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30" yWindow="0" windowWidth="20460" windowHeight="10920" activeTab="11"/>
  </bookViews>
  <sheets>
    <sheet name="BS" sheetId="10" r:id="rId1"/>
    <sheet name="P&amp;L" sheetId="9" r:id="rId2"/>
    <sheet name="CFS" sheetId="21" r:id="rId3"/>
    <sheet name="SCWC" sheetId="22" r:id="rId4"/>
    <sheet name="SOCIE" sheetId="7" r:id="rId5"/>
    <sheet name="PPE-2" sheetId="8" r:id="rId6"/>
    <sheet name="BS3-11" sheetId="1" r:id="rId7"/>
    <sheet name="BS12" sheetId="3" r:id="rId8"/>
    <sheet name="BS13-20" sheetId="4" r:id="rId9"/>
    <sheet name="P&amp;L21-22" sheetId="5" r:id="rId10"/>
    <sheet name="P&amp;L22-25" sheetId="6" r:id="rId11"/>
    <sheet name="Prior_Period" sheetId="11" r:id="rId12"/>
    <sheet name="Disc_2-7" sheetId="12" r:id="rId13"/>
    <sheet name="Disc. 8(1)" sheetId="16" r:id="rId14"/>
    <sheet name="Disc. 8(2)" sheetId="17" r:id="rId15"/>
    <sheet name="Disc. 8(3)" sheetId="18" r:id="rId16"/>
    <sheet name="Disc. 8(4)" sheetId="19" r:id="rId17"/>
    <sheet name="Disc. 8(5)" sheetId="20" r:id="rId18"/>
    <sheet name="Dicl_9" sheetId="13" r:id="rId19"/>
    <sheet name="Disc_10-13" sheetId="14" r:id="rId20"/>
    <sheet name="DIsc_14-16" sheetId="15" r:id="rId21"/>
  </sheets>
  <externalReferences>
    <externalReference r:id="rId22"/>
    <externalReference r:id="rId23"/>
    <externalReference r:id="rId24"/>
    <externalReference r:id="rId25"/>
  </externalReferences>
  <definedNames>
    <definedName name="_xlnm.Print_Area" localSheetId="0">BS!$A$1:$F$68</definedName>
    <definedName name="_xlnm.Print_Area" localSheetId="7">'BS12'!$A$1:$E$44</definedName>
    <definedName name="_xlnm.Print_Area" localSheetId="13">'Disc. 8(1)'!$C$2:$I$47</definedName>
    <definedName name="_xlnm.Print_Area" localSheetId="14">'Disc. 8(2)'!$C$2:$X$37</definedName>
    <definedName name="_xlnm.Print_Area" localSheetId="15">'Disc. 8(3)'!$B$2:$W$41</definedName>
    <definedName name="_xlnm.Print_Area" localSheetId="16">'Disc. 8(4)'!$B$2:$W$19</definedName>
    <definedName name="_xlnm.Print_Area" localSheetId="17">'Disc. 8(5)'!$C$2:$M$37</definedName>
    <definedName name="_xlnm.Print_Area" localSheetId="19">'Disc_10-13'!$A$1:$K$144</definedName>
    <definedName name="_xlnm.Print_Area" localSheetId="1">'P&amp;L'!$A$1:$F$45</definedName>
    <definedName name="_xlnm.Print_Area" localSheetId="9">'P&amp;L21-22'!$A$1:$C$47</definedName>
    <definedName name="_xlnm.Print_Area" localSheetId="4">SOCIE!$A$1:$G$43</definedName>
    <definedName name="_xlnm.Print_Titles" localSheetId="15">'Disc. 8(3)'!$2:$3</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3" i="21"/>
  <c r="D31" s="1"/>
  <c r="D41"/>
  <c r="D39"/>
  <c r="H43" i="10"/>
  <c r="E76" i="4"/>
  <c r="E61"/>
  <c r="D35" i="21"/>
  <c r="D34"/>
  <c r="D29"/>
  <c r="D28"/>
  <c r="F29" i="1"/>
  <c r="F8"/>
  <c r="F7"/>
  <c r="D25" i="21" l="1"/>
  <c r="D24"/>
  <c r="G22" i="22"/>
  <c r="G20"/>
  <c r="G18"/>
  <c r="G19"/>
  <c r="G17"/>
  <c r="G14"/>
  <c r="G10"/>
  <c r="G11"/>
  <c r="G12"/>
  <c r="G13"/>
  <c r="G9"/>
  <c r="F14"/>
  <c r="F20"/>
  <c r="D16" i="21" l="1"/>
  <c r="D20" s="1"/>
  <c r="D43" s="1"/>
  <c r="D45" s="1"/>
  <c r="G45" s="1"/>
  <c r="D15"/>
  <c r="D14"/>
  <c r="D13"/>
  <c r="D12"/>
  <c r="D11"/>
  <c r="D9"/>
  <c r="D7"/>
  <c r="C38"/>
  <c r="C44"/>
  <c r="C14"/>
  <c r="C37"/>
  <c r="C36"/>
  <c r="C35"/>
  <c r="C34"/>
  <c r="C29"/>
  <c r="C27"/>
  <c r="C26"/>
  <c r="C25"/>
  <c r="C24"/>
  <c r="C23"/>
  <c r="C15"/>
  <c r="C13"/>
  <c r="C18"/>
  <c r="C12"/>
  <c r="C28" s="1"/>
  <c r="C11"/>
  <c r="C39" s="1"/>
  <c r="C9"/>
  <c r="C7"/>
  <c r="D22" i="22"/>
  <c r="C20"/>
  <c r="D10"/>
  <c r="C19"/>
  <c r="D19" s="1"/>
  <c r="C18"/>
  <c r="C17"/>
  <c r="D17" s="1"/>
  <c r="B19"/>
  <c r="B18"/>
  <c r="B20" s="1"/>
  <c r="B17"/>
  <c r="C13"/>
  <c r="C12"/>
  <c r="C11"/>
  <c r="C10"/>
  <c r="C9"/>
  <c r="C14" s="1"/>
  <c r="B13"/>
  <c r="D13" s="1"/>
  <c r="B11"/>
  <c r="D11" s="1"/>
  <c r="B12"/>
  <c r="D12" s="1"/>
  <c r="B10"/>
  <c r="B9"/>
  <c r="B14" s="1"/>
  <c r="C31" i="21" l="1"/>
  <c r="C16"/>
  <c r="C20" s="1"/>
  <c r="C41"/>
  <c r="D9" i="22"/>
  <c r="D14" s="1"/>
  <c r="D18"/>
  <c r="D20" s="1"/>
  <c r="C43" i="21" l="1"/>
  <c r="C45" s="1"/>
  <c r="B12" i="8" l="1"/>
  <c r="C12"/>
  <c r="D12"/>
  <c r="E12"/>
  <c r="F12"/>
  <c r="G12"/>
  <c r="H12"/>
  <c r="I12"/>
  <c r="J12"/>
  <c r="K12"/>
  <c r="B12" i="5" l="1"/>
  <c r="B14" s="1"/>
  <c r="B14" i="6"/>
  <c r="C12" i="3"/>
  <c r="J23" i="15" l="1"/>
  <c r="J36" i="20" l="1"/>
  <c r="I36"/>
  <c r="H36"/>
  <c r="F36"/>
  <c r="E36"/>
  <c r="J35"/>
  <c r="I35"/>
  <c r="H35"/>
  <c r="J34"/>
  <c r="I34"/>
  <c r="H34"/>
  <c r="F34"/>
  <c r="E34"/>
  <c r="J33"/>
  <c r="I33"/>
  <c r="H33"/>
  <c r="F33"/>
  <c r="E33"/>
  <c r="J32"/>
  <c r="I32"/>
  <c r="H32"/>
  <c r="F32"/>
  <c r="E32"/>
  <c r="J31"/>
  <c r="I31"/>
  <c r="H31"/>
  <c r="F31"/>
  <c r="E31"/>
  <c r="J30"/>
  <c r="I30"/>
  <c r="H30"/>
  <c r="F30"/>
  <c r="E30"/>
  <c r="M14"/>
  <c r="L14"/>
  <c r="J14"/>
  <c r="I14"/>
  <c r="G14"/>
  <c r="F14"/>
  <c r="M13"/>
  <c r="L13"/>
  <c r="J13"/>
  <c r="I13"/>
  <c r="G13"/>
  <c r="F13"/>
  <c r="M12"/>
  <c r="L12"/>
  <c r="J12"/>
  <c r="I12"/>
  <c r="G12"/>
  <c r="F12"/>
  <c r="M11"/>
  <c r="L11"/>
  <c r="J11"/>
  <c r="I11"/>
  <c r="G11"/>
  <c r="F11"/>
  <c r="M10"/>
  <c r="L10"/>
  <c r="J10"/>
  <c r="I10"/>
  <c r="G10"/>
  <c r="F10"/>
  <c r="M9"/>
  <c r="L9"/>
  <c r="J9"/>
  <c r="I9"/>
  <c r="G9"/>
  <c r="F9"/>
  <c r="M8"/>
  <c r="L8"/>
  <c r="J8"/>
  <c r="I8"/>
  <c r="G8"/>
  <c r="F8"/>
  <c r="H19" i="19"/>
  <c r="E19"/>
  <c r="W18"/>
  <c r="W19" s="1"/>
  <c r="V18"/>
  <c r="V19" s="1"/>
  <c r="U18"/>
  <c r="U19" s="1"/>
  <c r="T18"/>
  <c r="T19" s="1"/>
  <c r="S18"/>
  <c r="S19" s="1"/>
  <c r="R18"/>
  <c r="R19" s="1"/>
  <c r="Q18"/>
  <c r="Q19" s="1"/>
  <c r="P18"/>
  <c r="P19" s="1"/>
  <c r="O18"/>
  <c r="O19" s="1"/>
  <c r="N18"/>
  <c r="N19" s="1"/>
  <c r="M18"/>
  <c r="M19" s="1"/>
  <c r="L18"/>
  <c r="L19" s="1"/>
  <c r="K18"/>
  <c r="K19" s="1"/>
  <c r="J18"/>
  <c r="J19" s="1"/>
  <c r="I18"/>
  <c r="I19" s="1"/>
  <c r="H16"/>
  <c r="G16"/>
  <c r="F16"/>
  <c r="E16"/>
  <c r="D16"/>
  <c r="H15"/>
  <c r="G15"/>
  <c r="G18" s="1"/>
  <c r="G19" s="1"/>
  <c r="F15"/>
  <c r="E15"/>
  <c r="D15"/>
  <c r="D18" s="1"/>
  <c r="D14"/>
  <c r="V10"/>
  <c r="U10"/>
  <c r="T10"/>
  <c r="S10"/>
  <c r="R10"/>
  <c r="Q10"/>
  <c r="P10"/>
  <c r="O10"/>
  <c r="N10"/>
  <c r="M10"/>
  <c r="L10"/>
  <c r="K10"/>
  <c r="J10"/>
  <c r="I10"/>
  <c r="H8"/>
  <c r="G8"/>
  <c r="F8"/>
  <c r="E8"/>
  <c r="E10" s="1"/>
  <c r="D8"/>
  <c r="D10" s="1"/>
  <c r="W7"/>
  <c r="W10" s="1"/>
  <c r="H7"/>
  <c r="H10" s="1"/>
  <c r="G7"/>
  <c r="G10" s="1"/>
  <c r="F7"/>
  <c r="F10" s="1"/>
  <c r="E7"/>
  <c r="D7"/>
  <c r="W41" i="18"/>
  <c r="E41"/>
  <c r="W38"/>
  <c r="G38"/>
  <c r="F38"/>
  <c r="D38"/>
  <c r="W37"/>
  <c r="H37"/>
  <c r="H41" s="1"/>
  <c r="G37"/>
  <c r="G41" s="1"/>
  <c r="F37"/>
  <c r="E37"/>
  <c r="D37"/>
  <c r="W34"/>
  <c r="H34"/>
  <c r="G34"/>
  <c r="F34"/>
  <c r="E34"/>
  <c r="D34"/>
  <c r="W33"/>
  <c r="H33"/>
  <c r="G33"/>
  <c r="F33"/>
  <c r="E33"/>
  <c r="D33"/>
  <c r="W32"/>
  <c r="G32"/>
  <c r="F32"/>
  <c r="D32"/>
  <c r="F31"/>
  <c r="D31"/>
  <c r="W30"/>
  <c r="H30"/>
  <c r="H32" s="1"/>
  <c r="G30"/>
  <c r="F30"/>
  <c r="E30"/>
  <c r="E32" s="1"/>
  <c r="D30"/>
  <c r="F25"/>
  <c r="D25"/>
  <c r="W24"/>
  <c r="G24"/>
  <c r="F24"/>
  <c r="D24"/>
  <c r="W23"/>
  <c r="H23"/>
  <c r="G23"/>
  <c r="F23"/>
  <c r="E23"/>
  <c r="D23"/>
  <c r="W22"/>
  <c r="H22"/>
  <c r="G22"/>
  <c r="F22"/>
  <c r="E22"/>
  <c r="D22"/>
  <c r="G13"/>
  <c r="G14" s="1"/>
  <c r="G15" s="1"/>
  <c r="D13"/>
  <c r="D14" s="1"/>
  <c r="D15" s="1"/>
  <c r="H10"/>
  <c r="H13" s="1"/>
  <c r="H14" s="1"/>
  <c r="H15" s="1"/>
  <c r="G10"/>
  <c r="E10"/>
  <c r="E13" s="1"/>
  <c r="E14" s="1"/>
  <c r="E15" s="1"/>
  <c r="D10"/>
  <c r="H8"/>
  <c r="G8"/>
  <c r="E8"/>
  <c r="D8"/>
  <c r="H7"/>
  <c r="G7"/>
  <c r="E7"/>
  <c r="D7"/>
  <c r="X37" i="17"/>
  <c r="I37"/>
  <c r="G37"/>
  <c r="F37"/>
  <c r="X36"/>
  <c r="I36"/>
  <c r="H36"/>
  <c r="G36"/>
  <c r="F36"/>
  <c r="E36"/>
  <c r="X35"/>
  <c r="I35"/>
  <c r="H35"/>
  <c r="G35"/>
  <c r="F35"/>
  <c r="E35"/>
  <c r="G30"/>
  <c r="F30"/>
  <c r="E30"/>
  <c r="X24"/>
  <c r="I24"/>
  <c r="H24"/>
  <c r="G24"/>
  <c r="F24"/>
  <c r="E24"/>
  <c r="X23"/>
  <c r="I23"/>
  <c r="H23"/>
  <c r="G23"/>
  <c r="F23"/>
  <c r="E23"/>
  <c r="X21"/>
  <c r="I21"/>
  <c r="H21"/>
  <c r="G21"/>
  <c r="F21"/>
  <c r="E21"/>
  <c r="W16"/>
  <c r="V16"/>
  <c r="U16"/>
  <c r="T16"/>
  <c r="S16"/>
  <c r="R16"/>
  <c r="Q16"/>
  <c r="P16"/>
  <c r="O16"/>
  <c r="N16"/>
  <c r="M16"/>
  <c r="L16"/>
  <c r="K16"/>
  <c r="J16"/>
  <c r="X15"/>
  <c r="I15"/>
  <c r="H15"/>
  <c r="G15"/>
  <c r="F15"/>
  <c r="E15"/>
  <c r="G14"/>
  <c r="F14"/>
  <c r="E14"/>
  <c r="X12"/>
  <c r="H12"/>
  <c r="G12"/>
  <c r="E12"/>
  <c r="X11"/>
  <c r="I11"/>
  <c r="H11"/>
  <c r="G11"/>
  <c r="F11"/>
  <c r="E11"/>
  <c r="I10"/>
  <c r="F10"/>
  <c r="X9"/>
  <c r="I9"/>
  <c r="H9"/>
  <c r="H16" s="1"/>
  <c r="G9"/>
  <c r="G16" s="1"/>
  <c r="F9"/>
  <c r="E9"/>
  <c r="G33" i="16"/>
  <c r="F33"/>
  <c r="I22"/>
  <c r="H22"/>
  <c r="G22"/>
  <c r="F22"/>
  <c r="I19"/>
  <c r="H19"/>
  <c r="G19"/>
  <c r="F19"/>
  <c r="F41" i="18" l="1"/>
  <c r="I16" i="17"/>
  <c r="E37"/>
  <c r="D41" i="18"/>
  <c r="D19" i="19"/>
  <c r="H37" i="17"/>
  <c r="F18" i="19"/>
  <c r="F19" s="1"/>
  <c r="E16" i="17"/>
  <c r="F16"/>
  <c r="X16"/>
  <c r="B8" i="3"/>
  <c r="G144" i="14"/>
  <c r="H23" i="11"/>
  <c r="F22"/>
  <c r="F21"/>
  <c r="F20"/>
  <c r="F19"/>
  <c r="F18"/>
  <c r="F17"/>
  <c r="H13"/>
  <c r="G13"/>
  <c r="I11"/>
  <c r="I10"/>
  <c r="I9"/>
  <c r="I8"/>
  <c r="A1"/>
  <c r="I13" l="1"/>
  <c r="F23"/>
  <c r="E21" i="9" l="1"/>
  <c r="E27"/>
  <c r="E28" s="1"/>
  <c r="E22" i="7"/>
  <c r="B102" i="1"/>
  <c r="A1" i="15"/>
  <c r="B86" i="4" l="1"/>
  <c r="B87" s="1"/>
  <c r="B99"/>
  <c r="G26" i="14"/>
  <c r="I26"/>
  <c r="I23"/>
  <c r="I14"/>
  <c r="D9"/>
  <c r="F82" l="1"/>
  <c r="D82"/>
  <c r="D65"/>
  <c r="D71" s="1"/>
  <c r="F65"/>
  <c r="F71" s="1"/>
  <c r="J66"/>
  <c r="J71" s="1"/>
  <c r="H66"/>
  <c r="H71" s="1"/>
  <c r="H93"/>
  <c r="I121"/>
  <c r="I120"/>
  <c r="G120"/>
  <c r="G121"/>
  <c r="D99"/>
  <c r="F98"/>
  <c r="D98"/>
  <c r="J93"/>
  <c r="G15"/>
  <c r="G14" i="13"/>
  <c r="G13"/>
  <c r="E14"/>
  <c r="E13"/>
  <c r="F36" i="12"/>
  <c r="F35"/>
  <c r="C47"/>
  <c r="E92" s="1"/>
  <c r="C46"/>
  <c r="E91" s="1"/>
  <c r="C45"/>
  <c r="E90" s="1"/>
  <c r="C44"/>
  <c r="F44" s="1"/>
  <c r="F89" s="1"/>
  <c r="C41"/>
  <c r="E86" s="1"/>
  <c r="C19"/>
  <c r="F19" s="1"/>
  <c r="D86" s="1"/>
  <c r="C43"/>
  <c r="E88" s="1"/>
  <c r="C42"/>
  <c r="F42" s="1"/>
  <c r="C37"/>
  <c r="E82" s="1"/>
  <c r="C34"/>
  <c r="F34" s="1"/>
  <c r="F81" s="1"/>
  <c r="C33"/>
  <c r="E80" s="1"/>
  <c r="C23"/>
  <c r="C90" s="1"/>
  <c r="C25"/>
  <c r="C92" s="1"/>
  <c r="C24"/>
  <c r="C91" s="1"/>
  <c r="C22"/>
  <c r="C89" s="1"/>
  <c r="C21"/>
  <c r="C88" s="1"/>
  <c r="C20"/>
  <c r="C87" s="1"/>
  <c r="C169" s="1"/>
  <c r="C15"/>
  <c r="C82" s="1"/>
  <c r="C14"/>
  <c r="C81" s="1"/>
  <c r="C13"/>
  <c r="C80" s="1"/>
  <c r="A126" i="14"/>
  <c r="I33"/>
  <c r="G33"/>
  <c r="I27"/>
  <c r="I18"/>
  <c r="G14" s="1"/>
  <c r="A4"/>
  <c r="A1"/>
  <c r="A58" s="1"/>
  <c r="A102" s="1"/>
  <c r="A1" i="13"/>
  <c r="A8"/>
  <c r="A206" i="12"/>
  <c r="B10" i="4"/>
  <c r="B70" i="1"/>
  <c r="B67"/>
  <c r="A97" i="12"/>
  <c r="A182" s="1"/>
  <c r="B62"/>
  <c r="B67" s="1"/>
  <c r="A50"/>
  <c r="J44"/>
  <c r="I44"/>
  <c r="J43"/>
  <c r="I43"/>
  <c r="J42"/>
  <c r="I42"/>
  <c r="J40"/>
  <c r="I40"/>
  <c r="J34"/>
  <c r="I34"/>
  <c r="J33"/>
  <c r="I33"/>
  <c r="J32"/>
  <c r="I32"/>
  <c r="J25"/>
  <c r="B25"/>
  <c r="B24"/>
  <c r="B23"/>
  <c r="B22"/>
  <c r="B21"/>
  <c r="J20"/>
  <c r="I20"/>
  <c r="B20"/>
  <c r="J19"/>
  <c r="I19"/>
  <c r="B19"/>
  <c r="J18"/>
  <c r="I18"/>
  <c r="J15"/>
  <c r="I15"/>
  <c r="J14"/>
  <c r="I14"/>
  <c r="B14"/>
  <c r="J13"/>
  <c r="I13"/>
  <c r="B13"/>
  <c r="J12"/>
  <c r="I12"/>
  <c r="A4"/>
  <c r="A52" s="1"/>
  <c r="A1"/>
  <c r="A49" s="1"/>
  <c r="E32" i="10"/>
  <c r="G133" i="14" s="1"/>
  <c r="G142" s="1"/>
  <c r="G143" s="1"/>
  <c r="D29" i="7"/>
  <c r="G22"/>
  <c r="G23"/>
  <c r="G26"/>
  <c r="G28"/>
  <c r="G21"/>
  <c r="D25"/>
  <c r="D27" s="1"/>
  <c r="D8"/>
  <c r="C8" s="1"/>
  <c r="C10" s="1"/>
  <c r="L21" i="8"/>
  <c r="L20"/>
  <c r="L19"/>
  <c r="C29"/>
  <c r="D29"/>
  <c r="E29"/>
  <c r="F29"/>
  <c r="G29"/>
  <c r="H29"/>
  <c r="I29"/>
  <c r="J29"/>
  <c r="K29"/>
  <c r="B29"/>
  <c r="D22"/>
  <c r="E22"/>
  <c r="E23" s="1"/>
  <c r="F22"/>
  <c r="F23" s="1"/>
  <c r="G22"/>
  <c r="G23" s="1"/>
  <c r="H22"/>
  <c r="H26" s="1"/>
  <c r="I22"/>
  <c r="I23" s="1"/>
  <c r="J22"/>
  <c r="J23" s="1"/>
  <c r="K22"/>
  <c r="K23" s="1"/>
  <c r="C22"/>
  <c r="C23" s="1"/>
  <c r="C13"/>
  <c r="F13"/>
  <c r="G13"/>
  <c r="J13"/>
  <c r="K13"/>
  <c r="L10"/>
  <c r="L11"/>
  <c r="L9"/>
  <c r="L12" s="1"/>
  <c r="D13"/>
  <c r="E13"/>
  <c r="H13"/>
  <c r="I13"/>
  <c r="B13"/>
  <c r="B43"/>
  <c r="G25"/>
  <c r="F25"/>
  <c r="K24"/>
  <c r="J24"/>
  <c r="I24"/>
  <c r="G24"/>
  <c r="F24"/>
  <c r="E24"/>
  <c r="D24"/>
  <c r="C24"/>
  <c r="B22"/>
  <c r="B23" s="1"/>
  <c r="K15"/>
  <c r="G15"/>
  <c r="F15"/>
  <c r="B15"/>
  <c r="K14"/>
  <c r="J14"/>
  <c r="I14"/>
  <c r="H14"/>
  <c r="G14"/>
  <c r="F14"/>
  <c r="E14"/>
  <c r="C14"/>
  <c r="B14"/>
  <c r="C125" i="1"/>
  <c r="F26" i="10" s="1"/>
  <c r="B125" i="1"/>
  <c r="E26" i="10" s="1"/>
  <c r="C109" i="1"/>
  <c r="C103"/>
  <c r="B103"/>
  <c r="C96"/>
  <c r="F24" i="10" s="1"/>
  <c r="B96" i="1"/>
  <c r="E24" i="10" s="1"/>
  <c r="C81" i="1"/>
  <c r="F22" i="10" s="1"/>
  <c r="B81" i="1"/>
  <c r="E22" i="10" s="1"/>
  <c r="C72" i="1"/>
  <c r="F21" i="10" s="1"/>
  <c r="C32" i="12" s="1"/>
  <c r="C57" i="1"/>
  <c r="F20" i="10" s="1"/>
  <c r="C31" i="12" s="1"/>
  <c r="B57" i="1"/>
  <c r="E20" i="10" s="1"/>
  <c r="C11" i="12" s="1"/>
  <c r="C39" i="1"/>
  <c r="F18" i="10" s="1"/>
  <c r="B39" i="1"/>
  <c r="E18" i="10" s="1"/>
  <c r="C29" i="1"/>
  <c r="F15" i="10" s="1"/>
  <c r="B29" i="1"/>
  <c r="E15" i="10" s="1"/>
  <c r="C8" i="1"/>
  <c r="F13" i="10" s="1"/>
  <c r="B8" i="1"/>
  <c r="E13" i="10" s="1"/>
  <c r="B19" i="3"/>
  <c r="B20" s="1"/>
  <c r="C11" i="7" s="1"/>
  <c r="C19" i="3"/>
  <c r="C20" s="1"/>
  <c r="D11" i="7" s="1"/>
  <c r="D21" i="3"/>
  <c r="E21"/>
  <c r="F32" i="10" s="1"/>
  <c r="I133" i="14" s="1"/>
  <c r="I142" s="1"/>
  <c r="I143" s="1"/>
  <c r="B10" i="3"/>
  <c r="B12" s="1"/>
  <c r="B157" i="4"/>
  <c r="E51" i="10" s="1"/>
  <c r="C157" i="4"/>
  <c r="F51" i="10" s="1"/>
  <c r="B147" i="4"/>
  <c r="E50" i="10" s="1"/>
  <c r="C147" i="4"/>
  <c r="F50" i="10" s="1"/>
  <c r="B131" i="4"/>
  <c r="E49" i="10" s="1"/>
  <c r="C131" i="4"/>
  <c r="F49" i="10" s="1"/>
  <c r="B113" i="4"/>
  <c r="C113"/>
  <c r="B108"/>
  <c r="C108"/>
  <c r="C101"/>
  <c r="C87"/>
  <c r="C84"/>
  <c r="B76"/>
  <c r="E41" i="10" s="1"/>
  <c r="C76" i="4"/>
  <c r="F41" i="10" s="1"/>
  <c r="B59" i="4"/>
  <c r="B61" s="1"/>
  <c r="C18" i="12" s="1"/>
  <c r="C59" i="4"/>
  <c r="C61" s="1"/>
  <c r="C40" i="12" s="1"/>
  <c r="B42" i="4"/>
  <c r="C42"/>
  <c r="B36"/>
  <c r="C36"/>
  <c r="B30"/>
  <c r="C30"/>
  <c r="B18"/>
  <c r="C18"/>
  <c r="C12"/>
  <c r="F14" i="9"/>
  <c r="E12"/>
  <c r="C83" i="6"/>
  <c r="B83"/>
  <c r="C67"/>
  <c r="C84" s="1"/>
  <c r="F15" i="9" s="1"/>
  <c r="B67" i="6"/>
  <c r="B84" s="1"/>
  <c r="E15" i="9" s="1"/>
  <c r="C49" i="6"/>
  <c r="B49"/>
  <c r="C34"/>
  <c r="B34"/>
  <c r="E14" i="9" s="1"/>
  <c r="C23" i="6"/>
  <c r="B23"/>
  <c r="B28" s="1"/>
  <c r="E13" i="9" s="1"/>
  <c r="C14" i="6"/>
  <c r="F12" i="9" s="1"/>
  <c r="F16" s="1"/>
  <c r="C43" i="5"/>
  <c r="B43"/>
  <c r="C34"/>
  <c r="C45" s="1"/>
  <c r="F8" i="9" s="1"/>
  <c r="B34" i="5"/>
  <c r="B45" s="1"/>
  <c r="E8" i="9" s="1"/>
  <c r="C21" i="5"/>
  <c r="B21"/>
  <c r="B23" s="1"/>
  <c r="E7" i="9" s="1"/>
  <c r="C14" i="5"/>
  <c r="C23" s="1"/>
  <c r="F7" i="9" s="1"/>
  <c r="E24" i="13" s="1"/>
  <c r="C12" i="5"/>
  <c r="A123" i="1"/>
  <c r="C12"/>
  <c r="B12"/>
  <c r="A12"/>
  <c r="D18" i="10"/>
  <c r="D20" s="1"/>
  <c r="D21" s="1"/>
  <c r="D22" s="1"/>
  <c r="D24" s="1"/>
  <c r="D25" s="1"/>
  <c r="D26" s="1"/>
  <c r="D32" s="1"/>
  <c r="D33" s="1"/>
  <c r="D35" s="1"/>
  <c r="D39" s="1"/>
  <c r="D49" s="1"/>
  <c r="D8" i="9"/>
  <c r="D12" s="1"/>
  <c r="D13" s="1"/>
  <c r="D14" s="1"/>
  <c r="D15" s="1"/>
  <c r="D46" i="8"/>
  <c r="C46"/>
  <c r="F8" i="10" s="1"/>
  <c r="B46" i="8"/>
  <c r="E8" i="10" s="1"/>
  <c r="J5" i="8"/>
  <c r="I5"/>
  <c r="H5"/>
  <c r="G5"/>
  <c r="F5"/>
  <c r="E5"/>
  <c r="D5"/>
  <c r="B5"/>
  <c r="J4"/>
  <c r="I4"/>
  <c r="H4"/>
  <c r="G4"/>
  <c r="F4"/>
  <c r="E4"/>
  <c r="D4"/>
  <c r="A1" i="6"/>
  <c r="A50" s="1"/>
  <c r="A1" i="5"/>
  <c r="A115" i="4"/>
  <c r="A1"/>
  <c r="A136" s="1"/>
  <c r="A1" i="3"/>
  <c r="C15" i="1"/>
  <c r="A1"/>
  <c r="A42" s="1"/>
  <c r="E9" i="9" l="1"/>
  <c r="E16"/>
  <c r="D10" i="7"/>
  <c r="D12" s="1"/>
  <c r="K33" i="12"/>
  <c r="K40"/>
  <c r="C12" i="7"/>
  <c r="J16" i="8"/>
  <c r="K26"/>
  <c r="L15"/>
  <c r="L24"/>
  <c r="G26"/>
  <c r="L25"/>
  <c r="C30"/>
  <c r="L22"/>
  <c r="I26"/>
  <c r="L29"/>
  <c r="E26"/>
  <c r="J30"/>
  <c r="K19" i="12"/>
  <c r="C86"/>
  <c r="K14"/>
  <c r="K12"/>
  <c r="K32"/>
  <c r="K34"/>
  <c r="C24" i="13"/>
  <c r="E18" i="9"/>
  <c r="B72" i="1"/>
  <c r="F46" i="12"/>
  <c r="F91" s="1"/>
  <c r="F20"/>
  <c r="D87" s="1"/>
  <c r="C85"/>
  <c r="F18"/>
  <c r="D85" s="1"/>
  <c r="F53" i="10"/>
  <c r="F40" i="12"/>
  <c r="F85" s="1"/>
  <c r="E85"/>
  <c r="C48"/>
  <c r="E53" i="10"/>
  <c r="F87" i="12"/>
  <c r="F23"/>
  <c r="D90" s="1"/>
  <c r="F41"/>
  <c r="F86" s="1"/>
  <c r="F45"/>
  <c r="F90" s="1"/>
  <c r="E87"/>
  <c r="C178" s="1"/>
  <c r="F24"/>
  <c r="D91" s="1"/>
  <c r="F39" i="10"/>
  <c r="F21" i="12"/>
  <c r="F25"/>
  <c r="D92" s="1"/>
  <c r="F43"/>
  <c r="F88" s="1"/>
  <c r="F47"/>
  <c r="F92" s="1"/>
  <c r="E89"/>
  <c r="E39" i="10"/>
  <c r="F22" i="12"/>
  <c r="D89" s="1"/>
  <c r="F14"/>
  <c r="E62" s="1"/>
  <c r="F62" s="1"/>
  <c r="C110" i="1"/>
  <c r="F25" i="10" s="1"/>
  <c r="F27" s="1"/>
  <c r="F37" i="12"/>
  <c r="F82" s="1"/>
  <c r="F33"/>
  <c r="F80" s="1"/>
  <c r="F31"/>
  <c r="E78"/>
  <c r="C78"/>
  <c r="F11"/>
  <c r="F13"/>
  <c r="D80" s="1"/>
  <c r="E81"/>
  <c r="F15"/>
  <c r="D82" s="1"/>
  <c r="C26" i="13"/>
  <c r="E37"/>
  <c r="G37"/>
  <c r="E26"/>
  <c r="B114" i="4"/>
  <c r="L14" i="8"/>
  <c r="I16"/>
  <c r="I31" s="1"/>
  <c r="E16"/>
  <c r="G16"/>
  <c r="D26"/>
  <c r="H16"/>
  <c r="H31" s="1"/>
  <c r="K16"/>
  <c r="C16"/>
  <c r="G18" i="14"/>
  <c r="C26" i="12"/>
  <c r="I28" i="14"/>
  <c r="I34" s="1"/>
  <c r="G23"/>
  <c r="G27" s="1"/>
  <c r="K42" i="12"/>
  <c r="K13"/>
  <c r="K20"/>
  <c r="K44"/>
  <c r="K43"/>
  <c r="K15"/>
  <c r="K18"/>
  <c r="E67"/>
  <c r="F67" s="1"/>
  <c r="L13" i="8"/>
  <c r="B16"/>
  <c r="D16"/>
  <c r="G31"/>
  <c r="F16"/>
  <c r="C26"/>
  <c r="B30"/>
  <c r="K30"/>
  <c r="J26"/>
  <c r="J31" s="1"/>
  <c r="F26"/>
  <c r="B26"/>
  <c r="H23"/>
  <c r="H30" s="1"/>
  <c r="D23"/>
  <c r="D30" s="1"/>
  <c r="G30"/>
  <c r="F30"/>
  <c r="I30"/>
  <c r="E30"/>
  <c r="C114" i="4"/>
  <c r="C116" s="1"/>
  <c r="F43" i="10" s="1"/>
  <c r="C88" i="4"/>
  <c r="C20"/>
  <c r="F33" i="10" s="1"/>
  <c r="F34" s="1"/>
  <c r="G191" i="12" s="1"/>
  <c r="C44" i="4"/>
  <c r="F35" i="10" s="1"/>
  <c r="B44" i="4"/>
  <c r="E35" i="10" s="1"/>
  <c r="B8" i="4"/>
  <c r="F9" i="9"/>
  <c r="F18" s="1"/>
  <c r="F22" s="1"/>
  <c r="F23" s="1"/>
  <c r="E20"/>
  <c r="A91" i="4"/>
  <c r="A47"/>
  <c r="A85" i="1"/>
  <c r="E21" i="10" l="1"/>
  <c r="C12" i="12"/>
  <c r="K31" i="8"/>
  <c r="D81" i="12"/>
  <c r="C31" i="8"/>
  <c r="F31"/>
  <c r="D31"/>
  <c r="E31"/>
  <c r="F93" i="12"/>
  <c r="F26"/>
  <c r="I25"/>
  <c r="K25" s="1"/>
  <c r="D88"/>
  <c r="D93" s="1"/>
  <c r="F48"/>
  <c r="F44" i="10"/>
  <c r="F54" s="1"/>
  <c r="F55" s="1"/>
  <c r="D113" i="12"/>
  <c r="D114" s="1"/>
  <c r="F177"/>
  <c r="G190" s="1"/>
  <c r="G193" s="1"/>
  <c r="E93"/>
  <c r="C179" s="1"/>
  <c r="C93"/>
  <c r="C170" s="1"/>
  <c r="F168"/>
  <c r="F190" s="1"/>
  <c r="C113"/>
  <c r="C114" s="1"/>
  <c r="E79"/>
  <c r="E83" s="1"/>
  <c r="F32"/>
  <c r="F79" s="1"/>
  <c r="F12"/>
  <c r="D79" s="1"/>
  <c r="C79"/>
  <c r="C83" s="1"/>
  <c r="C38"/>
  <c r="D78"/>
  <c r="F16"/>
  <c r="C16"/>
  <c r="F78"/>
  <c r="F30" i="9"/>
  <c r="I131" i="14"/>
  <c r="E22" i="9"/>
  <c r="E23" s="1"/>
  <c r="E24" i="7" s="1"/>
  <c r="B82" i="4"/>
  <c r="B115"/>
  <c r="B116" s="1"/>
  <c r="E43" i="10" s="1"/>
  <c r="E44" s="1"/>
  <c r="E54" s="1"/>
  <c r="B98" i="4"/>
  <c r="B108" i="1"/>
  <c r="B109" s="1"/>
  <c r="B110" s="1"/>
  <c r="E25" i="10" s="1"/>
  <c r="E27" s="1"/>
  <c r="L16" i="8"/>
  <c r="G28" i="14"/>
  <c r="G34" s="1"/>
  <c r="L23" i="8"/>
  <c r="L30"/>
  <c r="F7" i="10" s="1"/>
  <c r="F16" s="1"/>
  <c r="F28" s="1"/>
  <c r="B31" i="8"/>
  <c r="L26"/>
  <c r="L31" l="1"/>
  <c r="E7" i="10" s="1"/>
  <c r="E16" s="1"/>
  <c r="F38" i="12"/>
  <c r="D83"/>
  <c r="F83"/>
  <c r="B83" i="4"/>
  <c r="B84" s="1"/>
  <c r="B88" s="1"/>
  <c r="B100"/>
  <c r="B101" s="1"/>
  <c r="I132" i="14"/>
  <c r="I140"/>
  <c r="E28" i="10"/>
  <c r="E30" i="9"/>
  <c r="G131" i="14"/>
  <c r="B9" i="4"/>
  <c r="B12" s="1"/>
  <c r="B20" s="1"/>
  <c r="E33" i="10" s="1"/>
  <c r="E34" s="1"/>
  <c r="I141" i="14" l="1"/>
  <c r="E25" i="7"/>
  <c r="E32" i="9"/>
  <c r="E33" s="1"/>
  <c r="F191" i="12"/>
  <c r="F193" s="1"/>
  <c r="E55" i="10"/>
  <c r="G140" i="14"/>
  <c r="G132"/>
  <c r="G24" i="7" l="1"/>
  <c r="G141" i="14"/>
  <c r="G25" i="7"/>
  <c r="E27"/>
  <c r="E29" l="1"/>
  <c r="G29" s="1"/>
  <c r="G27"/>
</calcChain>
</file>

<file path=xl/sharedStrings.xml><?xml version="1.0" encoding="utf-8"?>
<sst xmlns="http://schemas.openxmlformats.org/spreadsheetml/2006/main" count="1558" uniqueCount="940">
  <si>
    <t>Notes forming part of Balance Sheet</t>
  </si>
  <si>
    <t>Note No 3</t>
  </si>
  <si>
    <t xml:space="preserve">Financial Assets - Loans </t>
  </si>
  <si>
    <t>Particulars</t>
  </si>
  <si>
    <t>As at 
31st March, 2019</t>
  </si>
  <si>
    <t>As at 
31st March, 2018</t>
  </si>
  <si>
    <t>Unsecured - Considered Good</t>
  </si>
  <si>
    <t>Loans to Staff</t>
  </si>
  <si>
    <t>Total</t>
  </si>
  <si>
    <t>Note No 5</t>
  </si>
  <si>
    <t xml:space="preserve">Financial Assets - Others  </t>
  </si>
  <si>
    <t>Note No 4</t>
  </si>
  <si>
    <t>Other Non-Current Assets</t>
  </si>
  <si>
    <t>Advances for Capital Works</t>
  </si>
  <si>
    <t>Deposit</t>
  </si>
  <si>
    <t>Terminal Benefit receivable from GoB*</t>
  </si>
  <si>
    <t>Pension</t>
  </si>
  <si>
    <t>Gratuity</t>
  </si>
  <si>
    <t>Leave Encashment</t>
  </si>
  <si>
    <t>Long Term Emloyee benefit - Leave Encashment</t>
  </si>
  <si>
    <t>Inventories</t>
  </si>
  <si>
    <t>Stock of material/ Consumables at Other Stores</t>
  </si>
  <si>
    <t>Materials/ Consumables in Transit (ICT)</t>
  </si>
  <si>
    <t>Other stock</t>
  </si>
  <si>
    <t>Note No. 6</t>
  </si>
  <si>
    <t>Financial Assets - Trade Receivables</t>
  </si>
  <si>
    <t>- Secured, Considered good</t>
  </si>
  <si>
    <t>Trade Receivables</t>
  </si>
  <si>
    <t xml:space="preserve">- Unsecured Considered Good </t>
  </si>
  <si>
    <t>Less:- Provision for Doubtful dues from Consumers</t>
  </si>
  <si>
    <t xml:space="preserve">Others </t>
  </si>
  <si>
    <t>-Secured, Considered Good</t>
  </si>
  <si>
    <t xml:space="preserve">-Unsecured, Considered Good </t>
  </si>
  <si>
    <t>Note No 27</t>
  </si>
  <si>
    <t>Note No. 7</t>
  </si>
  <si>
    <t>Financial Assets - Cash And Cash Equivalents</t>
  </si>
  <si>
    <t>Cash in hand</t>
  </si>
  <si>
    <t>Cash imprest with staff</t>
  </si>
  <si>
    <t>Cash in Transit</t>
  </si>
  <si>
    <t>Balance with bank</t>
  </si>
  <si>
    <t>(i)  In Bank Accounts</t>
  </si>
  <si>
    <t>(ii) In Deposit Accounts (with original maturity less then three months)</t>
  </si>
  <si>
    <t>Cheque in Transit</t>
  </si>
  <si>
    <t>Note No 8</t>
  </si>
  <si>
    <t>Financial Assets - Bank Balances (Other Than Cash And Cash Equivalents)</t>
  </si>
  <si>
    <t>(ii)Earmarked Bank Balance</t>
  </si>
  <si>
    <t>Note No 9</t>
  </si>
  <si>
    <t>Financial Assets - Others (Current)</t>
  </si>
  <si>
    <t>Advance to Staff</t>
  </si>
  <si>
    <t>Note No 10 (A)</t>
  </si>
  <si>
    <t>Other Current Tax Assets</t>
  </si>
  <si>
    <t>Advance Income Tax / deductions at source</t>
  </si>
  <si>
    <t>Note No 10 (B)</t>
  </si>
  <si>
    <t>Provisions for income tax</t>
  </si>
  <si>
    <t>Net Balance  (Note 10A-Note 10B)</t>
  </si>
  <si>
    <t>Total (A)</t>
  </si>
  <si>
    <t>Total (B)</t>
  </si>
  <si>
    <t>Total (C)</t>
  </si>
  <si>
    <t>Note No 11</t>
  </si>
  <si>
    <t>Other Current Assets</t>
  </si>
  <si>
    <t>Advances for O &amp; M Supplies/Works</t>
  </si>
  <si>
    <t>Advances to Staff</t>
  </si>
  <si>
    <t xml:space="preserve">Advance - </t>
  </si>
  <si>
    <t xml:space="preserve">               Entry tax</t>
  </si>
  <si>
    <t xml:space="preserve">               VAT</t>
  </si>
  <si>
    <t xml:space="preserve">               Central Sales Tax</t>
  </si>
  <si>
    <t xml:space="preserve">               Service Tax</t>
  </si>
  <si>
    <t>BSEB Restructuring Balance</t>
  </si>
  <si>
    <t>Inter Company Balances</t>
  </si>
  <si>
    <t>Others Receivables</t>
  </si>
  <si>
    <t>Preliminary Expenses</t>
  </si>
  <si>
    <t>Note No 12</t>
  </si>
  <si>
    <t>Equity Share Capital</t>
  </si>
  <si>
    <t>(A).Authrised</t>
  </si>
  <si>
    <t xml:space="preserve">(B).Issued, subscribed and fully paid up
</t>
  </si>
  <si>
    <t xml:space="preserve">Total </t>
  </si>
  <si>
    <t>12.2 Reconciliation of the number of shares outstanding: -</t>
  </si>
  <si>
    <t>As at 31 March 2019</t>
  </si>
  <si>
    <t>As at 31 March 2018</t>
  </si>
  <si>
    <t>No. of shares</t>
  </si>
  <si>
    <t>Amount</t>
  </si>
  <si>
    <t>Equity Shares at the beginning of the year</t>
  </si>
  <si>
    <t>Add:- Shares issued during the year</t>
  </si>
  <si>
    <t>Equity Shares at the end of the year</t>
  </si>
  <si>
    <t>12.3 Details of the shares held by each shareholder holding more than 5% shares:-</t>
  </si>
  <si>
    <t>% held</t>
  </si>
  <si>
    <t>Bihar State Power (Holding) Company Ltd. and its nominees</t>
  </si>
  <si>
    <t>Note No 13</t>
  </si>
  <si>
    <t>Other Equity</t>
  </si>
  <si>
    <t>Surplus in Statement of Profit &amp; Loss</t>
  </si>
  <si>
    <t>Opening Balance</t>
  </si>
  <si>
    <t>Add:- Profit/(Loss) during the year as per Statement of Profit &amp; Loss</t>
  </si>
  <si>
    <t>Less:- Appropriations during the year</t>
  </si>
  <si>
    <t>Closing Balance</t>
  </si>
  <si>
    <t>Share Application Pending Allotment</t>
  </si>
  <si>
    <t>Add:- Funds received during the year</t>
  </si>
  <si>
    <t>Less: Share capital Alloted</t>
  </si>
  <si>
    <t>Note No 14</t>
  </si>
  <si>
    <t>Deferred Government Grant and Consumer Contribution</t>
  </si>
  <si>
    <t>Dererred Income - Non-Depreciable Assets</t>
  </si>
  <si>
    <t xml:space="preserve">   Add:Fund from State Government</t>
  </si>
  <si>
    <t xml:space="preserve">   Less: Deffered Income</t>
  </si>
  <si>
    <t>Consumer Contribution- Deferred Income</t>
  </si>
  <si>
    <t>Add:-Addition during the Year</t>
  </si>
  <si>
    <t>Deduction- Amortisation of Consumer Contribution</t>
  </si>
  <si>
    <t>Total '(C)</t>
  </si>
  <si>
    <t>Total (A+B+C)</t>
  </si>
  <si>
    <t>Note No 15</t>
  </si>
  <si>
    <t>Financial Liabilities - Borrowings (Non-Current)</t>
  </si>
  <si>
    <t>I. Unsecured</t>
  </si>
  <si>
    <t>From Government of Bihar</t>
  </si>
  <si>
    <t>(a) State Govt. Plan Loan</t>
  </si>
  <si>
    <t>Interest is provisinonally provided @10.50%.</t>
  </si>
  <si>
    <t>(b) Loan from BSPHCL - ADB</t>
  </si>
  <si>
    <t>Interest is provisinonally provided @13.00%.</t>
  </si>
  <si>
    <t>Sub  total</t>
  </si>
  <si>
    <t>Less:- Current Maturities of Long Term Debts</t>
  </si>
  <si>
    <t>Note No 16</t>
  </si>
  <si>
    <t>Note No 20</t>
  </si>
  <si>
    <t>Provisions</t>
  </si>
  <si>
    <t>Terminal Benefits Liabilities</t>
  </si>
  <si>
    <t>Company</t>
  </si>
  <si>
    <t>Government</t>
  </si>
  <si>
    <t>Note No 17</t>
  </si>
  <si>
    <t>Tax Expense</t>
  </si>
  <si>
    <t>Current income tax</t>
  </si>
  <si>
    <t>Current year</t>
  </si>
  <si>
    <t>Less: MAT Credit</t>
  </si>
  <si>
    <t>Sub Total (A)</t>
  </si>
  <si>
    <t>Deferred tax expense</t>
  </si>
  <si>
    <t>Deffered tax liability / (asset)</t>
  </si>
  <si>
    <t>Sub Total (B)</t>
  </si>
  <si>
    <t>Reconciliation of effective tax rates</t>
  </si>
  <si>
    <t>Profit before tax</t>
  </si>
  <si>
    <t>Enacted tax Rate</t>
  </si>
  <si>
    <t>Computed Expected Tax Expenses</t>
  </si>
  <si>
    <t>Deffered Tax</t>
  </si>
  <si>
    <t>MAT Credit</t>
  </si>
  <si>
    <t>Tax Expenses for the year</t>
  </si>
  <si>
    <t>Recognised deferred tax assets and liabilities</t>
  </si>
  <si>
    <t>Deferred tax assets and liabilities are attributable to the following:</t>
  </si>
  <si>
    <t>As at March 31, 2017</t>
  </si>
  <si>
    <t>As at April 1, 2016</t>
  </si>
  <si>
    <t>Deferred Tax Liability</t>
  </si>
  <si>
    <t>Property, plant and equipment</t>
  </si>
  <si>
    <t>Sub Total</t>
  </si>
  <si>
    <t>Deferred tax Assets</t>
  </si>
  <si>
    <t>Unabsorb Depreciation</t>
  </si>
  <si>
    <t>Net Deferred Tax Liabilities</t>
  </si>
  <si>
    <t>Other Non-Current Liabilities</t>
  </si>
  <si>
    <t>Note No 22</t>
  </si>
  <si>
    <t>Note No 23</t>
  </si>
  <si>
    <t>Note No 18</t>
  </si>
  <si>
    <t>Financial Liabilities - Others (Current)</t>
  </si>
  <si>
    <t>Interest accrued and due on capital fund</t>
  </si>
  <si>
    <t>Interest Accured on borrowing from State Govt. and ADB</t>
  </si>
  <si>
    <t>Staff Related Liability</t>
  </si>
  <si>
    <t>Deposits and Retentions from Suppliers and Customers</t>
  </si>
  <si>
    <t>Audit Fee Payable</t>
  </si>
  <si>
    <t>Liability to Supplies/Works</t>
  </si>
  <si>
    <t>Other Liability</t>
  </si>
  <si>
    <t>Note No 25</t>
  </si>
  <si>
    <t>Note No 19</t>
  </si>
  <si>
    <t>Other Current Liabilities</t>
  </si>
  <si>
    <t>Statutory Dues</t>
  </si>
  <si>
    <t>Entry Taxes</t>
  </si>
  <si>
    <t>Inter Unit Accounts</t>
  </si>
  <si>
    <t xml:space="preserve">Revenue from Operation </t>
  </si>
  <si>
    <t>For the year ended 31st March, 2019</t>
  </si>
  <si>
    <t>For the year ended 31st March, 2018</t>
  </si>
  <si>
    <t>I.Revenue from Transmission Charges</t>
  </si>
  <si>
    <t>Revenue from NBPDCL</t>
  </si>
  <si>
    <t>Revenue from SBPDCL</t>
  </si>
  <si>
    <t>Less: - Discount Allowed</t>
  </si>
  <si>
    <t>Net Operating Income</t>
  </si>
  <si>
    <t>II.Other operating income</t>
  </si>
  <si>
    <t>Supervision Charges</t>
  </si>
  <si>
    <t>Other Transmission Charges</t>
  </si>
  <si>
    <t>SLDC Income</t>
  </si>
  <si>
    <t>Total other operating income</t>
  </si>
  <si>
    <t>Grand Total</t>
  </si>
  <si>
    <t>Note No 21</t>
  </si>
  <si>
    <t>Other Income</t>
  </si>
  <si>
    <t>Interest Income</t>
  </si>
  <si>
    <t>Intrest on staff Loan &amp; Advances</t>
  </si>
  <si>
    <t>Interest from Banks</t>
  </si>
  <si>
    <t>Interest from income tax refund</t>
  </si>
  <si>
    <t>Income from scrap sale</t>
  </si>
  <si>
    <t>Miscellaneous Receipts</t>
  </si>
  <si>
    <t>Application fee Received</t>
  </si>
  <si>
    <t>Lease Rental Income</t>
  </si>
  <si>
    <t>Terminal Benefits from GoB</t>
  </si>
  <si>
    <t>Deferred Income</t>
  </si>
  <si>
    <t>Employee Benefit Expenses</t>
  </si>
  <si>
    <t xml:space="preserve">Salaries </t>
  </si>
  <si>
    <t>Over Time</t>
  </si>
  <si>
    <t>Dearness Allowance</t>
  </si>
  <si>
    <t>Other Allowance</t>
  </si>
  <si>
    <t>Medical Expenses Re-imbursement</t>
  </si>
  <si>
    <t>Staff welfare Expenses</t>
  </si>
  <si>
    <t>Terminal Benefits</t>
  </si>
  <si>
    <t>Finance Cost</t>
  </si>
  <si>
    <t>Interest on Capital Liabilities</t>
  </si>
  <si>
    <t>(a) Interest on State Government Loans</t>
  </si>
  <si>
    <t>(b) Interest on PFC Loans</t>
  </si>
  <si>
    <t>(c) Interest on ADB Loans</t>
  </si>
  <si>
    <t>Total Interest on Capital Liabilities (a+b+c)</t>
  </si>
  <si>
    <t>Other Interest and Finance charges</t>
  </si>
  <si>
    <t>Other Interest &amp; Bank Charges</t>
  </si>
  <si>
    <t>Note No 24</t>
  </si>
  <si>
    <t>Depreciation and Amortisation Expense</t>
  </si>
  <si>
    <t>Depreciation</t>
  </si>
  <si>
    <t>Other Expenses</t>
  </si>
  <si>
    <t>Repairs and Maintenance of Assets</t>
  </si>
  <si>
    <t>Administration and General Expenses</t>
  </si>
  <si>
    <t>Rent, Rates &amp; Taxes</t>
  </si>
  <si>
    <t>Insurance</t>
  </si>
  <si>
    <t>Telephone charges, Postage &amp; Telex Charges</t>
  </si>
  <si>
    <t>Legal Charges.</t>
  </si>
  <si>
    <t>Audit Fees</t>
  </si>
  <si>
    <t>Consultancy Charges</t>
  </si>
  <si>
    <t>Director's Sitting Fee</t>
  </si>
  <si>
    <t>Interest on Statutory Dues</t>
  </si>
  <si>
    <t>Holding Charges</t>
  </si>
  <si>
    <t>Other Professional Charges</t>
  </si>
  <si>
    <t>Conveyance &amp; Travel</t>
  </si>
  <si>
    <t>Fees &amp; Subscription</t>
  </si>
  <si>
    <t>Books &amp; Periodicals</t>
  </si>
  <si>
    <t>Printing &amp; Stationary</t>
  </si>
  <si>
    <t>Advertisement</t>
  </si>
  <si>
    <t>Expenditure on CSR</t>
  </si>
  <si>
    <t>Electricity Charges</t>
  </si>
  <si>
    <t>Entertainment Charges</t>
  </si>
  <si>
    <t>Commission for sale of scrap</t>
  </si>
  <si>
    <t>Home Guard/ Security Guard</t>
  </si>
  <si>
    <t>Miscellaneous Expenses</t>
  </si>
  <si>
    <t>Freight</t>
  </si>
  <si>
    <t>Crop compensation</t>
  </si>
  <si>
    <t>Statement of Changes in Equity for the period ended March 31, 2019</t>
  </si>
  <si>
    <t xml:space="preserve">A . </t>
  </si>
  <si>
    <t>No of Shares</t>
  </si>
  <si>
    <t>Balance as at March 31, 2017</t>
  </si>
  <si>
    <t>Changes in equity share capital during 
the year</t>
  </si>
  <si>
    <t>Balance as at March 31,2018</t>
  </si>
  <si>
    <t>Balance as at March 31,2019</t>
  </si>
  <si>
    <t xml:space="preserve">B. </t>
  </si>
  <si>
    <t>Particular</t>
  </si>
  <si>
    <t>Other Items of OCI</t>
  </si>
  <si>
    <t>Capital Reserve</t>
  </si>
  <si>
    <t>Balance as per previous IGAAP March 31, 2018</t>
  </si>
  <si>
    <t>(i) Changes in accounting policy or prior period errors</t>
  </si>
  <si>
    <t>(ii) Acturial adjustment due to Ind AS</t>
  </si>
  <si>
    <t>(iii) Addition / Profit for the year other than item (i) to (ii)</t>
  </si>
  <si>
    <t>(iv) Other Comprehensive Income</t>
  </si>
  <si>
    <t>Total Comprehensive Income</t>
  </si>
  <si>
    <t>Balance at the end of the reporting period March 31, 2019</t>
  </si>
  <si>
    <t>Property Plant &amp; Equipment (Non-current)</t>
  </si>
  <si>
    <t>Land</t>
  </si>
  <si>
    <t>Buildings</t>
  </si>
  <si>
    <t>Haydrolic works</t>
  </si>
  <si>
    <t>Other civil works</t>
  </si>
  <si>
    <t>Plant and Machinery</t>
  </si>
  <si>
    <t xml:space="preserve">Lines and cables Networtk </t>
  </si>
  <si>
    <t>Vehicles</t>
  </si>
  <si>
    <t>Furniture and Fixtures</t>
  </si>
  <si>
    <t>Office Equipment</t>
  </si>
  <si>
    <t>Computers &amp; Accessories</t>
  </si>
  <si>
    <t>Depreciation Rate</t>
  </si>
  <si>
    <t>Gross Block</t>
  </si>
  <si>
    <t>Balance as at 31 march, 2017</t>
  </si>
  <si>
    <t>Additions</t>
  </si>
  <si>
    <t>Less: Disposals/Sale/Transfer</t>
  </si>
  <si>
    <t>Balance as at 31 march, 2018</t>
  </si>
  <si>
    <t>Balance as at 31 march, 2019</t>
  </si>
  <si>
    <t xml:space="preserve"> Accumulated Depreciation</t>
  </si>
  <si>
    <t>Depreciation expense</t>
  </si>
  <si>
    <t>Less: Eliminated on disposals/Sale/Transfer</t>
  </si>
  <si>
    <t>Balance as at 31 march, 2018 Updated</t>
  </si>
  <si>
    <t>Carrying Amount</t>
  </si>
  <si>
    <t>As at 31 march, 2017</t>
  </si>
  <si>
    <t>As at 31 March, 2018</t>
  </si>
  <si>
    <t>As at 31 March, 2019</t>
  </si>
  <si>
    <t>Note No 2</t>
  </si>
  <si>
    <t xml:space="preserve">Capital Work-In-Progress(CWIP) </t>
  </si>
  <si>
    <t>As at 31 March,2019</t>
  </si>
  <si>
    <t>As at 31 March,2018</t>
  </si>
  <si>
    <t>As at 31 March,2017</t>
  </si>
  <si>
    <t>Capital work in progress</t>
  </si>
  <si>
    <t>Cap Wip- RSVY</t>
  </si>
  <si>
    <t>Cap WIP-ADB</t>
  </si>
  <si>
    <t>Cap WIP- BRGF</t>
  </si>
  <si>
    <t>Cap WIP- Deposit Scheme</t>
  </si>
  <si>
    <t>Cap WIP- IRF</t>
  </si>
  <si>
    <t>Cap WIP- PSDF</t>
  </si>
  <si>
    <t>Cap WIP- State Plan</t>
  </si>
  <si>
    <t>Statement of Profit and Loss for the year ended 31st March, 2019</t>
  </si>
  <si>
    <t>Sr. No.</t>
  </si>
  <si>
    <t>Note No</t>
  </si>
  <si>
    <t>For the year ended
31st March, 2019</t>
  </si>
  <si>
    <t>For the year ended
31st March, 2018</t>
  </si>
  <si>
    <t>I</t>
  </si>
  <si>
    <t>Income</t>
  </si>
  <si>
    <t>a)</t>
  </si>
  <si>
    <t>Revenue from operations</t>
  </si>
  <si>
    <t>b)</t>
  </si>
  <si>
    <t xml:space="preserve">Total Income </t>
  </si>
  <si>
    <t>II</t>
  </si>
  <si>
    <t>Expenses</t>
  </si>
  <si>
    <t>Power Purchase cost</t>
  </si>
  <si>
    <t>c)</t>
  </si>
  <si>
    <t>d)</t>
  </si>
  <si>
    <t>Depreciation and amortisation expense</t>
  </si>
  <si>
    <t>e)</t>
  </si>
  <si>
    <t>Total Expenses</t>
  </si>
  <si>
    <t>III</t>
  </si>
  <si>
    <t>Profit (+)/ Loss (-) before tax (I - II)</t>
  </si>
  <si>
    <t>IV</t>
  </si>
  <si>
    <t>Current tax (Income Tax)</t>
  </si>
  <si>
    <t xml:space="preserve">b) </t>
  </si>
  <si>
    <t>Deferred tax</t>
  </si>
  <si>
    <t xml:space="preserve">c) </t>
  </si>
  <si>
    <t>MAT Credit Entitlement</t>
  </si>
  <si>
    <t>V</t>
  </si>
  <si>
    <t>Profit (+)/ Loss (-) for the year (III - IV)</t>
  </si>
  <si>
    <t>VI</t>
  </si>
  <si>
    <t>Other comprehensive income</t>
  </si>
  <si>
    <t>other comprehensive Income</t>
  </si>
  <si>
    <t>A</t>
  </si>
  <si>
    <t xml:space="preserve">(i) Items that will not be reclassified to profit or loss </t>
  </si>
  <si>
    <t xml:space="preserve">- Acturial Gain/(Loss) </t>
  </si>
  <si>
    <t>- Deferred Tax</t>
  </si>
  <si>
    <t>VII</t>
  </si>
  <si>
    <t>Total Comprehensive Income for the period</t>
  </si>
  <si>
    <t>VIII</t>
  </si>
  <si>
    <t>Earnings per equity share:</t>
  </si>
  <si>
    <t>Basic</t>
  </si>
  <si>
    <t>Diluted</t>
  </si>
  <si>
    <t>As per our report of even date attached</t>
  </si>
  <si>
    <t xml:space="preserve">For, </t>
  </si>
  <si>
    <t>Ajay Kishore &amp; Co.</t>
  </si>
  <si>
    <t>Sandeep Kumar R. Pudakalkatti</t>
  </si>
  <si>
    <t>CA Ajay Kishore Jha</t>
  </si>
  <si>
    <t>Partner</t>
  </si>
  <si>
    <t>Place:</t>
  </si>
  <si>
    <t>Patna</t>
  </si>
  <si>
    <t>Date:</t>
  </si>
  <si>
    <t xml:space="preserve">Bihar State Power Transmission Company Limited </t>
  </si>
  <si>
    <t>Balance Sheet as at 31st March, 2019</t>
  </si>
  <si>
    <t>Sr. No</t>
  </si>
  <si>
    <t>As at 31st March, 2019</t>
  </si>
  <si>
    <t>As at 31st March, 2018</t>
  </si>
  <si>
    <t>ASSETS</t>
  </si>
  <si>
    <t>Non-current assets</t>
  </si>
  <si>
    <t>(a)</t>
  </si>
  <si>
    <t>Property, Plant and Equipment</t>
  </si>
  <si>
    <t>(b)</t>
  </si>
  <si>
    <t>Capital work-in-progress</t>
  </si>
  <si>
    <t>(c)</t>
  </si>
  <si>
    <t>Investment Property</t>
  </si>
  <si>
    <t>(d)</t>
  </si>
  <si>
    <t>Intangible Assets</t>
  </si>
  <si>
    <t>(e)</t>
  </si>
  <si>
    <t>Financial Assets</t>
  </si>
  <si>
    <t>(i) Investments</t>
  </si>
  <si>
    <t>(i) Loans</t>
  </si>
  <si>
    <t>(ii) Others</t>
  </si>
  <si>
    <t>(f)</t>
  </si>
  <si>
    <t>Other non current assets</t>
  </si>
  <si>
    <t>Total Non-Current Assets</t>
  </si>
  <si>
    <t>Current assets</t>
  </si>
  <si>
    <t>(i)Trade receivables</t>
  </si>
  <si>
    <t>(ii) Cash and cash equivalents</t>
  </si>
  <si>
    <t>(iv) Loans</t>
  </si>
  <si>
    <t>(v) Others</t>
  </si>
  <si>
    <t>Current Tax Assets</t>
  </si>
  <si>
    <t>Total Current Assets</t>
  </si>
  <si>
    <t>Total Assets</t>
  </si>
  <si>
    <t>B</t>
  </si>
  <si>
    <t>EQUITY AND LIABILITIES</t>
  </si>
  <si>
    <t>Equity</t>
  </si>
  <si>
    <t xml:space="preserve">(i) Equity Share capital </t>
  </si>
  <si>
    <t>(ii) Other Equity</t>
  </si>
  <si>
    <t>Total Equity</t>
  </si>
  <si>
    <t>Liabilities</t>
  </si>
  <si>
    <t>Non-current liabilities</t>
  </si>
  <si>
    <t>Financial Liabilities</t>
  </si>
  <si>
    <t>(i) Borrowings</t>
  </si>
  <si>
    <t>Deferred Tax Liabilities</t>
  </si>
  <si>
    <t>Total Non-current liabilities</t>
  </si>
  <si>
    <t>Current Liabilities</t>
  </si>
  <si>
    <t>(ii)Trade payables</t>
  </si>
  <si>
    <t>(iii) Others</t>
  </si>
  <si>
    <t>Total Current Liabilities</t>
  </si>
  <si>
    <t>Total Liabilities</t>
  </si>
  <si>
    <t>Total Equity &amp; Liabilities</t>
  </si>
  <si>
    <t>The accompanying notes are an integral part of the Standalone Financial Statements.</t>
  </si>
  <si>
    <t>Pratyaya Amrit</t>
  </si>
  <si>
    <r>
      <t xml:space="preserve">(i) </t>
    </r>
    <r>
      <rPr>
        <sz val="12"/>
        <color indexed="8"/>
        <rFont val="Cambria"/>
        <family val="1"/>
      </rPr>
      <t>Deposits with banks (with original maturity more than 3 months up to 12 months)</t>
    </r>
    <r>
      <rPr>
        <b/>
        <sz val="12"/>
        <color indexed="8"/>
        <rFont val="Cambria"/>
        <family val="1"/>
      </rPr>
      <t xml:space="preserve"> </t>
    </r>
  </si>
  <si>
    <t>(iii) Bank Balances other than (ii) above</t>
  </si>
  <si>
    <t>Firm Reg. No. 005899C</t>
  </si>
  <si>
    <t>Membership No. 055086</t>
  </si>
  <si>
    <t xml:space="preserve">                                                                   Pradip Kumar</t>
  </si>
  <si>
    <t xml:space="preserve"> Managing Director DIN-07387571</t>
  </si>
  <si>
    <t>Chairman DIN-01192117</t>
  </si>
  <si>
    <t>Allotment Durinng the F.Y. 2018-19</t>
  </si>
  <si>
    <t>Addition during the year 2018-19</t>
  </si>
  <si>
    <t>Note No 3A</t>
  </si>
  <si>
    <t>Interest accrued on investments</t>
  </si>
  <si>
    <t>Amount recoverable from employees</t>
  </si>
  <si>
    <t>Other Claims and Receivables</t>
  </si>
  <si>
    <t>Other Current Tax Liabilities</t>
  </si>
  <si>
    <t>Tax Expense recognised in Statement of profit and loss</t>
  </si>
  <si>
    <t>Plant and Machinary</t>
  </si>
  <si>
    <t>Building</t>
  </si>
  <si>
    <t>Civil Works</t>
  </si>
  <si>
    <t>Hydraulic Works</t>
  </si>
  <si>
    <t>Line Cable Net Works</t>
  </si>
  <si>
    <t>Furniture and Fixture</t>
  </si>
  <si>
    <t>Total (A+B</t>
  </si>
  <si>
    <t>Total Other Interest &amp; Bank Charges</t>
  </si>
  <si>
    <t>Dererred Income -Depreciable Assets</t>
  </si>
  <si>
    <t>724,53,73,608 Equity Shares of Rs. 10 each as on March 31, 2019 &amp; 3,000,000,000 Equity Shares of Rs.10 each as on March 31, 2018</t>
  </si>
  <si>
    <t>`</t>
  </si>
  <si>
    <t>Secured - Considered Good</t>
  </si>
  <si>
    <r>
      <t xml:space="preserve">Chartered Accountants                                                         </t>
    </r>
    <r>
      <rPr>
        <b/>
        <sz val="11"/>
        <color theme="1"/>
        <rFont val="Cambria"/>
        <family val="1"/>
      </rPr>
      <t>For and on behalf of the board</t>
    </r>
  </si>
  <si>
    <t>Disclosures in respect of Ind AS 107 - Financial Instruments</t>
  </si>
  <si>
    <t>Financial Instruments by Categories</t>
  </si>
  <si>
    <t>The carrying value and fair value of financial instruments by categories are as follows:</t>
  </si>
  <si>
    <t>(Amount in Rupees )</t>
  </si>
  <si>
    <t xml:space="preserve">Total carrying value as at March 31, 2019
</t>
  </si>
  <si>
    <t xml:space="preserve">Financial assets/ liabilities at FVTPL as at March 31, 2019
</t>
  </si>
  <si>
    <t>Financial assets/ liabilities at fair value through OCI as at March 31, 2019</t>
  </si>
  <si>
    <t xml:space="preserve">Amortized cost as at March 31, 2019
</t>
  </si>
  <si>
    <t>Total fair value
as at March 31, 2019</t>
  </si>
  <si>
    <t>Financial Assets:</t>
  </si>
  <si>
    <t>Cash And Cash Equivalents</t>
  </si>
  <si>
    <t>Others</t>
  </si>
  <si>
    <t>Total Finanical Assets</t>
  </si>
  <si>
    <t>Financial Liabilities:</t>
  </si>
  <si>
    <t>Long term borrowings</t>
  </si>
  <si>
    <t>Total Financial Liabilities</t>
  </si>
  <si>
    <t>Total carrying value as at March 31, 2018</t>
  </si>
  <si>
    <t>Financial assets/ liabilities at FVTPL as at March 31, 2018</t>
  </si>
  <si>
    <t>Financial assets/ liabilities at fair value through OCI
as at March 31, 2018</t>
  </si>
  <si>
    <t>Amortized cost
as at March 31, 2018</t>
  </si>
  <si>
    <t>Total fair value
as at March 31, 2018</t>
  </si>
  <si>
    <t>Bank Deposits against LC</t>
  </si>
  <si>
    <t>Interest Accured on borrowing</t>
  </si>
  <si>
    <t>Fair Value Hierarchy</t>
  </si>
  <si>
    <t>●</t>
  </si>
  <si>
    <t>Level 1 - Level 1 hierarchy includes financial instruments measured using quoted prices (unadjusted) in active markets.</t>
  </si>
  <si>
    <t>Level 2 - Level 2 hierarchy includes financial instruments measured using inputs other than quoted prices included within Level 1 that are observable for the asset or liability, either directly (i.e. as prices) or indirectly (i.e. derived from prices).</t>
  </si>
  <si>
    <t>Level 3 - Level 3 hierarchy includes financial instruments measured using inputs that are not based on observable market data (unobservable inputs).</t>
  </si>
  <si>
    <t>The following table present fair value hierarchy of assets and liabilities measured at fair value</t>
  </si>
  <si>
    <t>Level 1</t>
  </si>
  <si>
    <t>Level 2</t>
  </si>
  <si>
    <t>Level 3</t>
  </si>
  <si>
    <t>Valuation Technique and key inputs</t>
  </si>
  <si>
    <t>Significant unobservable inputs</t>
  </si>
  <si>
    <t>As at March 31, 2018</t>
  </si>
  <si>
    <t>Financial liabilities at fair values:</t>
  </si>
  <si>
    <t>DCF</t>
  </si>
  <si>
    <t>Fair value of financial assets and financial liabilities measured at amortized cost</t>
  </si>
  <si>
    <t>Fair value</t>
  </si>
  <si>
    <t xml:space="preserve">(i) The carrying amount of current financial instruments such as trade receivables, other assets, cash and cash equivalents and other liabilities are considered to be the same as their fair values, due to their short-term nature. 
</t>
  </si>
  <si>
    <t>Financial risk management</t>
  </si>
  <si>
    <t>Financial risk factors</t>
  </si>
  <si>
    <t>Risk</t>
  </si>
  <si>
    <t xml:space="preserve">Exposure arising from </t>
  </si>
  <si>
    <t>Measurement</t>
  </si>
  <si>
    <t>Management</t>
  </si>
  <si>
    <t>Market risk- Interest rate</t>
  </si>
  <si>
    <t xml:space="preserve">Long term borrowings at fixed rate of interest </t>
  </si>
  <si>
    <t xml:space="preserve">Sensitivity analysis </t>
  </si>
  <si>
    <t xml:space="preserve">The company obtains borrowings at fixed rate of interest. </t>
  </si>
  <si>
    <t>Credit risk</t>
  </si>
  <si>
    <t>Cash and cash equivalent, trade receivables, financial instruments.</t>
  </si>
  <si>
    <t>Ageing analysis 
Credit rating</t>
  </si>
  <si>
    <t>Majority of receivable are on account of government undertaking. They are unsecured but considered good.</t>
  </si>
  <si>
    <t>Liquidity risk</t>
  </si>
  <si>
    <t>Borrowings and other liabilities</t>
  </si>
  <si>
    <t>Rolling cash flow forecasts</t>
  </si>
  <si>
    <t>Maintaining adequate cash and cash equivalent</t>
  </si>
  <si>
    <t xml:space="preserve">The Company's activities expose it to a variety of financial risks: market risk, credit risk and liquidity risk. The Company's primary focus is to foresee the unpredictability of financial markets and seek to minimize potential adverse effects on its financial performance. </t>
  </si>
  <si>
    <t xml:space="preserve">a) </t>
  </si>
  <si>
    <t>Market Risk</t>
  </si>
  <si>
    <t>Interest rate risk</t>
  </si>
  <si>
    <t>The company obtains borrowings at fixed rate of interest. Hence, company is not exposed to change in interest rates. Company’s borrowings are denominated in INR currency during  March 31, 2018 and March 31, 2017.</t>
  </si>
  <si>
    <t>The exposure of company's borrowings to interest rate changes at the end of reporting period are as follows:</t>
  </si>
  <si>
    <t>Variable rate borrowings</t>
  </si>
  <si>
    <t>Fixed rate borrowings</t>
  </si>
  <si>
    <t>Total borrowings</t>
  </si>
  <si>
    <t>Bihar State Power Transmission Company Limited.</t>
  </si>
  <si>
    <t>Notes to accounts for year ended March 31, 2018</t>
  </si>
  <si>
    <t>Sensitivity</t>
  </si>
  <si>
    <t>Profit or loss is sensitive to higher/lower expense from borrowings as a result of change in interest rates. The table summarizes the impact of increase/decrease in interest rates on Profit or loss.</t>
  </si>
  <si>
    <t>(Amount in Rupees)</t>
  </si>
  <si>
    <t>Impact on profit before tax</t>
  </si>
  <si>
    <t>March 31,2019</t>
  </si>
  <si>
    <t>March 31,2018</t>
  </si>
  <si>
    <t>Interest rates- increase by 50 Bsc Pts</t>
  </si>
  <si>
    <t>---NIL---</t>
  </si>
  <si>
    <t>Interest rates- decrease by 50 Bsc Pts</t>
  </si>
  <si>
    <t>Credit Risk</t>
  </si>
  <si>
    <t>Credit risk refers to the risk of default on its obligation by the counterparty resulting in a financial loss. The maximum exposure to the credit risk at the reporting date is primarily from trade receivables and unbilled revenue. Accordingly, credit risk from trade receivables has been separately evaluated from all other financial assets in the following paragraphs.</t>
  </si>
  <si>
    <t>i)</t>
  </si>
  <si>
    <t>Credit risk exposure</t>
  </si>
  <si>
    <t>An analysis of age of trade receivables at each reporting date is summarized as follows:</t>
  </si>
  <si>
    <t>Gross Amount</t>
  </si>
  <si>
    <t>Impairment</t>
  </si>
  <si>
    <t>Not due</t>
  </si>
  <si>
    <t>Past due less than six months</t>
  </si>
  <si>
    <t>Trade receivables are impaired when recoverability is considered doubtful based on the recovery analysis performed by the company for individual trade receivables. The company considers that all the above financial assets that are not impaired and past due for each reporting dates under review are of good credit quality.</t>
  </si>
  <si>
    <t>The company does not hold any collateral or other enhancements to cover its credit risks associated with its financial assets.</t>
  </si>
  <si>
    <t>ii)</t>
  </si>
  <si>
    <t>Other financial assets</t>
  </si>
  <si>
    <t>Foreign Currrency Rik</t>
  </si>
  <si>
    <t>USD</t>
  </si>
  <si>
    <t>Other Currency</t>
  </si>
  <si>
    <t>-</t>
  </si>
  <si>
    <t>Profit or loss is sensitive to higher/lower expense from foreign currency as a result of change in exchange rate. The table summarizes the impact of increase/decrease in exchange rate on Profit or loss.</t>
  </si>
  <si>
    <t>March 31,2017</t>
  </si>
  <si>
    <t>Interest rates- increase by 1%</t>
  </si>
  <si>
    <t>Interest rates- decrease by 1%</t>
  </si>
  <si>
    <t>Liquidity Risk</t>
  </si>
  <si>
    <t>The company's principal sources of liquidity are cash and cash equivalents, cash generated from operations.</t>
  </si>
  <si>
    <t>Company manage our liquidity needs by continuously monitoring cash inflows and by maintaining adequate cash and cash equivalents. Net cash requirements are compared to available cash in order to determine any shortfalls.</t>
  </si>
  <si>
    <t>Short term liquidity requirements consists mainly of sundry creditors, expense payable, other payable arising during the normal course of business as at each reporting date. Company maintain a sufficient balance in cash and cash equivalents to meet our short term liquidity requirements.</t>
  </si>
  <si>
    <t>Company assess long term liquidity requirements on a periodical basis and manage them through internal accruals.</t>
  </si>
  <si>
    <t>The table below provides details regarding the contractual maturities of non-derivative financial liabilities.The amount disclosed in the table is the contractual undiscounted cash flows. The table includes both principal &amp; interest cash flows.</t>
  </si>
  <si>
    <t>Less than 6 months</t>
  </si>
  <si>
    <t>6 months to 1 year</t>
  </si>
  <si>
    <t>1-5 years</t>
  </si>
  <si>
    <t>More than 5 years</t>
  </si>
  <si>
    <t>As at March 31, 2019</t>
  </si>
  <si>
    <t>Short Term Borrowing</t>
  </si>
  <si>
    <t>Long Term Borrowing*</t>
  </si>
  <si>
    <t>Security Deposit</t>
  </si>
  <si>
    <t>Other financial liability</t>
  </si>
  <si>
    <t>Capital Management</t>
  </si>
  <si>
    <t>Risk Management:</t>
  </si>
  <si>
    <t>The Company’s objectives when managing capital are to:
1.  Safeguard their ability to continue as a going concern, so that they can continue to provide returns for shareholders and benefits to other stakeholders, and
2.  Maintain an optimal capital structure to reduce the cost of capital.</t>
  </si>
  <si>
    <t>Consistent with others in the industry, the company monitors capital on the basis of the following ratio:
Net debt (total borrowings)  divided by
Total ‘Equity’ as shown in the balance sheet.</t>
  </si>
  <si>
    <t xml:space="preserve"> The debt –equity ratio of the Company is as follows :</t>
  </si>
  <si>
    <t>Long term debt (net of cash and cash equivalent)</t>
  </si>
  <si>
    <t>Equity (including capital reserve)</t>
  </si>
  <si>
    <t>Debt-Equity Ratio</t>
  </si>
  <si>
    <t>Dividend</t>
  </si>
  <si>
    <t>Dividend distributed</t>
  </si>
  <si>
    <t>Dividend declared but not paid</t>
  </si>
  <si>
    <t>Loan Convenants details to be given</t>
  </si>
  <si>
    <r>
      <t xml:space="preserve">The Company's activities expose it to a variety of financial risks: market risk, credit risk and liquidity risk. </t>
    </r>
    <r>
      <rPr>
        <sz val="11"/>
        <rFont val="Cambria"/>
        <family val="1"/>
      </rPr>
      <t xml:space="preserve">The Company's primary focus is to foresee the unpredictability of financial markets and seek to minimize potential adverse effects on its financial performance. </t>
    </r>
  </si>
  <si>
    <r>
      <t>P</t>
    </r>
    <r>
      <rPr>
        <sz val="11"/>
        <rFont val="Cambria"/>
        <family val="1"/>
      </rPr>
      <t>ast due more than six months</t>
    </r>
  </si>
  <si>
    <t>Notes to accounts for year ended March 31, 2019</t>
  </si>
  <si>
    <t>Add: Changes in accounting policy or prior period errors</t>
  </si>
  <si>
    <t>Disclosure in respect of Indian Accounting Standard (Ind AS)-23 "Borrowing Costs"</t>
  </si>
  <si>
    <t>Disclosure in respect of Indian Accounting Standard (Ind AS)-36 "Impairment of assets"</t>
  </si>
  <si>
    <t>The company has not assessed impairment of Fixed Assets being classified under major heads such as Land, Building, Plant and Machinery, Lines &amp; Cables, etc.</t>
  </si>
  <si>
    <t>Disclosure in respect of Indian Accounting standard (Ind AS)-108: "Operating Segments"</t>
  </si>
  <si>
    <t>Based on the "management approach" as defined in Ind AS 108, the Chief Operating Decision Maker (CODM) evaluates the performance and allocates resources based on an analysis of various performance indicators by business segments. Accordingly, information has been presented for each business segment. The accounting principles used in the preparation of the financial statements are consistently applied to record revenue and expenditure in individual business segment, and are as set out in the significant accounting policies.</t>
  </si>
  <si>
    <t>The company is primarily engaged in single segment business of Transmission of Power and SLDC functions.</t>
  </si>
  <si>
    <t>Entity-Wide Disclosures-</t>
  </si>
  <si>
    <t>1. Information about major customers</t>
  </si>
  <si>
    <t>Customer Name</t>
  </si>
  <si>
    <t>Segment 1</t>
  </si>
  <si>
    <t>Year ended March 
31, 2019</t>
  </si>
  <si>
    <t>Year ended March 
31, 2018</t>
  </si>
  <si>
    <t>2. Geographical Information</t>
  </si>
  <si>
    <t>Revenue from external customers by location of operations and information about its non current assets by location of assets are as follow</t>
  </si>
  <si>
    <t>Revenue from external customers</t>
  </si>
  <si>
    <t xml:space="preserve"> March 31, 2018</t>
  </si>
  <si>
    <t>India (Bihar)</t>
  </si>
  <si>
    <t>* Non-current assets for this purpose consist of property, plant and equipments and capital work in progress.</t>
  </si>
  <si>
    <t>3. Revenue from major products</t>
  </si>
  <si>
    <t>Revenue from external customers for each product and service are as follow:-</t>
  </si>
  <si>
    <t>Transmission</t>
  </si>
  <si>
    <t>Area</t>
  </si>
  <si>
    <t>Disclosure in respect of Indian Accounting Standard (Ind AS)-20 "Accounting for Government Grants and Disclosure of Government Assistance"</t>
  </si>
  <si>
    <t>The break-up of total grant in aid received for various purposes is as under: -</t>
  </si>
  <si>
    <t>Grant received for</t>
  </si>
  <si>
    <t>2018-19</t>
  </si>
  <si>
    <t>2017-18</t>
  </si>
  <si>
    <t>Capital Grant</t>
  </si>
  <si>
    <t>(i) Capital Grant &amp; Subsidies (Unutilised)</t>
  </si>
  <si>
    <t>Opening balance</t>
  </si>
  <si>
    <t xml:space="preserve">Add: Additions during the year </t>
  </si>
  <si>
    <t xml:space="preserve">Less: Utilised / transferred during the year </t>
  </si>
  <si>
    <t>Less: Refund  of Grant</t>
  </si>
  <si>
    <t>Closing balance (A)</t>
  </si>
  <si>
    <t>(ii) Capital Reserve for Assets acquired out of  Capital Grants &amp; Subsidies (Utilised)</t>
  </si>
  <si>
    <t>Less :-Loss on Assets Acquired out of Grant/subsdies</t>
  </si>
  <si>
    <t>Less :-Depreciation on Assets Acquired out of Grant/subsdies</t>
  </si>
  <si>
    <t>Closing balance (B)</t>
  </si>
  <si>
    <t>Gross Total (A+B)</t>
  </si>
  <si>
    <t>Current Portion</t>
  </si>
  <si>
    <t>Non-Current Portion</t>
  </si>
  <si>
    <t>Disclosure in respect of Indian Accounting Standard 24 "Related Parties Disclosures"</t>
  </si>
  <si>
    <t>Disclosures for Other than Govt. Related Entities</t>
  </si>
  <si>
    <t>a. Name of Related Parties and description of relationship:</t>
  </si>
  <si>
    <t>Name</t>
  </si>
  <si>
    <t>Designation</t>
  </si>
  <si>
    <t>CMD BSPHCL</t>
  </si>
  <si>
    <t>Director BSPTCL</t>
  </si>
  <si>
    <t>Renuka Kushwaha</t>
  </si>
  <si>
    <t>Women Director , BSPTCL</t>
  </si>
  <si>
    <t>MD BSPTCL</t>
  </si>
  <si>
    <t>Shiva Shankar Mishra</t>
  </si>
  <si>
    <t>Hare Ram Panday</t>
  </si>
  <si>
    <t>Uttam Kumar</t>
  </si>
  <si>
    <t>Bihar State Power Holding Company Limietd</t>
  </si>
  <si>
    <t>Holding Company</t>
  </si>
  <si>
    <t>North Bihar Power Distribution Company Limited</t>
  </si>
  <si>
    <t>Sister Concern</t>
  </si>
  <si>
    <t>South Bihar Power Distribution Company Limited</t>
  </si>
  <si>
    <t>Bihar State Power Generation Company Limietd</t>
  </si>
  <si>
    <t>b. Compensation of key management personnel</t>
  </si>
  <si>
    <t>RENUKA KUSHWAHA</t>
  </si>
  <si>
    <t>HARE RAM PANDAY</t>
  </si>
  <si>
    <t>For the year ended March 31, 2019</t>
  </si>
  <si>
    <t>For the year ended March 31, 2018</t>
  </si>
  <si>
    <t>Sitting Fee</t>
  </si>
  <si>
    <t>Remuneration</t>
  </si>
  <si>
    <t>Short-term benefits</t>
  </si>
  <si>
    <t>Post-employment benefits</t>
  </si>
  <si>
    <t>Other long-term benefits</t>
  </si>
  <si>
    <t>Termination benefits</t>
  </si>
  <si>
    <t>UTTAM KUMAR</t>
  </si>
  <si>
    <t>c. Transactions with Related Parties</t>
  </si>
  <si>
    <t>Grant received from holding during the year</t>
  </si>
  <si>
    <t>Share of Holding Expenses</t>
  </si>
  <si>
    <t>Loan received during the year</t>
  </si>
  <si>
    <t>Sale of power</t>
  </si>
  <si>
    <t>Investment made during the year</t>
  </si>
  <si>
    <t>d. Outstanding balances arising from loan transaction</t>
  </si>
  <si>
    <t>Loan Payable:</t>
  </si>
  <si>
    <t>Interest Payable:</t>
  </si>
  <si>
    <t>Disclosure in respect of Indian Accounting standard (Ind AS) 17 "Leases"</t>
  </si>
  <si>
    <t xml:space="preserve"> As lessee</t>
  </si>
  <si>
    <t>a) Finance Lease</t>
  </si>
  <si>
    <t>Net carrying value of leased business asset</t>
  </si>
  <si>
    <t>Gross Carrying value of Assets</t>
  </si>
  <si>
    <t>Accumulated Depreciation</t>
  </si>
  <si>
    <t>Net Carrying value of Assets</t>
  </si>
  <si>
    <t>For March 31, 2019</t>
  </si>
  <si>
    <t xml:space="preserve">Lease hold Land </t>
  </si>
  <si>
    <t>For March 31, 2018</t>
  </si>
  <si>
    <t>Operating Lease</t>
  </si>
  <si>
    <t>Future minimum lease payments under non-cancellable operating leases</t>
  </si>
  <si>
    <t>Not later than 1 year</t>
  </si>
  <si>
    <t>Later than 1 year and not later than 5 years</t>
  </si>
  <si>
    <t>More Than 5 Years</t>
  </si>
  <si>
    <t>Agreement entered between Power Grid and BSPTCL. Property is obtained for the purpose of utilisaion of optic fibre line. Lease tenure is of 5 years starting form february 10, 2015 to February 09, 2020. Yearly rental of INR 2,379,986 as on March, 2018 subject to esclation of 10% after every two year.</t>
  </si>
  <si>
    <t>Disclosure in respect of Indian Accounting Standard (Ind AS)-33 "Earnings Per Share(EPS)"</t>
  </si>
  <si>
    <t>i) Basic EPS</t>
  </si>
  <si>
    <t>Basic EPS amounts are calculated by dividing the profit for the year attributable to equity holders of the entity by the weighted average number of Equity shares outstanding during the year.</t>
  </si>
  <si>
    <t>Profit (loss) for the year, attributable to the owners of the company</t>
  </si>
  <si>
    <t>Earnings used in calculation of basic earnings per share(A)</t>
  </si>
  <si>
    <t>Weighted average number of ordinary shares for the purpose of basic earnings per share(B)</t>
  </si>
  <si>
    <t>Basic EPS(A/B)</t>
  </si>
  <si>
    <t>ii) Diluted EPS</t>
  </si>
  <si>
    <t>Diluted EPS amounts are calculated by dividing the profit attributable to equity holders of the entity (after adjusting for interest on the convertible preference shares) by the weighted average number of Equity shares outstanding during the year plus the weighted average number of Equity shares that would be issued on conversion of all the dilutive potential Equity shares into Equity shares.</t>
  </si>
  <si>
    <t>Weighted average number of Equity shares adjusted for the effect of dilution (B)</t>
  </si>
  <si>
    <t>Diluted EPS(A/B)</t>
  </si>
  <si>
    <t>Dep. of Year</t>
  </si>
  <si>
    <t>The company has outstanding trade receivables amounting to   Rs. 9,08,28,71,373 (March 31, 2019) &amp; 3,54,69,33,694.00 (March 31, 2018). Trade receivables are typically unsecured and are derived from revenue earned from customers.</t>
  </si>
  <si>
    <t>The Company held cash and cash equivalents of INR 14,21,65,13,808.00  March 31, 2019 &amp; INR 15,13,33,88,195.00 March 31, 2018. The cash and cash equivalents are held with public sector banks and high rated private sector banks and do not have any significant credit risk.</t>
  </si>
  <si>
    <t xml:space="preserve"> March 31, 2019</t>
  </si>
  <si>
    <t>Sanjeevan Sinha</t>
  </si>
  <si>
    <t xml:space="preserve">Profit attributable to equity holders of the owner adjusted for the effect of dilution </t>
  </si>
  <si>
    <t>Earnings used in calculation of basic earnings per share (A)</t>
  </si>
  <si>
    <t>Assets hypotecated as security</t>
  </si>
  <si>
    <t>The carrying amount of assets hypothecated as security for current &amp; non current borrowings are:</t>
  </si>
  <si>
    <t>Current</t>
  </si>
  <si>
    <t>First Charge</t>
  </si>
  <si>
    <t>Non-Financial Assets</t>
  </si>
  <si>
    <t xml:space="preserve">Hypothecation </t>
  </si>
  <si>
    <t xml:space="preserve">Total Current assets </t>
  </si>
  <si>
    <t>Non Current</t>
  </si>
  <si>
    <t>Total Non Current assets</t>
  </si>
  <si>
    <t xml:space="preserve">                                                          Chief Financial Officer</t>
  </si>
  <si>
    <t xml:space="preserve">                                                     Pradip Kumar</t>
  </si>
  <si>
    <t xml:space="preserve">                                            Chief Financial Officer</t>
  </si>
  <si>
    <t xml:space="preserve">                                                Company Secretary</t>
  </si>
  <si>
    <t xml:space="preserve">                                                         Kriti Kiran</t>
  </si>
  <si>
    <t>Pradip Kumar</t>
  </si>
  <si>
    <t>Chief Financial Officer</t>
  </si>
  <si>
    <t xml:space="preserve">Chartered Accountants                                                         </t>
  </si>
  <si>
    <t>For and on behalf of the board</t>
  </si>
  <si>
    <t>Disclosures in respect of Prior Period Items</t>
  </si>
  <si>
    <t>Year wise details of Prior Period Error</t>
  </si>
  <si>
    <t>S.No.</t>
  </si>
  <si>
    <t>Booked in FY 2018-19</t>
  </si>
  <si>
    <t>FY 2017-18</t>
  </si>
  <si>
    <t>Prior to FY 2017-18</t>
  </si>
  <si>
    <t xml:space="preserve">Interest on State Govt. Fund </t>
  </si>
  <si>
    <t>Acriation of Interest on Capital Fund</t>
  </si>
  <si>
    <t>Income Tax &amp; Interest</t>
  </si>
  <si>
    <t>Interest on Advance Tax Default</t>
  </si>
  <si>
    <t>Extract from the Statement of Profit &amp; Loss</t>
  </si>
  <si>
    <t>March 31, 2018
Ind AS Figures</t>
  </si>
  <si>
    <t>March 31, 2018
Ind AS Figures before Prior Period Errors Adjustment*</t>
  </si>
  <si>
    <t>Revenue from Operation</t>
  </si>
  <si>
    <t>Employee Benefit Expense</t>
  </si>
  <si>
    <t>All Other expenses</t>
  </si>
  <si>
    <t>Profit before Tax</t>
  </si>
  <si>
    <t>Note:</t>
  </si>
  <si>
    <t>During the year Company has booked income of Rs. 115.58 Crore in respect of interest expenses wrongly shown in Profit &amp; loss Account during the FY 2014-15 to 2017-18 on Equity Fund. It has been rectified on the base of qualification no. 3 in Statutory Auditor's report for FY 2017-18. The Company has taken various legal and professional opinion in this regard and after their confirmation, management decided to pay income tax and interest thereon. Same has been shown above as prior period adjustment</t>
  </si>
  <si>
    <t xml:space="preserve">In compliance with Board Resolution No. 67-05, dated January 24, 2019 read with Letter No.- 1458, dated June 21, 2019 issued by the Energy Department, Government of Bihar, the following accounting treatment has been made in the Standalone Financial Statements in respect of interest earned on capital fund lent to the Company by the Government of Bihar – 
Interest earned on Capital Fund during the BSEB period: The Company has recognized the entire interest transferred by BSPHCL (which was lying in the books of BSPHCL as a “liability” during the earlier financial years) as Income;
Interest earned on Capital Fund post formation of the Company: Since the entire interest earned up to March 31, 2018 on Capital Fund after the formation of the Company has been disallowed by Income Tax department in Tax Assessment, it has been recognized as General reserve of the Company and Interest earned for the year 2018-19 has been recognized as Income. </t>
  </si>
  <si>
    <t xml:space="preserve">The Income Tax Department has levied interest u/s 234B and 234C amounting to Rs. 89,56,578 for FY 2017-18 on account of Non-Compliance of Advance Tax provisions. Interest amount has been recovered by the IT Department from refund claimed by the Company. Therefore, recovered interest Rs. 89,56,578 has been appropriated in Profit &amp; Loss Account of the Company.  </t>
  </si>
  <si>
    <t>Total Line length</t>
  </si>
  <si>
    <t>Total No. of Bays</t>
  </si>
  <si>
    <t xml:space="preserve">     220 KV</t>
  </si>
  <si>
    <t xml:space="preserve">     132 KV</t>
  </si>
  <si>
    <t xml:space="preserve">     33 KV</t>
  </si>
  <si>
    <t>142 Nos</t>
  </si>
  <si>
    <t>15608 CKT KM</t>
  </si>
  <si>
    <t>177 Nos</t>
  </si>
  <si>
    <t>1128 Nos</t>
  </si>
  <si>
    <t>1348 Nos</t>
  </si>
  <si>
    <t>Quantity</t>
  </si>
  <si>
    <t>Quantitative details of Pending Cases</t>
  </si>
  <si>
    <t>CWJC</t>
  </si>
  <si>
    <t>MJC</t>
  </si>
  <si>
    <t>LPA</t>
  </si>
  <si>
    <t>SLP</t>
  </si>
  <si>
    <t xml:space="preserve">Provision for transmission charges or reversal of transmission charges for earlier years have been made as per tariff order of Hon’ble BERC on dated 15.02.2019 </t>
  </si>
  <si>
    <t>As directed by the Government of Bihar, the Company is in the process of obtaining all land records owned by it and paid Malgujari Tax on the land finalized during the year.</t>
  </si>
  <si>
    <t xml:space="preserve">Requirement of componentization of Fixed Assets has not been met due to lack of support for maintaining Fixed Assets Register in the existing Accounting Software deployed by the Company. However, Company has initiated necessary steps for Identification, Valuation and Preparation of Fixed Assets Register. </t>
  </si>
  <si>
    <t>(₹ in Lakh)</t>
  </si>
  <si>
    <t xml:space="preserve">The amount capitalized with Property, Plant &amp; Equipment's as borrowing cost is INR 5,757.00 lakh for the year ended March 31, 2018 as per policy of borrowing cost as mentioned in significant accounting policies.
</t>
  </si>
  <si>
    <t xml:space="preserve">8,10,00,00,000 Equity Shares of Rs.10 each as on March 31, 2019 &amp; 3,000,000,000 Equity Shares of Rs.10 each as on March 31, 2018
</t>
  </si>
  <si>
    <r>
      <t xml:space="preserve">Note No 12.1- </t>
    </r>
    <r>
      <rPr>
        <i/>
        <sz val="12"/>
        <color theme="1"/>
        <rFont val="Cambria"/>
        <family val="1"/>
      </rPr>
      <t>The Company has only one class of equity share, having  par value of ₹ 10/- per share.</t>
    </r>
  </si>
  <si>
    <t>* Balance of INR 35131 lakh is kept in separate PLA account received from BSPHCL of Directly by Government of Bihar for capital projects.</t>
  </si>
  <si>
    <t>Note No 26</t>
  </si>
  <si>
    <t>Total No. of GSS</t>
  </si>
  <si>
    <t>Quantitative details of Transmission lines, GSS, Bays and Personnel</t>
  </si>
  <si>
    <t>Total No. of Regular Employees</t>
  </si>
  <si>
    <t>1781 Nos</t>
  </si>
  <si>
    <t>Bihar State Power Transmission Company Limited</t>
  </si>
  <si>
    <t>Notes forming part of the Financial Statements</t>
  </si>
  <si>
    <t>Disclosure in respect of Indian Accounting Standard (Ind AS)-19 "Employee Benefits"</t>
  </si>
  <si>
    <t>General description of the Company’s Defined Employees Benefit Schemes are as under:</t>
  </si>
  <si>
    <t>(a) Gratuity:</t>
  </si>
  <si>
    <t>Gratuity liability of the Company is funded and managed by the Bihar State Electricity Employee Master Trust through LIC. It is computed on last drawn qualifying salary. Benefits of normal retirement is governed by the provisions of the Payment of Gratuity Act, 1972 as amended.</t>
  </si>
  <si>
    <t>(b) Leave Encashment:</t>
  </si>
  <si>
    <t>Leave Encashment represents Earned Leave Liability. It is computed on the last drawn qualifying salary. Yearly accrual is 30 days per annum restricted to a maximum of 300 days during the period of service. The Leave Encashment liability of the company is funded and managed by the Bihar State Electricity Employee Master Trust through LIC.</t>
  </si>
  <si>
    <t>(c) Pension:</t>
  </si>
  <si>
    <t>Pension liability of the Company includes Superannuation Pension and Family Pension. Family Pension is equivalent to 60% of the Original Pension. Pension of 50% is limited on last salary and Dearness Allowance subject to 20 years’ of service and and the same is reduced proportionately for lesser service. In respect of the spouse, Pension is encashed on the expiry of a period of 7 years or the date when the spouse would have attained age of 67 years, whichever is earlier. The pension liability of the Company is funded and manage by Bihar State Electricity Employee Master Trust through LIC.</t>
  </si>
  <si>
    <t>Summary of Membership Data</t>
  </si>
  <si>
    <t>March 31, 2019</t>
  </si>
  <si>
    <t>March 31, 2018</t>
  </si>
  <si>
    <t>March 31, 2017</t>
  </si>
  <si>
    <t>No. of regular Employees</t>
  </si>
  <si>
    <t>Total Monthly Salary (Lakh)</t>
  </si>
  <si>
    <t>Average past services (years)</t>
  </si>
  <si>
    <t>Average age (years)</t>
  </si>
  <si>
    <t>Average remaining working life (years)</t>
  </si>
  <si>
    <t>Weighted average duration</t>
  </si>
  <si>
    <t>Leave balance considered on valuation date</t>
  </si>
  <si>
    <t>In Service Employees</t>
  </si>
  <si>
    <t>No. of Employees</t>
  </si>
  <si>
    <t>Weighted average remaining working life</t>
  </si>
  <si>
    <t>Retired Employees</t>
  </si>
  <si>
    <t>No. of Retired Employees</t>
  </si>
  <si>
    <t>Spouse</t>
  </si>
  <si>
    <t>No. of Spouse</t>
  </si>
  <si>
    <t>Actuarial Assumption of Gratuity, Leave Encashment and Pension</t>
  </si>
  <si>
    <t>Method used</t>
  </si>
  <si>
    <t>Projected Unit Credit (PUC) Method</t>
  </si>
  <si>
    <t>Discount rate</t>
  </si>
  <si>
    <t>Rate of salary increase</t>
  </si>
  <si>
    <t xml:space="preserve">Basic 3%
and DA as per Govt. Rules </t>
  </si>
  <si>
    <t>Mortality basis for regular &amp; active employees including disability</t>
  </si>
  <si>
    <t>100% of Indian Assured Lives Mortality (2006 - 08)</t>
  </si>
  <si>
    <t>The summarized position of various defined benefits recognized in the Statement of Profit &amp; Loss, Other Comprehensive Income (OCI) and Balance Sheet &amp; other disclosures mandated by Ind AS-19 are as under ‒</t>
  </si>
  <si>
    <t>Change in Benefit Obligation</t>
  </si>
  <si>
    <t>(₹ in Lakhs)</t>
  </si>
  <si>
    <t>Gratuity
(Non Funded)
March 31, 2019</t>
  </si>
  <si>
    <t>Earned Leave
(Non Funded)
March 31, 2019</t>
  </si>
  <si>
    <t>Pension
(Non Funded)
March 31, 2019</t>
  </si>
  <si>
    <t>Gratuity
(Non Funded)
March 31 2018</t>
  </si>
  <si>
    <t>Earned Leave
(Non Funded)
March 31, 2018</t>
  </si>
  <si>
    <t>Pension
(Non Funded)
March 31, 2018</t>
  </si>
  <si>
    <t>Present value of obligation as at the beginning of the period</t>
  </si>
  <si>
    <t>Acquisition adjustment</t>
  </si>
  <si>
    <t>Interest Cost</t>
  </si>
  <si>
    <t xml:space="preserve">Service Cost </t>
  </si>
  <si>
    <t>Past Service Cost including curtailment Gains/Losses</t>
  </si>
  <si>
    <t>Benefits Paid</t>
  </si>
  <si>
    <t>Total Actuarial (Gain)/Loss on Obligation</t>
  </si>
  <si>
    <t>Present value of obligation as at the End of the period</t>
  </si>
  <si>
    <t>Reconciliation of Opening &amp; Closing of Plan Assets</t>
  </si>
  <si>
    <t>Fair Value of Plan Assets at end of prior year</t>
  </si>
  <si>
    <t>Difference in Opening Value</t>
  </si>
  <si>
    <t>Employer Contribution</t>
  </si>
  <si>
    <t>Expected Interest Income / Return on Assets</t>
  </si>
  <si>
    <t>Employer Direct Benefit Payments</t>
  </si>
  <si>
    <t>Plan Participant's Contributions</t>
  </si>
  <si>
    <t>Transfer In / Acquisitions</t>
  </si>
  <si>
    <t>Transfer Out / Divestures</t>
  </si>
  <si>
    <t>Benefits Pay-outs from Employer</t>
  </si>
  <si>
    <t>Benefits Payouts from Plan</t>
  </si>
  <si>
    <t>Settlements by Fund Manager</t>
  </si>
  <si>
    <t>Admin Expenses / Taxes paid from Plan Assets</t>
  </si>
  <si>
    <t>Effect of Change in Exchange Rates</t>
  </si>
  <si>
    <t>Insurance Premiums for Risk Benefits</t>
  </si>
  <si>
    <t>Actuarial Gain / (Loss)</t>
  </si>
  <si>
    <t>Fair Value of Assets at the End</t>
  </si>
  <si>
    <t>Actual Return on Plan Assets</t>
  </si>
  <si>
    <t>Net Asset/(Liability) Recognized in Balance Sheet</t>
  </si>
  <si>
    <t>Gratuity
(Non Funded)
March 31, 2018</t>
  </si>
  <si>
    <t>Present Value of Funded Obligation</t>
  </si>
  <si>
    <t>Fair Value of Plan Assets</t>
  </si>
  <si>
    <t>Present Value of Unfunded Obligation</t>
  </si>
  <si>
    <t>Funded Status [Surplus/(Deficit)] ‒ Para 64(a) of Ind AS-19</t>
  </si>
  <si>
    <t>Unrecognised Past Service Costs</t>
  </si>
  <si>
    <t xml:space="preserve">Amount not Recognised as an Asset [Limit in Para 64(b) of Ind AS-19] </t>
  </si>
  <si>
    <t>Net Liability</t>
  </si>
  <si>
    <t>Recognised in Balance Sheet</t>
  </si>
  <si>
    <t>Net Balance Sheet Asset / Liability recognised at the end of the period</t>
  </si>
  <si>
    <t>Present Value of Encashment Obligation</t>
  </si>
  <si>
    <t>Present Value of Availment Obligation</t>
  </si>
  <si>
    <t>Assumption on March 31, 2019: Discount Rate as per Para 144 of Ind AS-19: 7.77%</t>
  </si>
  <si>
    <t>Current &amp; Non-Current Bifurcation &amp; Funded Status</t>
  </si>
  <si>
    <t>Present Value of Benefit Obligation - Current</t>
  </si>
  <si>
    <t>Present Value of Benefit Obligation - Non-current</t>
  </si>
  <si>
    <t>Funded Status [Surplus / (Deficit)] - Current</t>
  </si>
  <si>
    <t>Funded Status [Surplus / (Deficit)] - Non-current</t>
  </si>
  <si>
    <t>Reconciliation of Net Balance Sheet Liability</t>
  </si>
  <si>
    <t>Net Balance Sheet / (Liability) recognised at the beginning</t>
  </si>
  <si>
    <t>Amount recognised in Accumulated Other Comprehensive Income / (Loss) at the beginning of the period</t>
  </si>
  <si>
    <t>(Accrued) / Prepaid benefit cost (before adjustment) at the beginning of the period</t>
  </si>
  <si>
    <t>Net Periodic Benefit (Cost) / Income for the period excluding Para 64(b) of Ind AS-19</t>
  </si>
  <si>
    <t>Employers' Direct Benefits Payments</t>
  </si>
  <si>
    <t>Amount not recognised as an Asset [Limit in Para 64(b) of Ind AS-19] ‒ Opening Figure of March 31, 2018</t>
  </si>
  <si>
    <t>(Accrued) / Prepaid benefit cost [Before Adjustment] at the end of the Period</t>
  </si>
  <si>
    <t>Amoun recognised in Accumulated Other Comprehensive Income / (Loss) at the end of the period</t>
  </si>
  <si>
    <t>Acquisition / Divestures / Transfer</t>
  </si>
  <si>
    <t>Effect of the Limit in Para 64(b) of Ind AS-19</t>
  </si>
  <si>
    <t>Amount Recognized in Statement of Profit and Loss</t>
  </si>
  <si>
    <t>Current service cost</t>
  </si>
  <si>
    <t>Net Interest cost</t>
  </si>
  <si>
    <t>Actuarial (gain)/loss on obligations</t>
  </si>
  <si>
    <t>Cost Recognized in P&amp;L (A+B+C)</t>
  </si>
  <si>
    <t>Amount recognized in Other Comprehensive Income (OCI)</t>
  </si>
  <si>
    <t>Opening Cumulative Other Comprehensive Income</t>
  </si>
  <si>
    <t>Actuarial Loss / (Gain) on DBO</t>
  </si>
  <si>
    <t>Actuarial Loss / (Gain) on Assets</t>
  </si>
  <si>
    <t>Amortization Actuarial Loss / (Gain)</t>
  </si>
  <si>
    <t>Net increasing in OCI</t>
  </si>
  <si>
    <t>Total Recognised in Other Comprehensive Income</t>
  </si>
  <si>
    <t>Sensitivity Analysis</t>
  </si>
  <si>
    <t>Assumption</t>
  </si>
  <si>
    <t>Gratuity
(Non Funded)</t>
  </si>
  <si>
    <t>Earned Leave
(Non Funded)</t>
  </si>
  <si>
    <t>Pension 
(Non Funded)</t>
  </si>
  <si>
    <t>Change in Assumption</t>
  </si>
  <si>
    <t>Liability</t>
  </si>
  <si>
    <t>Increase in DBO</t>
  </si>
  <si>
    <t>Discount Rate ± 100 Basis Points</t>
  </si>
  <si>
    <t>Salary Growth Rate ± 100 Basis Points</t>
  </si>
  <si>
    <t>Attrition Rate ± 100 Basis Points</t>
  </si>
  <si>
    <t>Mortality Rate + 10% UP</t>
  </si>
  <si>
    <t>+0.5%</t>
  </si>
  <si>
    <t>-0.5%</t>
  </si>
  <si>
    <t>Medical Cost Rate</t>
  </si>
  <si>
    <t>Salary growth rate</t>
  </si>
  <si>
    <t>Category of investment in Plan Assets</t>
  </si>
  <si>
    <t>Category of Investment</t>
  </si>
  <si>
    <t>% of fair value of plan assets</t>
  </si>
  <si>
    <t>Funds managed by Insurer</t>
  </si>
  <si>
    <t>Change in Plan Assets</t>
  </si>
  <si>
    <t>Maturity Profile of Deferred Benefit Obligation (at Discounted Values / Present Values)</t>
  </si>
  <si>
    <t>Year</t>
  </si>
  <si>
    <t>0 to 1 Year</t>
  </si>
  <si>
    <t>1 to 2 Year</t>
  </si>
  <si>
    <t>2 to 3 Year</t>
  </si>
  <si>
    <t>3 to 4 Year</t>
  </si>
  <si>
    <t>4 to 5 Year</t>
  </si>
  <si>
    <t>5 to 6 Year</t>
  </si>
  <si>
    <t>6 Year onwards</t>
  </si>
  <si>
    <t>Payouts above 10 years</t>
  </si>
  <si>
    <t>Income Tax</t>
  </si>
  <si>
    <t>Service Tax</t>
  </si>
  <si>
    <t>Contingent Liability</t>
  </si>
  <si>
    <t>No. of Cases Pending</t>
  </si>
  <si>
    <t>Note: CWJC, MJC, LPA and SLP pending are mostly related to Service Matters. Amount relatable to such cases is not quantifiable.</t>
  </si>
  <si>
    <t>As on 31.03.2019</t>
  </si>
  <si>
    <t>As on 31.03.2018</t>
  </si>
  <si>
    <t>N.A.</t>
  </si>
  <si>
    <r>
      <rPr>
        <b/>
        <sz val="12"/>
        <color theme="1"/>
        <rFont val="Cambria"/>
        <family val="1"/>
      </rPr>
      <t>Contingent Assets:</t>
    </r>
    <r>
      <rPr>
        <sz val="12"/>
        <color theme="1"/>
        <rFont val="Cambria"/>
        <family val="1"/>
      </rPr>
      <t xml:space="preserve"> No Contingent Assets reported as on Balance Sheet date.</t>
    </r>
  </si>
  <si>
    <t>* Vide resloution No. 67-03, dated January 24, 2019 read with BSPHCL Letter No. 164, dated January 24, 2019, terminal benefits obligation has been centralized at the level of BSPHCL. Hence all balances transferred to BSPHCL in FY 2018-19</t>
  </si>
  <si>
    <t>* Requirement of valuation of inventories and it’s classification in capital and spare inventory has not been met due to lack of support for maintaining Inventory Register in the existing Accounting Software deployed by the Company.</t>
  </si>
  <si>
    <t>Customer I</t>
  </si>
  <si>
    <t>Customer II</t>
  </si>
  <si>
    <t>Above two customer contribute more than 85% of entity revenue.</t>
  </si>
  <si>
    <t>- Receoverable From GoB/BSPHCL</t>
  </si>
  <si>
    <t>The Company’s liability towards long-term defined employee benefits – leave encashment, gratuity and pension have been determined through Actuarial Valuation by Independent Actuaries using the Projected Unit Cost Method. Vide Board Resolution No. 67-03, dated January 24, 2019 read with BSPHCL Letter No. 164, dated January 25, 2019, BSPHCL has set-up a dedicated Pension Section for centralized disbursal of terminal benefit obligations of the entire Group including BSPTCL. Accordingly, for facilitating proper comparison of the Company’s Financial Statements on a year-on-year basis, the Company has recast its Terminal Benefit Obligations for the Financial Year 2017-18 as per the latest Actuarial Report, dated August 06, 2019, duly factoring the changes having taken place on account of the aforesaid Centralization.</t>
  </si>
  <si>
    <r>
      <t xml:space="preserve">Chartered Accountants                                                         </t>
    </r>
    <r>
      <rPr>
        <b/>
        <sz val="11"/>
        <color theme="2" tint="-0.89999084444715716"/>
        <rFont val="Cambria"/>
        <family val="1"/>
      </rPr>
      <t>For and on behalf of the board</t>
    </r>
  </si>
  <si>
    <t xml:space="preserve">  Patna</t>
  </si>
  <si>
    <t xml:space="preserve">Patna                                                                     </t>
  </si>
  <si>
    <t>Schedule Change in Working Capital</t>
  </si>
  <si>
    <t xml:space="preserve">Change </t>
  </si>
  <si>
    <t>CURRENT ASSETS</t>
  </si>
  <si>
    <t>CURRENT LIABILITIES</t>
  </si>
  <si>
    <t>Change In Working Capital</t>
  </si>
  <si>
    <t>Increase/                           (Decrease)</t>
  </si>
  <si>
    <t>Other Financial Assets</t>
  </si>
  <si>
    <t>Other Financial Liabilities</t>
  </si>
  <si>
    <t>Statement of Cash Flow</t>
  </si>
  <si>
    <t>Net Profit before tax as per Profit &amp; Loss Account</t>
  </si>
  <si>
    <t>Adjusted for:</t>
  </si>
  <si>
    <t>Interest Expenses</t>
  </si>
  <si>
    <t>Operating Profit before Working  Capital Changes</t>
  </si>
  <si>
    <t xml:space="preserve">Change in Working Capital </t>
  </si>
  <si>
    <t>(A)</t>
  </si>
  <si>
    <t>Tax Expenses</t>
  </si>
  <si>
    <t>Cash and Cash Equivalent fron Investing Activities:</t>
  </si>
  <si>
    <t>Investment in PPE</t>
  </si>
  <si>
    <t>Sale Preceeds of PPE</t>
  </si>
  <si>
    <t>Change in CWIP</t>
  </si>
  <si>
    <t>Realisation from Staff Loan</t>
  </si>
  <si>
    <t>Realisaion from Other Non Current Assets</t>
  </si>
  <si>
    <t>Cash and Cash Equivalent fron Financing Activities:</t>
  </si>
  <si>
    <t>Fund Received from Consmers</t>
  </si>
  <si>
    <t xml:space="preserve">Issue of Share </t>
  </si>
  <si>
    <t>Adjustment for Deferred Tax Liabilities</t>
  </si>
  <si>
    <t>Repayment / Adjustment of Loan</t>
  </si>
  <si>
    <t>Settlement of Terminal Benefit Liabilities</t>
  </si>
  <si>
    <t>Prior Period Errors</t>
  </si>
  <si>
    <t>Net Increase/(Decrease) in cash and cash equivalents (A+B+C)</t>
  </si>
  <si>
    <t>Net Cash used in Operating Activities (A)</t>
  </si>
  <si>
    <t>Net Cash from Investing Activities (B)</t>
  </si>
  <si>
    <t>Net Cash from Financing Activities (C)</t>
  </si>
  <si>
    <t>Cash and cash equivalents at the beginning of the year</t>
  </si>
  <si>
    <t>Cash and cash equivalents at the end of the year</t>
  </si>
  <si>
    <t>Cash and Cash Equivalent from Operating Activities:</t>
  </si>
  <si>
    <t>(C)</t>
  </si>
  <si>
    <t>(B)</t>
  </si>
  <si>
    <t xml:space="preserve">                                                                     Pradip Kumar</t>
  </si>
</sst>
</file>

<file path=xl/styles.xml><?xml version="1.0" encoding="utf-8"?>
<styleSheet xmlns="http://schemas.openxmlformats.org/spreadsheetml/2006/main">
  <numFmts count="12">
    <numFmt numFmtId="43" formatCode="_ * #,##0.00_ ;_ * \-#,##0.00_ ;_ * &quot;-&quot;??_ ;_ @_ "/>
    <numFmt numFmtId="164" formatCode="_(* #,##0_);_(* \(#,##0\);_(* &quot;-&quot;_);_(@_)"/>
    <numFmt numFmtId="165" formatCode="_(* #,##0.00_);_(* \(#,##0.00\);_(* &quot;-&quot;??_);_(@_)"/>
    <numFmt numFmtId="166" formatCode="0.0"/>
    <numFmt numFmtId="167" formatCode="_ * #,##0_ ;_ * \-#,##0_ ;_ * &quot;-&quot;??_ ;_ @_ "/>
    <numFmt numFmtId="168" formatCode="_(* #,##0_);_(* \(#,##0\);_(* &quot;-&quot;??_);_(@_)"/>
    <numFmt numFmtId="169" formatCode="0_);[Red]\(0\)"/>
    <numFmt numFmtId="170" formatCode="0_);\(0\)"/>
    <numFmt numFmtId="171" formatCode="[$-409]mmmm\ d\,\ yyyy;@"/>
    <numFmt numFmtId="172" formatCode="_(* #,##0.00_);_(* \(#,##0.00\);_(* &quot;-&quot;_);_(@_)"/>
    <numFmt numFmtId="173" formatCode="_ * #,##0.00000000000_ ;_ * \-#,##0.00000000000_ ;_ * &quot;-&quot;??_ ;_ @_ "/>
    <numFmt numFmtId="174" formatCode="_ * #,##0.0000000_ ;_ * \-#,##0.0000000_ ;_ * &quot;-&quot;??_ ;_ @_ "/>
  </numFmts>
  <fonts count="71">
    <font>
      <sz val="11"/>
      <color theme="1"/>
      <name val="Calibri"/>
      <family val="2"/>
      <scheme val="minor"/>
    </font>
    <font>
      <sz val="11"/>
      <color theme="1"/>
      <name val="Calibri"/>
      <family val="2"/>
      <scheme val="minor"/>
    </font>
    <font>
      <sz val="10"/>
      <color theme="1"/>
      <name val="Verdana"/>
      <family val="2"/>
    </font>
    <font>
      <sz val="10"/>
      <name val="Arial"/>
      <family val="2"/>
    </font>
    <font>
      <sz val="11"/>
      <color indexed="8"/>
      <name val="Calibri"/>
      <family val="2"/>
    </font>
    <font>
      <sz val="12"/>
      <color indexed="8"/>
      <name val="Garamond"/>
      <family val="1"/>
    </font>
    <font>
      <sz val="12"/>
      <color theme="1"/>
      <name val="Garamond"/>
      <family val="1"/>
    </font>
    <font>
      <b/>
      <sz val="12"/>
      <color indexed="8"/>
      <name val="Garamond"/>
      <family val="1"/>
    </font>
    <font>
      <sz val="12"/>
      <name val="Garamond"/>
      <family val="1"/>
    </font>
    <font>
      <b/>
      <sz val="12"/>
      <color theme="1"/>
      <name val="Garamond"/>
      <family val="1"/>
    </font>
    <font>
      <sz val="12"/>
      <color theme="1"/>
      <name val="Calibri"/>
      <family val="2"/>
      <scheme val="minor"/>
    </font>
    <font>
      <u/>
      <sz val="10"/>
      <color indexed="12"/>
      <name val="Arial"/>
      <family val="2"/>
    </font>
    <font>
      <sz val="12"/>
      <color theme="1"/>
      <name val="Cambria"/>
      <family val="1"/>
    </font>
    <font>
      <b/>
      <sz val="14"/>
      <name val="Cambria"/>
      <family val="1"/>
    </font>
    <font>
      <b/>
      <sz val="12"/>
      <color theme="1"/>
      <name val="Cambria"/>
      <family val="1"/>
    </font>
    <font>
      <b/>
      <i/>
      <u/>
      <sz val="12"/>
      <color theme="1"/>
      <name val="Cambria"/>
      <family val="1"/>
    </font>
    <font>
      <b/>
      <sz val="11"/>
      <color indexed="8"/>
      <name val="Cambria"/>
      <family val="1"/>
    </font>
    <font>
      <b/>
      <sz val="11"/>
      <color theme="1"/>
      <name val="Cambria"/>
      <family val="1"/>
    </font>
    <font>
      <sz val="11"/>
      <color theme="1"/>
      <name val="Cambria"/>
      <family val="1"/>
    </font>
    <font>
      <b/>
      <sz val="11"/>
      <name val="Cambria"/>
      <family val="1"/>
    </font>
    <font>
      <sz val="11"/>
      <name val="Cambria"/>
      <family val="1"/>
    </font>
    <font>
      <b/>
      <sz val="12"/>
      <name val="Cambria"/>
      <family val="1"/>
    </font>
    <font>
      <sz val="12"/>
      <name val="Cambria"/>
      <family val="1"/>
    </font>
    <font>
      <b/>
      <u/>
      <sz val="12"/>
      <name val="Cambria"/>
      <family val="1"/>
    </font>
    <font>
      <b/>
      <sz val="12"/>
      <color indexed="8"/>
      <name val="Cambria"/>
      <family val="1"/>
    </font>
    <font>
      <b/>
      <u/>
      <sz val="12"/>
      <color rgb="FF000000"/>
      <name val="Cambria"/>
      <family val="1"/>
    </font>
    <font>
      <sz val="12"/>
      <color rgb="FF000000"/>
      <name val="Cambria"/>
      <family val="1"/>
    </font>
    <font>
      <b/>
      <sz val="12"/>
      <color rgb="FF000000"/>
      <name val="Cambria"/>
      <family val="1"/>
    </font>
    <font>
      <i/>
      <sz val="12"/>
      <color theme="1"/>
      <name val="Cambria"/>
      <family val="1"/>
    </font>
    <font>
      <sz val="12"/>
      <color indexed="8"/>
      <name val="Cambria"/>
      <family val="1"/>
    </font>
    <font>
      <sz val="10"/>
      <color theme="1"/>
      <name val="Cambria"/>
      <family val="1"/>
    </font>
    <font>
      <b/>
      <u/>
      <sz val="11"/>
      <name val="Cambria"/>
      <family val="1"/>
    </font>
    <font>
      <sz val="11"/>
      <color indexed="8"/>
      <name val="Cambria"/>
      <family val="1"/>
    </font>
    <font>
      <b/>
      <u/>
      <sz val="12"/>
      <color indexed="8"/>
      <name val="Cambria"/>
      <family val="1"/>
    </font>
    <font>
      <u/>
      <sz val="12"/>
      <name val="Cambria"/>
      <family val="1"/>
    </font>
    <font>
      <b/>
      <i/>
      <sz val="12"/>
      <name val="Cambria"/>
      <family val="1"/>
    </font>
    <font>
      <sz val="11"/>
      <color rgb="FF000000"/>
      <name val="Cambria"/>
      <family val="1"/>
    </font>
    <font>
      <b/>
      <sz val="16"/>
      <color rgb="FF002060"/>
      <name val="Cambria"/>
      <family val="1"/>
    </font>
    <font>
      <b/>
      <sz val="12"/>
      <color rgb="FF002060"/>
      <name val="Cambria"/>
      <family val="1"/>
    </font>
    <font>
      <b/>
      <sz val="10"/>
      <color theme="1"/>
      <name val="Cambria"/>
      <family val="1"/>
    </font>
    <font>
      <sz val="11"/>
      <color theme="0"/>
      <name val="Cambria"/>
      <family val="1"/>
    </font>
    <font>
      <b/>
      <sz val="14"/>
      <color indexed="8"/>
      <name val="Cambria"/>
      <family val="1"/>
    </font>
    <font>
      <i/>
      <sz val="11"/>
      <color indexed="8"/>
      <name val="Cambria"/>
      <family val="1"/>
    </font>
    <font>
      <b/>
      <sz val="11"/>
      <color rgb="FF000000"/>
      <name val="Cambria"/>
      <family val="1"/>
    </font>
    <font>
      <sz val="10"/>
      <color rgb="FF000000"/>
      <name val="Cambria"/>
      <family val="1"/>
    </font>
    <font>
      <sz val="11"/>
      <color rgb="FFFF0000"/>
      <name val="Cambria"/>
      <family val="1"/>
    </font>
    <font>
      <b/>
      <sz val="10"/>
      <color rgb="FF000000"/>
      <name val="Cambria"/>
      <family val="1"/>
    </font>
    <font>
      <b/>
      <sz val="10"/>
      <color indexed="8"/>
      <name val="Cambria"/>
      <family val="1"/>
    </font>
    <font>
      <sz val="10"/>
      <color indexed="8"/>
      <name val="Cambria"/>
      <family val="1"/>
    </font>
    <font>
      <i/>
      <sz val="11"/>
      <color rgb="FF000000"/>
      <name val="Cambria"/>
      <family val="1"/>
    </font>
    <font>
      <b/>
      <sz val="9"/>
      <color indexed="8"/>
      <name val="Cambria"/>
      <family val="1"/>
    </font>
    <font>
      <i/>
      <sz val="12"/>
      <color indexed="8"/>
      <name val="Garamond"/>
      <family val="1"/>
    </font>
    <font>
      <i/>
      <sz val="12"/>
      <color indexed="8"/>
      <name val="Cambria"/>
      <family val="1"/>
    </font>
    <font>
      <i/>
      <sz val="12"/>
      <name val="Cambria"/>
      <family val="1"/>
    </font>
    <font>
      <i/>
      <sz val="12"/>
      <color rgb="FF000000"/>
      <name val="Cambria"/>
      <family val="1"/>
    </font>
    <font>
      <sz val="8"/>
      <color indexed="8"/>
      <name val="Cambria"/>
      <family val="1"/>
    </font>
    <font>
      <sz val="12"/>
      <color indexed="8"/>
      <name val="Book Antiqua"/>
      <family val="1"/>
    </font>
    <font>
      <i/>
      <sz val="12"/>
      <color indexed="8"/>
      <name val="Book Antiqua"/>
      <family val="1"/>
    </font>
    <font>
      <i/>
      <sz val="11"/>
      <color theme="1"/>
      <name val="Cambria"/>
      <family val="1"/>
    </font>
    <font>
      <i/>
      <sz val="11"/>
      <name val="Cambria"/>
      <family val="1"/>
    </font>
    <font>
      <i/>
      <sz val="10"/>
      <name val="Cambria"/>
      <family val="1"/>
    </font>
    <font>
      <b/>
      <i/>
      <sz val="12"/>
      <color theme="1"/>
      <name val="Cambria"/>
      <family val="1"/>
    </font>
    <font>
      <b/>
      <sz val="10"/>
      <name val="Cambria"/>
      <family val="1"/>
    </font>
    <font>
      <b/>
      <i/>
      <sz val="12"/>
      <color indexed="8"/>
      <name val="Cambria"/>
      <family val="1"/>
    </font>
    <font>
      <b/>
      <sz val="14"/>
      <color theme="4" tint="-0.499984740745262"/>
      <name val="Cambria"/>
      <family val="1"/>
    </font>
    <font>
      <b/>
      <sz val="12"/>
      <color theme="4" tint="-0.499984740745262"/>
      <name val="Cambria"/>
      <family val="1"/>
    </font>
    <font>
      <b/>
      <sz val="12"/>
      <color theme="2" tint="-0.89999084444715716"/>
      <name val="Cambria"/>
      <family val="1"/>
    </font>
    <font>
      <sz val="12"/>
      <color theme="2" tint="-0.89999084444715716"/>
      <name val="Cambria"/>
      <family val="1"/>
    </font>
    <font>
      <b/>
      <sz val="11"/>
      <color theme="2" tint="-0.89999084444715716"/>
      <name val="Cambria"/>
      <family val="1"/>
    </font>
    <font>
      <sz val="11"/>
      <color theme="2" tint="-0.89999084444715716"/>
      <name val="Cambria"/>
      <family val="1"/>
    </font>
    <font>
      <sz val="12"/>
      <color theme="1"/>
      <name val="Book Antiqua"/>
      <family val="1"/>
    </font>
  </fonts>
  <fills count="12">
    <fill>
      <patternFill patternType="none"/>
    </fill>
    <fill>
      <patternFill patternType="gray125"/>
    </fill>
    <fill>
      <patternFill patternType="solid">
        <fgColor theme="8" tint="0.39997558519241921"/>
        <bgColor indexed="64"/>
      </patternFill>
    </fill>
    <fill>
      <patternFill patternType="solid">
        <fgColor theme="2" tint="-9.9978637043366805E-2"/>
        <bgColor indexed="64"/>
      </patternFill>
    </fill>
    <fill>
      <patternFill patternType="solid">
        <fgColor indexed="65"/>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auto="1"/>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indexed="64"/>
      </bottom>
      <diagonal/>
    </border>
    <border>
      <left style="medium">
        <color auto="1"/>
      </left>
      <right style="thin">
        <color auto="1"/>
      </right>
      <top style="thin">
        <color auto="1"/>
      </top>
      <bottom style="medium">
        <color auto="1"/>
      </bottom>
      <diagonal/>
    </border>
    <border>
      <left/>
      <right style="medium">
        <color auto="1"/>
      </right>
      <top style="thin">
        <color indexed="64"/>
      </top>
      <bottom style="medium">
        <color auto="1"/>
      </bottom>
      <diagonal/>
    </border>
    <border>
      <left/>
      <right/>
      <top/>
      <bottom style="medium">
        <color indexed="64"/>
      </bottom>
      <diagonal/>
    </border>
    <border>
      <left style="medium">
        <color auto="1"/>
      </left>
      <right style="thin">
        <color auto="1"/>
      </right>
      <top style="medium">
        <color auto="1"/>
      </top>
      <bottom/>
      <diagonal/>
    </border>
    <border>
      <left style="thin">
        <color indexed="64"/>
      </left>
      <right style="thin">
        <color indexed="64"/>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top style="medium">
        <color auto="1"/>
      </top>
      <bottom style="thin">
        <color auto="1"/>
      </bottom>
      <diagonal/>
    </border>
    <border>
      <left/>
      <right style="medium">
        <color indexed="64"/>
      </right>
      <top style="medium">
        <color indexed="64"/>
      </top>
      <bottom style="thin">
        <color indexed="64"/>
      </bottom>
      <diagonal/>
    </border>
    <border>
      <left/>
      <right/>
      <top style="medium">
        <color auto="1"/>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auto="1"/>
      </right>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thin">
        <color auto="1"/>
      </bottom>
      <diagonal/>
    </border>
    <border>
      <left/>
      <right style="thin">
        <color indexed="64"/>
      </right>
      <top style="thin">
        <color auto="1"/>
      </top>
      <bottom style="medium">
        <color indexed="64"/>
      </bottom>
      <diagonal/>
    </border>
  </borders>
  <cellStyleXfs count="23">
    <xf numFmtId="0" fontId="0"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3" fillId="0" borderId="0"/>
    <xf numFmtId="0" fontId="1" fillId="0" borderId="0"/>
    <xf numFmtId="43" fontId="4"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0" fontId="1" fillId="0" borderId="0"/>
    <xf numFmtId="165" fontId="1" fillId="0" borderId="0" applyFont="0" applyFill="0" applyBorder="0" applyAlignment="0" applyProtection="0"/>
    <xf numFmtId="0" fontId="10" fillId="0" borderId="0"/>
    <xf numFmtId="0" fontId="4" fillId="0" borderId="0" applyFill="0" applyProtection="0"/>
    <xf numFmtId="0" fontId="1" fillId="0" borderId="0"/>
    <xf numFmtId="0" fontId="1" fillId="0" borderId="0"/>
    <xf numFmtId="165" fontId="1" fillId="0" borderId="0" applyFont="0" applyFill="0" applyBorder="0" applyAlignment="0" applyProtection="0"/>
    <xf numFmtId="0" fontId="3" fillId="0" borderId="0"/>
    <xf numFmtId="0" fontId="3" fillId="0" borderId="0"/>
  </cellStyleXfs>
  <cellXfs count="966">
    <xf numFmtId="0" fontId="0" fillId="0" borderId="0" xfId="0"/>
    <xf numFmtId="0" fontId="12" fillId="0" borderId="0" xfId="0" applyFont="1" applyAlignment="1">
      <alignment vertical="top"/>
    </xf>
    <xf numFmtId="0" fontId="15" fillId="0" borderId="0" xfId="0" applyFont="1" applyAlignment="1">
      <alignment horizontal="right" vertical="top"/>
    </xf>
    <xf numFmtId="167" fontId="15" fillId="0" borderId="0" xfId="3" applyNumberFormat="1" applyFont="1" applyAlignment="1">
      <alignment horizontal="right" vertical="top"/>
    </xf>
    <xf numFmtId="43" fontId="12" fillId="0" borderId="0" xfId="3" applyFont="1" applyAlignment="1">
      <alignment vertical="top"/>
    </xf>
    <xf numFmtId="0" fontId="12" fillId="0" borderId="1" xfId="0" applyFont="1" applyBorder="1" applyAlignment="1">
      <alignment vertical="top"/>
    </xf>
    <xf numFmtId="0" fontId="14" fillId="0" borderId="0" xfId="0" applyFont="1" applyAlignment="1">
      <alignment vertical="top"/>
    </xf>
    <xf numFmtId="0" fontId="18" fillId="0" borderId="0" xfId="0" applyFont="1" applyAlignment="1">
      <alignment vertical="top"/>
    </xf>
    <xf numFmtId="167" fontId="12" fillId="0" borderId="0" xfId="3" applyNumberFormat="1" applyFont="1" applyAlignment="1">
      <alignment vertical="top"/>
    </xf>
    <xf numFmtId="0" fontId="12" fillId="0" borderId="0" xfId="0" applyFont="1"/>
    <xf numFmtId="166" fontId="14" fillId="0" borderId="0" xfId="0" applyNumberFormat="1" applyFont="1" applyAlignment="1">
      <alignment horizontal="center" vertical="top"/>
    </xf>
    <xf numFmtId="0" fontId="21" fillId="0" borderId="0" xfId="7" applyNumberFormat="1" applyFont="1" applyAlignment="1">
      <alignment horizontal="left" vertical="top"/>
    </xf>
    <xf numFmtId="168" fontId="12" fillId="0" borderId="0" xfId="0" applyNumberFormat="1" applyFont="1" applyAlignment="1">
      <alignment vertical="top"/>
    </xf>
    <xf numFmtId="0" fontId="21" fillId="0" borderId="0" xfId="7" applyNumberFormat="1" applyFont="1" applyAlignment="1">
      <alignment horizontal="left"/>
    </xf>
    <xf numFmtId="169" fontId="22" fillId="0" borderId="1" xfId="0" applyNumberFormat="1" applyFont="1" applyBorder="1" applyAlignment="1">
      <alignment vertical="top"/>
    </xf>
    <xf numFmtId="168" fontId="12" fillId="0" borderId="1" xfId="0" applyNumberFormat="1" applyFont="1" applyBorder="1" applyAlignment="1">
      <alignment vertical="top"/>
    </xf>
    <xf numFmtId="0" fontId="18" fillId="0" borderId="0" xfId="0" applyFont="1"/>
    <xf numFmtId="0" fontId="22" fillId="0" borderId="0" xfId="0" applyFont="1" applyAlignment="1">
      <alignment vertical="top" wrapText="1"/>
    </xf>
    <xf numFmtId="168" fontId="14" fillId="0" borderId="0" xfId="0" applyNumberFormat="1" applyFont="1" applyAlignment="1">
      <alignment vertical="top"/>
    </xf>
    <xf numFmtId="0" fontId="21" fillId="0" borderId="0" xfId="0" applyFont="1"/>
    <xf numFmtId="167" fontId="12" fillId="0" borderId="1" xfId="3" applyNumberFormat="1" applyFont="1" applyBorder="1" applyAlignment="1">
      <alignment vertical="top"/>
    </xf>
    <xf numFmtId="169" fontId="22" fillId="0" borderId="2" xfId="0" applyNumberFormat="1" applyFont="1" applyBorder="1" applyAlignment="1">
      <alignment vertical="top"/>
    </xf>
    <xf numFmtId="0" fontId="14" fillId="0" borderId="1" xfId="0" applyFont="1" applyBorder="1" applyAlignment="1">
      <alignment vertical="top"/>
    </xf>
    <xf numFmtId="0" fontId="21" fillId="0" borderId="0" xfId="6" applyNumberFormat="1" applyFont="1" applyAlignment="1">
      <alignment horizontal="left"/>
    </xf>
    <xf numFmtId="169" fontId="21" fillId="0" borderId="1" xfId="0" applyNumberFormat="1" applyFont="1" applyBorder="1" applyAlignment="1">
      <alignment vertical="top"/>
    </xf>
    <xf numFmtId="169" fontId="23" fillId="0" borderId="1" xfId="0" applyNumberFormat="1" applyFont="1" applyBorder="1" applyAlignment="1">
      <alignment vertical="top"/>
    </xf>
    <xf numFmtId="0" fontId="24" fillId="0" borderId="0" xfId="0" applyFont="1" applyAlignment="1">
      <alignment horizontal="left" vertical="top"/>
    </xf>
    <xf numFmtId="167" fontId="14" fillId="0" borderId="0" xfId="3" applyNumberFormat="1" applyFont="1" applyAlignment="1">
      <alignment horizontal="center" vertical="top"/>
    </xf>
    <xf numFmtId="0" fontId="14" fillId="0" borderId="1" xfId="0" applyFont="1" applyBorder="1" applyAlignment="1">
      <alignment horizontal="left" vertical="top"/>
    </xf>
    <xf numFmtId="0" fontId="12" fillId="0" borderId="1" xfId="0" applyFont="1" applyBorder="1" applyAlignment="1">
      <alignment horizontal="left" vertical="top" indent="3"/>
    </xf>
    <xf numFmtId="0" fontId="12" fillId="0" borderId="1" xfId="0" applyFont="1" applyBorder="1" applyAlignment="1">
      <alignment horizontal="left" vertical="top"/>
    </xf>
    <xf numFmtId="0" fontId="14" fillId="0" borderId="1" xfId="0" applyFont="1" applyBorder="1" applyAlignment="1">
      <alignment horizontal="center" vertical="top"/>
    </xf>
    <xf numFmtId="0" fontId="14" fillId="0" borderId="0" xfId="0" applyFont="1" applyAlignment="1">
      <alignment horizontal="left" vertical="top"/>
    </xf>
    <xf numFmtId="167" fontId="14" fillId="0" borderId="0" xfId="3" applyNumberFormat="1" applyFont="1" applyAlignment="1">
      <alignment vertical="top"/>
    </xf>
    <xf numFmtId="169" fontId="21" fillId="0" borderId="1" xfId="0" applyNumberFormat="1" applyFont="1" applyBorder="1"/>
    <xf numFmtId="169" fontId="22" fillId="0" borderId="1" xfId="0" applyNumberFormat="1" applyFont="1" applyBorder="1" applyAlignment="1">
      <alignment horizontal="left" indent="3"/>
    </xf>
    <xf numFmtId="0" fontId="22" fillId="0" borderId="1" xfId="4" applyFont="1" applyBorder="1" applyAlignment="1">
      <alignment horizontal="left" indent="3"/>
    </xf>
    <xf numFmtId="0" fontId="24" fillId="0" borderId="0" xfId="0" applyFont="1" applyAlignment="1">
      <alignment vertical="top"/>
    </xf>
    <xf numFmtId="0" fontId="25" fillId="0" borderId="1" xfId="0" applyFont="1" applyBorder="1" applyAlignment="1">
      <alignment vertical="top" wrapText="1"/>
    </xf>
    <xf numFmtId="0" fontId="26" fillId="0" borderId="1" xfId="0" applyFont="1" applyBorder="1" applyAlignment="1">
      <alignment vertical="top" wrapText="1"/>
    </xf>
    <xf numFmtId="0" fontId="27" fillId="0" borderId="1" xfId="0" applyFont="1" applyBorder="1" applyAlignment="1">
      <alignment vertical="top" wrapText="1"/>
    </xf>
    <xf numFmtId="0" fontId="14" fillId="0" borderId="0" xfId="0" applyFont="1" applyAlignment="1">
      <alignment horizontal="center" vertical="top"/>
    </xf>
    <xf numFmtId="0" fontId="21" fillId="0" borderId="0" xfId="0" applyFont="1" applyAlignment="1">
      <alignment horizontal="left" vertical="top"/>
    </xf>
    <xf numFmtId="0" fontId="27" fillId="0" borderId="1" xfId="0" applyFont="1" applyBorder="1" applyAlignment="1">
      <alignment horizontal="center" vertical="top" wrapText="1"/>
    </xf>
    <xf numFmtId="0" fontId="12" fillId="0" borderId="2" xfId="0" applyFont="1" applyBorder="1" applyAlignment="1">
      <alignment vertical="top"/>
    </xf>
    <xf numFmtId="165" fontId="14" fillId="0" borderId="0" xfId="3" applyNumberFormat="1" applyFont="1" applyAlignment="1">
      <alignment vertical="top"/>
    </xf>
    <xf numFmtId="167" fontId="12" fillId="0" borderId="0" xfId="3" applyNumberFormat="1" applyFont="1" applyAlignment="1">
      <alignment horizontal="justify" wrapText="1"/>
    </xf>
    <xf numFmtId="167" fontId="24" fillId="0" borderId="1" xfId="3" applyNumberFormat="1" applyFont="1" applyBorder="1" applyAlignment="1">
      <alignment horizontal="center" vertical="top" wrapText="1"/>
    </xf>
    <xf numFmtId="0" fontId="21" fillId="0" borderId="0" xfId="0" applyFont="1" applyAlignment="1">
      <alignment horizontal="center"/>
    </xf>
    <xf numFmtId="0" fontId="21" fillId="0" borderId="0" xfId="0" applyFont="1" applyAlignment="1">
      <alignment vertical="top"/>
    </xf>
    <xf numFmtId="0" fontId="30" fillId="0" borderId="0" xfId="0" applyFont="1"/>
    <xf numFmtId="0" fontId="14" fillId="0" borderId="0" xfId="0" applyFont="1"/>
    <xf numFmtId="0" fontId="14" fillId="0" borderId="1" xfId="0" applyFont="1" applyBorder="1"/>
    <xf numFmtId="0" fontId="12" fillId="0" borderId="1" xfId="0" applyFont="1" applyBorder="1"/>
    <xf numFmtId="0" fontId="12" fillId="0" borderId="1" xfId="0" applyFont="1" applyBorder="1" applyAlignment="1">
      <alignment wrapText="1"/>
    </xf>
    <xf numFmtId="0" fontId="14" fillId="0" borderId="0" xfId="0" applyFont="1" applyAlignment="1">
      <alignment horizontal="center"/>
    </xf>
    <xf numFmtId="0" fontId="28" fillId="0" borderId="0" xfId="0" applyFont="1"/>
    <xf numFmtId="0" fontId="22" fillId="0" borderId="0" xfId="0" applyFont="1"/>
    <xf numFmtId="167" fontId="12" fillId="0" borderId="0" xfId="3" applyNumberFormat="1" applyFont="1" applyAlignment="1">
      <alignment horizontal="left" vertical="top" wrapText="1"/>
    </xf>
    <xf numFmtId="167" fontId="24" fillId="0" borderId="0" xfId="3" applyNumberFormat="1" applyFont="1" applyAlignment="1">
      <alignment horizontal="center" vertical="top" wrapText="1"/>
    </xf>
    <xf numFmtId="167" fontId="22" fillId="0" borderId="0" xfId="3" applyNumberFormat="1" applyFont="1" applyAlignment="1">
      <alignment horizontal="justify" vertical="top" wrapText="1"/>
    </xf>
    <xf numFmtId="0" fontId="29" fillId="0" borderId="1" xfId="0" applyFont="1" applyBorder="1" applyAlignment="1">
      <alignment vertical="top" wrapText="1"/>
    </xf>
    <xf numFmtId="0" fontId="29" fillId="0" borderId="1" xfId="0" applyFont="1" applyBorder="1" applyAlignment="1">
      <alignment horizontal="left" vertical="top" wrapText="1"/>
    </xf>
    <xf numFmtId="0" fontId="12" fillId="0" borderId="0" xfId="0" applyFont="1" applyAlignment="1">
      <alignment horizontal="left" vertical="top"/>
    </xf>
    <xf numFmtId="167" fontId="12" fillId="0" borderId="0" xfId="3" applyNumberFormat="1" applyFont="1" applyAlignment="1">
      <alignment horizontal="left" vertical="top"/>
    </xf>
    <xf numFmtId="0" fontId="18" fillId="0" borderId="0" xfId="0" applyFont="1" applyAlignment="1">
      <alignment vertical="top" wrapText="1"/>
    </xf>
    <xf numFmtId="0" fontId="17" fillId="0" borderId="0" xfId="0" applyFont="1" applyAlignment="1">
      <alignment vertical="top"/>
    </xf>
    <xf numFmtId="165" fontId="21" fillId="0" borderId="0" xfId="7" applyFont="1" applyAlignment="1">
      <alignment horizontal="right"/>
    </xf>
    <xf numFmtId="168" fontId="22" fillId="0" borderId="0" xfId="7" applyNumberFormat="1" applyFont="1" applyAlignment="1">
      <alignment vertical="top"/>
    </xf>
    <xf numFmtId="165" fontId="21" fillId="0" borderId="0" xfId="7" applyFont="1" applyAlignment="1">
      <alignment horizontal="center"/>
    </xf>
    <xf numFmtId="0" fontId="21" fillId="0" borderId="0" xfId="4" applyFont="1" applyAlignment="1">
      <alignment horizontal="left" vertical="top"/>
    </xf>
    <xf numFmtId="0" fontId="22" fillId="0" borderId="0" xfId="4" applyFont="1"/>
    <xf numFmtId="0" fontId="21" fillId="0" borderId="0" xfId="4" applyFont="1" applyAlignment="1">
      <alignment horizontal="center" vertical="top" wrapText="1"/>
    </xf>
    <xf numFmtId="165" fontId="21" fillId="0" borderId="0" xfId="7" applyFont="1" applyAlignment="1">
      <alignment horizontal="center" wrapText="1"/>
    </xf>
    <xf numFmtId="168" fontId="21" fillId="0" borderId="0" xfId="7" applyNumberFormat="1" applyFont="1" applyAlignment="1">
      <alignment horizontal="center" wrapText="1"/>
    </xf>
    <xf numFmtId="165" fontId="22" fillId="0" borderId="0" xfId="7" applyFont="1"/>
    <xf numFmtId="168" fontId="22" fillId="0" borderId="0" xfId="7" applyNumberFormat="1" applyFont="1" applyAlignment="1">
      <alignment horizontal="center"/>
    </xf>
    <xf numFmtId="168" fontId="22" fillId="0" borderId="0" xfId="7" applyNumberFormat="1" applyFont="1"/>
    <xf numFmtId="0" fontId="22" fillId="0" borderId="0" xfId="4" applyFont="1" applyAlignment="1">
      <alignment horizontal="center"/>
    </xf>
    <xf numFmtId="168" fontId="22" fillId="0" borderId="0" xfId="7" applyNumberFormat="1" applyFont="1" applyAlignment="1">
      <alignment horizontal="right"/>
    </xf>
    <xf numFmtId="168" fontId="21" fillId="0" borderId="0" xfId="7" applyNumberFormat="1" applyFont="1" applyAlignment="1">
      <alignment horizontal="right"/>
    </xf>
    <xf numFmtId="168" fontId="21" fillId="0" borderId="0" xfId="7" applyNumberFormat="1" applyFont="1"/>
    <xf numFmtId="0" fontId="21" fillId="0" borderId="0" xfId="4" applyFont="1"/>
    <xf numFmtId="167" fontId="22" fillId="0" borderId="0" xfId="7" applyNumberFormat="1" applyFont="1"/>
    <xf numFmtId="165" fontId="21" fillId="0" borderId="0" xfId="4" applyNumberFormat="1" applyFont="1"/>
    <xf numFmtId="0" fontId="21" fillId="0" borderId="0" xfId="4" applyFont="1" applyAlignment="1">
      <alignment horizontal="center"/>
    </xf>
    <xf numFmtId="167" fontId="21" fillId="0" borderId="0" xfId="4" applyNumberFormat="1" applyFont="1"/>
    <xf numFmtId="0" fontId="21" fillId="0" borderId="0" xfId="4" applyFont="1" applyAlignment="1">
      <alignment horizontal="left" wrapText="1"/>
    </xf>
    <xf numFmtId="165" fontId="22" fillId="0" borderId="0" xfId="7" applyFont="1" applyAlignment="1">
      <alignment horizontal="center"/>
    </xf>
    <xf numFmtId="0" fontId="22" fillId="0" borderId="0" xfId="4" applyFont="1" applyAlignment="1">
      <alignment vertical="top"/>
    </xf>
    <xf numFmtId="167" fontId="22" fillId="0" borderId="0" xfId="7" applyNumberFormat="1" applyFont="1" applyAlignment="1">
      <alignment horizontal="center"/>
    </xf>
    <xf numFmtId="43" fontId="22" fillId="0" borderId="0" xfId="7" applyNumberFormat="1" applyFont="1" applyAlignment="1">
      <alignment horizontal="center"/>
    </xf>
    <xf numFmtId="167" fontId="21" fillId="0" borderId="0" xfId="7" applyNumberFormat="1" applyFont="1" applyAlignment="1">
      <alignment horizontal="center"/>
    </xf>
    <xf numFmtId="0" fontId="12" fillId="0" borderId="0" xfId="0" applyFont="1" applyAlignment="1">
      <alignment vertical="top" wrapText="1"/>
    </xf>
    <xf numFmtId="0" fontId="14" fillId="0" borderId="0" xfId="0" applyFont="1" applyAlignment="1">
      <alignment horizontal="right"/>
    </xf>
    <xf numFmtId="0" fontId="21" fillId="4" borderId="2" xfId="0" applyFont="1" applyFill="1" applyBorder="1" applyAlignment="1">
      <alignment vertical="top"/>
    </xf>
    <xf numFmtId="0" fontId="21" fillId="4" borderId="1" xfId="0" applyFont="1" applyFill="1" applyBorder="1" applyAlignment="1">
      <alignment vertical="top"/>
    </xf>
    <xf numFmtId="0" fontId="22" fillId="4" borderId="7" xfId="0" applyFont="1" applyFill="1" applyBorder="1" applyAlignment="1">
      <alignment vertical="top" wrapText="1"/>
    </xf>
    <xf numFmtId="0" fontId="21" fillId="4" borderId="9" xfId="0" applyFont="1" applyFill="1" applyBorder="1" applyAlignment="1">
      <alignment vertical="top" wrapText="1"/>
    </xf>
    <xf numFmtId="0" fontId="22" fillId="4" borderId="2" xfId="0" applyFont="1" applyFill="1" applyBorder="1" applyAlignment="1">
      <alignment vertical="top" wrapText="1"/>
    </xf>
    <xf numFmtId="0" fontId="21" fillId="4" borderId="0" xfId="0" applyFont="1" applyFill="1" applyAlignment="1">
      <alignment vertical="top"/>
    </xf>
    <xf numFmtId="0" fontId="22" fillId="0" borderId="5" xfId="4" applyFont="1" applyBorder="1"/>
    <xf numFmtId="0" fontId="22" fillId="0" borderId="1" xfId="4" applyFont="1" applyBorder="1"/>
    <xf numFmtId="165" fontId="23" fillId="0" borderId="0" xfId="6" applyNumberFormat="1" applyFont="1" applyAlignment="1">
      <alignment horizontal="left"/>
    </xf>
    <xf numFmtId="0" fontId="23" fillId="0" borderId="0" xfId="0" applyFont="1"/>
    <xf numFmtId="168" fontId="22" fillId="0" borderId="1" xfId="6" applyNumberFormat="1" applyFont="1" applyBorder="1" applyAlignment="1">
      <alignment horizontal="center" vertical="center"/>
    </xf>
    <xf numFmtId="0" fontId="29" fillId="0" borderId="0" xfId="0" applyFont="1" applyAlignment="1">
      <alignment vertical="top"/>
    </xf>
    <xf numFmtId="0" fontId="29" fillId="0" borderId="0" xfId="0" applyFont="1" applyAlignment="1">
      <alignment horizontal="center" vertical="top"/>
    </xf>
    <xf numFmtId="0" fontId="23" fillId="0" borderId="0" xfId="7" applyNumberFormat="1" applyFont="1" applyAlignment="1">
      <alignment vertical="top"/>
    </xf>
    <xf numFmtId="0" fontId="24" fillId="0" borderId="0" xfId="0" applyFont="1" applyAlignment="1">
      <alignment horizontal="center" vertical="top" wrapText="1"/>
    </xf>
    <xf numFmtId="168" fontId="24" fillId="0" borderId="0" xfId="0" applyNumberFormat="1" applyFont="1" applyAlignment="1">
      <alignment vertical="top"/>
    </xf>
    <xf numFmtId="0" fontId="21" fillId="0" borderId="1" xfId="0" applyFont="1" applyBorder="1" applyAlignment="1">
      <alignment horizontal="center"/>
    </xf>
    <xf numFmtId="0" fontId="24" fillId="0" borderId="1" xfId="0" applyFont="1" applyBorder="1" applyAlignment="1">
      <alignment vertical="top" wrapText="1"/>
    </xf>
    <xf numFmtId="167" fontId="12" fillId="0" borderId="1" xfId="0" applyNumberFormat="1" applyFont="1" applyBorder="1" applyAlignment="1">
      <alignment vertical="top"/>
    </xf>
    <xf numFmtId="0" fontId="23" fillId="0" borderId="0" xfId="7" applyNumberFormat="1" applyFont="1" applyAlignment="1">
      <alignment horizontal="left"/>
    </xf>
    <xf numFmtId="43" fontId="23" fillId="0" borderId="0" xfId="3" applyFont="1" applyAlignment="1">
      <alignment vertical="top"/>
    </xf>
    <xf numFmtId="0" fontId="12" fillId="0" borderId="0" xfId="0" applyFont="1" applyAlignment="1">
      <alignment horizontal="center" vertical="center"/>
    </xf>
    <xf numFmtId="43" fontId="33" fillId="0" borderId="0" xfId="3" applyFont="1" applyAlignment="1">
      <alignment horizontal="left" vertical="top"/>
    </xf>
    <xf numFmtId="0" fontId="12" fillId="0" borderId="0" xfId="0" applyFont="1" applyAlignment="1">
      <alignment horizontal="right" vertical="top"/>
    </xf>
    <xf numFmtId="43" fontId="12" fillId="0" borderId="0" xfId="3" applyFont="1" applyAlignment="1">
      <alignment horizontal="left" vertical="top"/>
    </xf>
    <xf numFmtId="43" fontId="29" fillId="0" borderId="0" xfId="3" applyFont="1" applyAlignment="1">
      <alignment horizontal="center" vertical="top"/>
    </xf>
    <xf numFmtId="43" fontId="24" fillId="0" borderId="0" xfId="3" applyFont="1" applyAlignment="1">
      <alignment vertical="top"/>
    </xf>
    <xf numFmtId="43" fontId="22" fillId="0" borderId="1" xfId="3" applyFont="1" applyBorder="1" applyAlignment="1">
      <alignment horizontal="right" vertical="top"/>
    </xf>
    <xf numFmtId="0" fontId="22" fillId="0" borderId="0" xfId="0" applyFont="1" applyAlignment="1">
      <alignment horizontal="left" vertical="top"/>
    </xf>
    <xf numFmtId="0" fontId="24" fillId="0" borderId="0" xfId="0" applyFont="1" applyAlignment="1">
      <alignment vertical="top" wrapText="1"/>
    </xf>
    <xf numFmtId="0" fontId="29" fillId="0" borderId="1" xfId="0" quotePrefix="1" applyFont="1" applyBorder="1" applyAlignment="1">
      <alignment horizontal="left" vertical="top" wrapText="1"/>
    </xf>
    <xf numFmtId="0" fontId="29" fillId="0" borderId="1" xfId="0" quotePrefix="1" applyFont="1" applyBorder="1" applyAlignment="1">
      <alignment horizontal="left" vertical="top"/>
    </xf>
    <xf numFmtId="43" fontId="12" fillId="0" borderId="0" xfId="3" applyFont="1"/>
    <xf numFmtId="0" fontId="22" fillId="0" borderId="0" xfId="0" applyFont="1" applyAlignment="1">
      <alignment wrapText="1"/>
    </xf>
    <xf numFmtId="0" fontId="21" fillId="0" borderId="0" xfId="0" applyFont="1" applyAlignment="1">
      <alignment wrapText="1"/>
    </xf>
    <xf numFmtId="0" fontId="35" fillId="0" borderId="0" xfId="0" applyFont="1" applyAlignment="1">
      <alignment horizontal="right"/>
    </xf>
    <xf numFmtId="0" fontId="14" fillId="3" borderId="2" xfId="0" applyFont="1" applyFill="1" applyBorder="1" applyAlignment="1">
      <alignment horizontal="left" vertical="center" wrapText="1"/>
    </xf>
    <xf numFmtId="0" fontId="26" fillId="0" borderId="2" xfId="0" applyFont="1" applyBorder="1" applyAlignment="1">
      <alignment horizontal="left" vertical="center" wrapText="1"/>
    </xf>
    <xf numFmtId="3" fontId="22" fillId="0" borderId="0" xfId="0" applyNumberFormat="1" applyFont="1" applyAlignment="1">
      <alignment horizontal="center" vertical="top" wrapText="1"/>
    </xf>
    <xf numFmtId="3" fontId="22" fillId="0" borderId="0" xfId="0" applyNumberFormat="1" applyFont="1" applyAlignment="1">
      <alignment vertical="top" wrapText="1"/>
    </xf>
    <xf numFmtId="0" fontId="21" fillId="3" borderId="2" xfId="0" applyFont="1" applyFill="1" applyBorder="1" applyAlignment="1">
      <alignment horizontal="left" vertical="top" wrapText="1"/>
    </xf>
    <xf numFmtId="0" fontId="22" fillId="0" borderId="0" xfId="0" applyFont="1" applyAlignment="1">
      <alignment horizontal="center" vertical="top" wrapText="1"/>
    </xf>
    <xf numFmtId="0" fontId="21" fillId="0" borderId="0" xfId="0" applyFont="1" applyAlignment="1">
      <alignment vertical="top" wrapText="1"/>
    </xf>
    <xf numFmtId="0" fontId="26" fillId="0" borderId="0" xfId="0" applyFont="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justify" vertical="top" wrapText="1"/>
    </xf>
    <xf numFmtId="0" fontId="22" fillId="0" borderId="1" xfId="0" applyFont="1" applyBorder="1" applyAlignment="1">
      <alignment horizontal="justify" vertical="top" wrapText="1"/>
    </xf>
    <xf numFmtId="0" fontId="21" fillId="0" borderId="1" xfId="0" applyFont="1" applyBorder="1" applyAlignment="1">
      <alignment horizontal="justify" vertical="top" wrapText="1"/>
    </xf>
    <xf numFmtId="168" fontId="14" fillId="3" borderId="1" xfId="0" applyNumberFormat="1" applyFont="1" applyFill="1" applyBorder="1" applyAlignment="1">
      <alignment horizontal="center" vertical="top" wrapText="1"/>
    </xf>
    <xf numFmtId="43" fontId="26" fillId="0" borderId="1" xfId="3" applyFont="1" applyBorder="1" applyAlignment="1">
      <alignment horizontal="left" vertical="center"/>
    </xf>
    <xf numFmtId="168" fontId="22" fillId="0" borderId="1" xfId="0" applyNumberFormat="1" applyFont="1" applyBorder="1" applyAlignment="1">
      <alignment horizontal="center" vertical="center" wrapText="1"/>
    </xf>
    <xf numFmtId="167" fontId="21" fillId="3" borderId="1" xfId="0" applyNumberFormat="1" applyFont="1" applyFill="1" applyBorder="1" applyAlignment="1">
      <alignment horizontal="left" vertical="top" wrapText="1"/>
    </xf>
    <xf numFmtId="167" fontId="12" fillId="0" borderId="0" xfId="3" applyNumberFormat="1" applyFont="1"/>
    <xf numFmtId="0" fontId="12" fillId="0" borderId="0" xfId="0" applyFont="1" applyAlignment="1">
      <alignment wrapText="1"/>
    </xf>
    <xf numFmtId="0" fontId="21" fillId="0" borderId="1" xfId="0" applyFont="1" applyBorder="1" applyAlignment="1">
      <alignment horizontal="center" vertical="top" wrapText="1"/>
    </xf>
    <xf numFmtId="0" fontId="22" fillId="0" borderId="1" xfId="0" applyFont="1" applyBorder="1" applyAlignment="1">
      <alignment horizontal="center" vertical="top" wrapText="1"/>
    </xf>
    <xf numFmtId="0" fontId="12" fillId="0" borderId="1" xfId="0" applyFont="1" applyBorder="1" applyAlignment="1">
      <alignment horizontal="center" vertical="top"/>
    </xf>
    <xf numFmtId="0" fontId="22" fillId="0" borderId="1" xfId="0" applyFont="1" applyBorder="1" applyAlignment="1">
      <alignment vertical="top" wrapText="1"/>
    </xf>
    <xf numFmtId="0" fontId="21" fillId="0" borderId="1" xfId="0" applyFont="1" applyBorder="1" applyAlignment="1">
      <alignment horizontal="left" vertical="top" wrapText="1" indent="5"/>
    </xf>
    <xf numFmtId="0" fontId="21" fillId="0" borderId="1" xfId="0" applyFont="1" applyBorder="1" applyAlignment="1">
      <alignment horizontal="center" wrapText="1"/>
    </xf>
    <xf numFmtId="0" fontId="21" fillId="0" borderId="1" xfId="0" applyFont="1" applyBorder="1" applyAlignment="1">
      <alignment horizontal="left" vertical="top"/>
    </xf>
    <xf numFmtId="0" fontId="22" fillId="0" borderId="1" xfId="0" applyFont="1" applyBorder="1" applyAlignment="1">
      <alignment horizontal="left" vertical="top" wrapText="1"/>
    </xf>
    <xf numFmtId="165" fontId="12" fillId="0" borderId="0" xfId="0" applyNumberFormat="1" applyFont="1" applyAlignment="1">
      <alignment vertical="top"/>
    </xf>
    <xf numFmtId="0" fontId="21" fillId="0" borderId="1" xfId="0" applyFont="1" applyBorder="1" applyAlignment="1">
      <alignment horizontal="center" vertical="top"/>
    </xf>
    <xf numFmtId="0" fontId="22" fillId="0" borderId="1" xfId="13" applyFont="1" applyBorder="1" applyAlignment="1" applyProtection="1">
      <alignment horizontal="center" vertical="top"/>
    </xf>
    <xf numFmtId="0" fontId="22" fillId="0" borderId="1" xfId="13" applyFont="1" applyBorder="1" applyAlignment="1" applyProtection="1">
      <alignment horizontal="center" vertical="top" wrapText="1"/>
    </xf>
    <xf numFmtId="0" fontId="22" fillId="0" borderId="1" xfId="13" applyFont="1" applyBorder="1" applyAlignment="1" applyProtection="1">
      <alignment horizontal="left" vertical="top" wrapText="1"/>
    </xf>
    <xf numFmtId="0" fontId="22" fillId="0" borderId="1" xfId="0" applyFont="1" applyBorder="1" applyAlignment="1">
      <alignment horizontal="left" vertical="top"/>
    </xf>
    <xf numFmtId="0" fontId="21" fillId="0" borderId="1" xfId="0" applyFont="1" applyBorder="1" applyAlignment="1">
      <alignment vertical="top"/>
    </xf>
    <xf numFmtId="0" fontId="21" fillId="0" borderId="1" xfId="4" quotePrefix="1" applyFont="1" applyBorder="1" applyAlignment="1">
      <alignment vertical="top"/>
    </xf>
    <xf numFmtId="0" fontId="22" fillId="0" borderId="1" xfId="4" quotePrefix="1" applyFont="1" applyBorder="1" applyAlignment="1">
      <alignment vertical="top"/>
    </xf>
    <xf numFmtId="0" fontId="21" fillId="0" borderId="1" xfId="4" quotePrefix="1" applyFont="1" applyBorder="1" applyAlignment="1">
      <alignment horizontal="center" vertical="top"/>
    </xf>
    <xf numFmtId="0" fontId="22" fillId="0" borderId="1" xfId="4" quotePrefix="1" applyFont="1" applyBorder="1" applyAlignment="1">
      <alignment vertical="top" wrapText="1"/>
    </xf>
    <xf numFmtId="0" fontId="21" fillId="0" borderId="1" xfId="0" applyFont="1" applyBorder="1" applyAlignment="1">
      <alignment horizontal="center" vertical="center" wrapText="1"/>
    </xf>
    <xf numFmtId="0" fontId="21" fillId="0" borderId="1" xfId="4" quotePrefix="1" applyFont="1" applyBorder="1" applyAlignment="1">
      <alignment vertical="top" wrapText="1"/>
    </xf>
    <xf numFmtId="0" fontId="22" fillId="0" borderId="1" xfId="0" applyFont="1" applyBorder="1" applyAlignment="1">
      <alignment horizontal="center" wrapText="1"/>
    </xf>
    <xf numFmtId="0" fontId="38" fillId="0" borderId="0" xfId="0" applyFont="1" applyAlignment="1">
      <alignment horizontal="center" vertical="top"/>
    </xf>
    <xf numFmtId="0" fontId="12" fillId="0" borderId="1" xfId="0" applyFont="1" applyFill="1" applyBorder="1" applyAlignment="1">
      <alignment vertical="top"/>
    </xf>
    <xf numFmtId="167" fontId="12" fillId="0" borderId="1" xfId="0" applyNumberFormat="1" applyFont="1" applyFill="1" applyBorder="1" applyAlignment="1">
      <alignment vertical="top"/>
    </xf>
    <xf numFmtId="168" fontId="12" fillId="0" borderId="1" xfId="0" applyNumberFormat="1" applyFont="1" applyFill="1" applyBorder="1" applyAlignment="1">
      <alignment vertical="top"/>
    </xf>
    <xf numFmtId="168" fontId="14" fillId="0" borderId="1" xfId="0" applyNumberFormat="1" applyFont="1" applyFill="1" applyBorder="1" applyAlignment="1">
      <alignment vertical="top"/>
    </xf>
    <xf numFmtId="0" fontId="18" fillId="0" borderId="0" xfId="0" applyFont="1" applyAlignment="1">
      <alignment horizontal="left" vertical="top"/>
    </xf>
    <xf numFmtId="167" fontId="12" fillId="0" borderId="1" xfId="3" applyNumberFormat="1" applyFont="1" applyFill="1" applyBorder="1" applyAlignment="1">
      <alignment vertical="top"/>
    </xf>
    <xf numFmtId="165" fontId="14" fillId="0" borderId="1" xfId="0" applyNumberFormat="1" applyFont="1" applyFill="1" applyBorder="1" applyAlignment="1">
      <alignment vertical="top"/>
    </xf>
    <xf numFmtId="0" fontId="12" fillId="0" borderId="0" xfId="0" applyFont="1" applyFill="1" applyAlignment="1">
      <alignment vertical="top"/>
    </xf>
    <xf numFmtId="168" fontId="12" fillId="0" borderId="0" xfId="0" applyNumberFormat="1" applyFont="1" applyFill="1" applyAlignment="1">
      <alignment vertical="top"/>
    </xf>
    <xf numFmtId="43" fontId="24" fillId="0" borderId="1" xfId="3" applyFont="1" applyFill="1" applyBorder="1" applyAlignment="1">
      <alignment horizontal="center" vertical="top" wrapText="1"/>
    </xf>
    <xf numFmtId="167" fontId="12" fillId="0" borderId="1" xfId="3" applyNumberFormat="1" applyFont="1" applyFill="1" applyBorder="1" applyAlignment="1">
      <alignment horizontal="right" vertical="top"/>
    </xf>
    <xf numFmtId="0" fontId="29" fillId="0" borderId="1" xfId="0" applyFont="1" applyFill="1" applyBorder="1" applyAlignment="1">
      <alignment vertical="top" wrapText="1"/>
    </xf>
    <xf numFmtId="167" fontId="29" fillId="0" borderId="1" xfId="3" applyNumberFormat="1" applyFont="1" applyFill="1" applyBorder="1" applyAlignment="1">
      <alignment horizontal="center" vertical="top" wrapText="1"/>
    </xf>
    <xf numFmtId="168" fontId="22" fillId="0" borderId="1" xfId="6" applyNumberFormat="1" applyFont="1" applyFill="1" applyBorder="1" applyAlignment="1">
      <alignment horizontal="center" vertical="center"/>
    </xf>
    <xf numFmtId="0" fontId="23" fillId="0" borderId="1" xfId="0" applyFont="1" applyBorder="1"/>
    <xf numFmtId="165" fontId="21" fillId="0" borderId="1" xfId="6" applyNumberFormat="1" applyFont="1" applyFill="1" applyBorder="1" applyAlignment="1">
      <alignment horizontal="center" vertical="center"/>
    </xf>
    <xf numFmtId="167" fontId="29" fillId="0" borderId="1" xfId="6" applyNumberFormat="1" applyFont="1" applyFill="1" applyBorder="1" applyAlignment="1">
      <alignment horizontal="right"/>
    </xf>
    <xf numFmtId="167" fontId="24" fillId="0" borderId="1" xfId="3" applyNumberFormat="1" applyFont="1" applyFill="1" applyBorder="1" applyAlignment="1">
      <alignment horizontal="center" vertical="top" wrapText="1"/>
    </xf>
    <xf numFmtId="0" fontId="24" fillId="0" borderId="1" xfId="0" applyFont="1" applyFill="1" applyBorder="1" applyAlignment="1">
      <alignment vertical="top" wrapText="1"/>
    </xf>
    <xf numFmtId="167" fontId="22" fillId="0" borderId="8" xfId="0" applyNumberFormat="1" applyFont="1" applyFill="1" applyBorder="1" applyAlignment="1">
      <alignment horizontal="center" vertical="top"/>
    </xf>
    <xf numFmtId="0" fontId="21" fillId="0" borderId="10" xfId="0" applyFont="1" applyFill="1" applyBorder="1" applyAlignment="1">
      <alignment horizontal="center" vertical="top"/>
    </xf>
    <xf numFmtId="168" fontId="22" fillId="0" borderId="1" xfId="0" applyNumberFormat="1" applyFont="1" applyFill="1" applyBorder="1" applyAlignment="1">
      <alignment horizontal="center" vertical="top"/>
    </xf>
    <xf numFmtId="0" fontId="21" fillId="0" borderId="1" xfId="0" applyFont="1" applyFill="1" applyBorder="1" applyAlignment="1">
      <alignment horizontal="center" vertical="top"/>
    </xf>
    <xf numFmtId="168" fontId="22" fillId="0" borderId="5" xfId="4" applyNumberFormat="1" applyFont="1" applyFill="1" applyBorder="1" applyAlignment="1">
      <alignment vertical="top"/>
    </xf>
    <xf numFmtId="168" fontId="22" fillId="0" borderId="1" xfId="7" applyNumberFormat="1" applyFont="1" applyFill="1" applyBorder="1" applyAlignment="1">
      <alignment vertical="top"/>
    </xf>
    <xf numFmtId="9" fontId="22" fillId="0" borderId="11" xfId="8" applyFont="1" applyFill="1" applyBorder="1" applyAlignment="1">
      <alignment horizontal="center" vertical="top"/>
    </xf>
    <xf numFmtId="168" fontId="22" fillId="0" borderId="11" xfId="7" applyNumberFormat="1" applyFont="1" applyFill="1" applyBorder="1" applyAlignment="1">
      <alignment vertical="top"/>
    </xf>
    <xf numFmtId="0" fontId="26" fillId="0" borderId="1" xfId="0" applyFont="1" applyFill="1" applyBorder="1" applyAlignment="1">
      <alignment vertical="top" wrapText="1"/>
    </xf>
    <xf numFmtId="167" fontId="14" fillId="0" borderId="1" xfId="3" applyNumberFormat="1" applyFont="1" applyFill="1" applyBorder="1" applyAlignment="1">
      <alignment vertical="top"/>
    </xf>
    <xf numFmtId="167" fontId="12" fillId="0" borderId="0" xfId="3" applyNumberFormat="1" applyFont="1" applyFill="1" applyAlignment="1">
      <alignment vertical="top"/>
    </xf>
    <xf numFmtId="0" fontId="14" fillId="0" borderId="0" xfId="0" applyFont="1" applyFill="1" applyAlignment="1">
      <alignment vertical="top"/>
    </xf>
    <xf numFmtId="0" fontId="14" fillId="0" borderId="0" xfId="0" applyFont="1" applyFill="1" applyAlignment="1">
      <alignment horizontal="left" vertical="top"/>
    </xf>
    <xf numFmtId="0" fontId="14" fillId="0" borderId="1" xfId="0" applyFont="1" applyFill="1" applyBorder="1" applyAlignment="1">
      <alignment vertical="top"/>
    </xf>
    <xf numFmtId="0" fontId="21" fillId="0" borderId="0" xfId="0" applyFont="1" applyBorder="1"/>
    <xf numFmtId="168" fontId="21" fillId="0" borderId="0" xfId="0" applyNumberFormat="1" applyFont="1" applyFill="1" applyBorder="1"/>
    <xf numFmtId="168" fontId="21" fillId="0" borderId="0" xfId="10" applyNumberFormat="1" applyFont="1" applyFill="1" applyBorder="1"/>
    <xf numFmtId="167" fontId="24" fillId="0" borderId="0" xfId="3" applyNumberFormat="1" applyFont="1" applyFill="1" applyBorder="1" applyAlignment="1">
      <alignment horizontal="center" vertical="top" wrapText="1"/>
    </xf>
    <xf numFmtId="0" fontId="21" fillId="0" borderId="0" xfId="0" applyFont="1" applyFill="1" applyBorder="1" applyAlignment="1">
      <alignment horizontal="center"/>
    </xf>
    <xf numFmtId="0" fontId="14" fillId="0" borderId="1" xfId="0" applyFont="1" applyFill="1" applyBorder="1" applyAlignment="1">
      <alignment horizontal="left" vertical="top"/>
    </xf>
    <xf numFmtId="167" fontId="14" fillId="0" borderId="1" xfId="3" applyNumberFormat="1" applyFont="1" applyFill="1" applyBorder="1" applyAlignment="1">
      <alignment horizontal="center" vertical="top"/>
    </xf>
    <xf numFmtId="0" fontId="14" fillId="0" borderId="1" xfId="0" applyFont="1" applyFill="1" applyBorder="1" applyAlignment="1">
      <alignment horizontal="center" vertical="top"/>
    </xf>
    <xf numFmtId="168" fontId="14" fillId="6" borderId="1" xfId="0" applyNumberFormat="1" applyFont="1" applyFill="1" applyBorder="1" applyAlignment="1">
      <alignment horizontal="center" vertical="top" wrapText="1"/>
    </xf>
    <xf numFmtId="1" fontId="14" fillId="6" borderId="1" xfId="0" applyNumberFormat="1" applyFont="1" applyFill="1" applyBorder="1" applyAlignment="1">
      <alignment horizontal="center" vertical="center"/>
    </xf>
    <xf numFmtId="0" fontId="14" fillId="6" borderId="1" xfId="0" applyFont="1" applyFill="1" applyBorder="1" applyAlignment="1">
      <alignment horizontal="center" vertical="top"/>
    </xf>
    <xf numFmtId="169" fontId="23" fillId="0" borderId="2" xfId="0" applyNumberFormat="1" applyFont="1" applyBorder="1" applyAlignment="1">
      <alignment vertical="top"/>
    </xf>
    <xf numFmtId="0" fontId="14" fillId="6" borderId="2" xfId="0" applyFont="1" applyFill="1" applyBorder="1" applyAlignment="1">
      <alignment horizontal="center" vertical="top"/>
    </xf>
    <xf numFmtId="43" fontId="23" fillId="0" borderId="1" xfId="1" applyFont="1" applyFill="1" applyBorder="1" applyAlignment="1">
      <alignment vertical="top"/>
    </xf>
    <xf numFmtId="43" fontId="12" fillId="0" borderId="1" xfId="1" applyFont="1" applyFill="1" applyBorder="1" applyAlignment="1">
      <alignment vertical="top"/>
    </xf>
    <xf numFmtId="43" fontId="12" fillId="0" borderId="1" xfId="1" applyFont="1" applyBorder="1" applyAlignment="1">
      <alignment vertical="top"/>
    </xf>
    <xf numFmtId="168" fontId="12" fillId="0" borderId="1" xfId="1" applyNumberFormat="1" applyFont="1" applyFill="1" applyBorder="1" applyAlignment="1">
      <alignment vertical="top"/>
    </xf>
    <xf numFmtId="167" fontId="12" fillId="0" borderId="1" xfId="1" applyNumberFormat="1" applyFont="1" applyFill="1" applyBorder="1" applyAlignment="1">
      <alignment vertical="top"/>
    </xf>
    <xf numFmtId="167" fontId="14" fillId="0" borderId="1" xfId="1" applyNumberFormat="1" applyFont="1" applyFill="1" applyBorder="1" applyAlignment="1">
      <alignment vertical="top"/>
    </xf>
    <xf numFmtId="167" fontId="12" fillId="0" borderId="1" xfId="1" applyNumberFormat="1" applyFont="1" applyFill="1" applyBorder="1" applyAlignment="1">
      <alignment horizontal="center" vertical="top"/>
    </xf>
    <xf numFmtId="167" fontId="12" fillId="0" borderId="1" xfId="1" quotePrefix="1" applyNumberFormat="1" applyFont="1" applyFill="1" applyBorder="1" applyAlignment="1">
      <alignment vertical="top"/>
    </xf>
    <xf numFmtId="167" fontId="12" fillId="0" borderId="1" xfId="0" applyNumberFormat="1" applyFont="1" applyFill="1" applyBorder="1" applyAlignment="1">
      <alignment horizontal="center" vertical="top"/>
    </xf>
    <xf numFmtId="167" fontId="12" fillId="0" borderId="1" xfId="1" applyNumberFormat="1" applyFont="1" applyBorder="1" applyAlignment="1">
      <alignment vertical="top"/>
    </xf>
    <xf numFmtId="167" fontId="14" fillId="6" borderId="1" xfId="1" applyNumberFormat="1" applyFont="1" applyFill="1" applyBorder="1" applyAlignment="1">
      <alignment vertical="top"/>
    </xf>
    <xf numFmtId="167" fontId="14" fillId="0" borderId="1" xfId="0" applyNumberFormat="1" applyFont="1" applyFill="1" applyBorder="1" applyAlignment="1">
      <alignment horizontal="center" vertical="top"/>
    </xf>
    <xf numFmtId="167" fontId="21" fillId="0" borderId="1" xfId="0" applyNumberFormat="1" applyFont="1" applyFill="1" applyBorder="1"/>
    <xf numFmtId="0" fontId="24" fillId="6" borderId="1" xfId="0" applyFont="1" applyFill="1" applyBorder="1" applyAlignment="1">
      <alignment horizontal="center" vertical="top" wrapText="1"/>
    </xf>
    <xf numFmtId="167" fontId="24" fillId="6" borderId="1" xfId="3" applyNumberFormat="1" applyFont="1" applyFill="1" applyBorder="1" applyAlignment="1">
      <alignment horizontal="center" vertical="top" wrapText="1"/>
    </xf>
    <xf numFmtId="0" fontId="24" fillId="6" borderId="1" xfId="0" applyFont="1" applyFill="1" applyBorder="1" applyAlignment="1">
      <alignment horizontal="center" vertical="center" wrapText="1"/>
    </xf>
    <xf numFmtId="0" fontId="21" fillId="0" borderId="1" xfId="0" applyFont="1" applyBorder="1"/>
    <xf numFmtId="0" fontId="22" fillId="0" borderId="1" xfId="0" applyFont="1" applyBorder="1"/>
    <xf numFmtId="0" fontId="12" fillId="0" borderId="1" xfId="0" applyFont="1" applyBorder="1" applyAlignment="1">
      <alignment horizontal="left"/>
    </xf>
    <xf numFmtId="0" fontId="14" fillId="5" borderId="1" xfId="9" applyNumberFormat="1" applyFont="1" applyFill="1" applyBorder="1" applyAlignment="1">
      <alignment vertical="top" wrapText="1"/>
    </xf>
    <xf numFmtId="0" fontId="14" fillId="0" borderId="1" xfId="9" applyNumberFormat="1" applyFont="1" applyBorder="1" applyAlignment="1">
      <alignment vertical="top" wrapText="1"/>
    </xf>
    <xf numFmtId="0" fontId="28" fillId="0" borderId="1" xfId="9" applyNumberFormat="1" applyFont="1" applyBorder="1" applyAlignment="1">
      <alignment vertical="top" wrapText="1"/>
    </xf>
    <xf numFmtId="0" fontId="14" fillId="5" borderId="1" xfId="9" applyNumberFormat="1" applyFont="1" applyFill="1" applyBorder="1" applyAlignment="1">
      <alignment horizontal="center" vertical="top" wrapText="1"/>
    </xf>
    <xf numFmtId="0" fontId="12" fillId="5" borderId="1" xfId="9" applyNumberFormat="1" applyFont="1" applyFill="1" applyBorder="1" applyAlignment="1">
      <alignment vertical="top" wrapText="1"/>
    </xf>
    <xf numFmtId="0" fontId="27" fillId="0" borderId="1" xfId="0" applyFont="1" applyFill="1" applyBorder="1" applyAlignment="1">
      <alignment horizontal="center" vertical="top" wrapText="1"/>
    </xf>
    <xf numFmtId="168" fontId="12" fillId="0" borderId="1" xfId="1" applyNumberFormat="1" applyFont="1" applyBorder="1" applyAlignment="1">
      <alignment vertical="top"/>
    </xf>
    <xf numFmtId="168" fontId="14" fillId="6" borderId="1" xfId="1" applyNumberFormat="1" applyFont="1" applyFill="1" applyBorder="1" applyAlignment="1">
      <alignment vertical="top"/>
    </xf>
    <xf numFmtId="10" fontId="12" fillId="0" borderId="1" xfId="2" applyNumberFormat="1" applyFont="1" applyBorder="1" applyAlignment="1">
      <alignment vertical="top"/>
    </xf>
    <xf numFmtId="0" fontId="29" fillId="0" borderId="1" xfId="0" applyFont="1" applyFill="1" applyBorder="1" applyAlignment="1">
      <alignment horizontal="left" vertical="top" wrapText="1"/>
    </xf>
    <xf numFmtId="0" fontId="24" fillId="6" borderId="2" xfId="0" applyFont="1" applyFill="1" applyBorder="1" applyAlignment="1">
      <alignment vertical="top" wrapText="1"/>
    </xf>
    <xf numFmtId="0" fontId="21" fillId="6" borderId="7" xfId="0" applyFont="1" applyFill="1" applyBorder="1" applyAlignment="1">
      <alignment vertical="top"/>
    </xf>
    <xf numFmtId="168" fontId="14" fillId="6" borderId="8" xfId="0" applyNumberFormat="1" applyFont="1" applyFill="1" applyBorder="1" applyAlignment="1">
      <alignment vertical="top"/>
    </xf>
    <xf numFmtId="0" fontId="21" fillId="6" borderId="5" xfId="4" applyFont="1" applyFill="1" applyBorder="1" applyAlignment="1">
      <alignment horizontal="center" vertical="top"/>
    </xf>
    <xf numFmtId="0" fontId="21" fillId="6" borderId="9" xfId="4" applyFont="1" applyFill="1" applyBorder="1" applyAlignment="1">
      <alignment horizontal="center" vertical="top"/>
    </xf>
    <xf numFmtId="165" fontId="21" fillId="6" borderId="1" xfId="7" applyFont="1" applyFill="1" applyBorder="1" applyAlignment="1">
      <alignment horizontal="center" vertical="top" wrapText="1"/>
    </xf>
    <xf numFmtId="165" fontId="21" fillId="6" borderId="12" xfId="7" applyFont="1" applyFill="1" applyBorder="1" applyAlignment="1">
      <alignment horizontal="center" vertical="top" wrapText="1"/>
    </xf>
    <xf numFmtId="165" fontId="21" fillId="6" borderId="2" xfId="7" applyFont="1" applyFill="1" applyBorder="1" applyAlignment="1">
      <alignment horizontal="center" vertical="top" wrapText="1"/>
    </xf>
    <xf numFmtId="165" fontId="21" fillId="6" borderId="4" xfId="7" applyFont="1" applyFill="1" applyBorder="1" applyAlignment="1">
      <alignment horizontal="center" vertical="top" wrapText="1"/>
    </xf>
    <xf numFmtId="0" fontId="22" fillId="6" borderId="9" xfId="4" applyFont="1" applyFill="1" applyBorder="1"/>
    <xf numFmtId="168" fontId="20" fillId="0" borderId="5" xfId="4" applyNumberFormat="1" applyFont="1" applyFill="1" applyBorder="1" applyAlignment="1">
      <alignment vertical="top"/>
    </xf>
    <xf numFmtId="168" fontId="17" fillId="6" borderId="8" xfId="0" applyNumberFormat="1" applyFont="1" applyFill="1" applyBorder="1" applyAlignment="1">
      <alignment vertical="top"/>
    </xf>
    <xf numFmtId="168" fontId="20" fillId="0" borderId="1" xfId="7" applyNumberFormat="1" applyFont="1" applyFill="1" applyBorder="1" applyAlignment="1">
      <alignment vertical="top"/>
    </xf>
    <xf numFmtId="0" fontId="22" fillId="0" borderId="2" xfId="4" applyFont="1" applyBorder="1" applyAlignment="1">
      <alignment vertical="center" wrapText="1"/>
    </xf>
    <xf numFmtId="168" fontId="21" fillId="6" borderId="2" xfId="7" applyNumberFormat="1" applyFont="1" applyFill="1" applyBorder="1" applyAlignment="1">
      <alignment vertical="top"/>
    </xf>
    <xf numFmtId="168" fontId="21" fillId="6" borderId="1" xfId="7" applyNumberFormat="1" applyFont="1" applyFill="1" applyBorder="1" applyAlignment="1">
      <alignment vertical="top"/>
    </xf>
    <xf numFmtId="168" fontId="19" fillId="6" borderId="1" xfId="7" applyNumberFormat="1" applyFont="1" applyFill="1" applyBorder="1" applyAlignment="1">
      <alignment vertical="top"/>
    </xf>
    <xf numFmtId="168" fontId="29" fillId="0" borderId="1" xfId="0" applyNumberFormat="1" applyFont="1" applyBorder="1" applyAlignment="1">
      <alignment horizontal="left" vertical="top" wrapText="1"/>
    </xf>
    <xf numFmtId="0" fontId="24" fillId="0" borderId="1" xfId="0" applyFont="1" applyBorder="1" applyAlignment="1">
      <alignment horizontal="left" vertical="top" wrapText="1"/>
    </xf>
    <xf numFmtId="0" fontId="24" fillId="0" borderId="1" xfId="0" applyFont="1" applyFill="1" applyBorder="1" applyAlignment="1">
      <alignment horizontal="left" vertical="top" wrapText="1"/>
    </xf>
    <xf numFmtId="0" fontId="12" fillId="0" borderId="1" xfId="0" quotePrefix="1" applyFont="1" applyBorder="1" applyAlignment="1">
      <alignment horizontal="left" vertical="top"/>
    </xf>
    <xf numFmtId="169" fontId="12" fillId="0" borderId="1" xfId="0" applyNumberFormat="1" applyFont="1" applyBorder="1" applyAlignment="1">
      <alignment horizontal="left"/>
    </xf>
    <xf numFmtId="167" fontId="29" fillId="0" borderId="1" xfId="0" applyNumberFormat="1" applyFont="1" applyBorder="1" applyAlignment="1">
      <alignment horizontal="left" wrapText="1"/>
    </xf>
    <xf numFmtId="167" fontId="29" fillId="0" borderId="1" xfId="0" applyNumberFormat="1" applyFont="1" applyFill="1" applyBorder="1" applyAlignment="1">
      <alignment horizontal="left" wrapText="1"/>
    </xf>
    <xf numFmtId="0" fontId="24" fillId="0" borderId="1" xfId="0" applyFont="1" applyBorder="1" applyAlignment="1">
      <alignment horizontal="left" wrapText="1"/>
    </xf>
    <xf numFmtId="0" fontId="29" fillId="0" borderId="1" xfId="0" applyFont="1" applyBorder="1" applyAlignment="1">
      <alignment horizontal="left" wrapText="1"/>
    </xf>
    <xf numFmtId="0" fontId="29" fillId="0" borderId="1" xfId="0" applyFont="1" applyFill="1" applyBorder="1" applyAlignment="1">
      <alignment horizontal="left" wrapText="1"/>
    </xf>
    <xf numFmtId="0" fontId="29" fillId="0" borderId="1" xfId="0" quotePrefix="1" applyFont="1" applyBorder="1" applyAlignment="1">
      <alignment horizontal="left" wrapText="1"/>
    </xf>
    <xf numFmtId="0" fontId="29" fillId="0" borderId="1" xfId="0" quotePrefix="1" applyFont="1" applyFill="1" applyBorder="1" applyAlignment="1">
      <alignment horizontal="left" wrapText="1"/>
    </xf>
    <xf numFmtId="167" fontId="16" fillId="0" borderId="1" xfId="0" applyNumberFormat="1" applyFont="1" applyBorder="1" applyAlignment="1">
      <alignment horizontal="left" wrapText="1"/>
    </xf>
    <xf numFmtId="169" fontId="18" fillId="0" borderId="1" xfId="0" applyNumberFormat="1" applyFont="1" applyBorder="1" applyAlignment="1">
      <alignment horizontal="left"/>
    </xf>
    <xf numFmtId="1" fontId="12" fillId="0" borderId="1" xfId="0" applyNumberFormat="1" applyFont="1" applyBorder="1"/>
    <xf numFmtId="2" fontId="12" fillId="0" borderId="1" xfId="0" applyNumberFormat="1" applyFont="1" applyBorder="1"/>
    <xf numFmtId="43" fontId="12" fillId="0" borderId="1" xfId="1" applyFont="1" applyBorder="1"/>
    <xf numFmtId="43" fontId="29" fillId="0" borderId="1" xfId="1" applyFont="1" applyFill="1" applyBorder="1" applyAlignment="1">
      <alignment horizontal="left" wrapText="1"/>
    </xf>
    <xf numFmtId="43" fontId="34" fillId="0" borderId="1" xfId="1" applyFont="1" applyFill="1" applyBorder="1"/>
    <xf numFmtId="168" fontId="19" fillId="0" borderId="0" xfId="11" applyNumberFormat="1" applyFont="1" applyAlignment="1">
      <alignment vertical="top"/>
    </xf>
    <xf numFmtId="0" fontId="20" fillId="0" borderId="0" xfId="11" applyFont="1" applyAlignment="1">
      <alignment vertical="top"/>
    </xf>
    <xf numFmtId="0" fontId="19" fillId="0" borderId="0" xfId="11" applyFont="1" applyAlignment="1">
      <alignment vertical="top"/>
    </xf>
    <xf numFmtId="49" fontId="19" fillId="0" borderId="0" xfId="11" applyNumberFormat="1" applyFont="1" applyAlignment="1">
      <alignment vertical="top"/>
    </xf>
    <xf numFmtId="43" fontId="19" fillId="0" borderId="0" xfId="3" applyFont="1" applyAlignment="1">
      <alignment vertical="top"/>
    </xf>
    <xf numFmtId="49" fontId="40" fillId="0" borderId="0" xfId="11" applyNumberFormat="1" applyFont="1" applyAlignment="1">
      <alignment vertical="top"/>
    </xf>
    <xf numFmtId="0" fontId="40" fillId="0" borderId="0" xfId="11" applyFont="1" applyAlignment="1">
      <alignment vertical="top"/>
    </xf>
    <xf numFmtId="43" fontId="20" fillId="0" borderId="0" xfId="3" applyFont="1" applyAlignment="1">
      <alignment vertical="top"/>
    </xf>
    <xf numFmtId="0" fontId="19" fillId="6" borderId="1" xfId="11" applyFont="1" applyFill="1" applyBorder="1" applyAlignment="1">
      <alignment horizontal="center" vertical="top" wrapText="1"/>
    </xf>
    <xf numFmtId="169" fontId="19" fillId="6" borderId="1" xfId="11" applyNumberFormat="1" applyFont="1" applyFill="1" applyBorder="1" applyAlignment="1">
      <alignment horizontal="center" vertical="top" wrapText="1"/>
    </xf>
    <xf numFmtId="43" fontId="19" fillId="6" borderId="1" xfId="3" applyFont="1" applyFill="1" applyBorder="1" applyAlignment="1">
      <alignment horizontal="center" vertical="center" wrapText="1"/>
    </xf>
    <xf numFmtId="0" fontId="20" fillId="0" borderId="0" xfId="11" applyFont="1" applyAlignment="1">
      <alignment vertical="top" wrapText="1"/>
    </xf>
    <xf numFmtId="0" fontId="19" fillId="0" borderId="1" xfId="11" applyFont="1" applyBorder="1" applyAlignment="1">
      <alignment vertical="top"/>
    </xf>
    <xf numFmtId="10" fontId="16" fillId="0" borderId="1" xfId="11" applyNumberFormat="1" applyFont="1" applyBorder="1" applyAlignment="1">
      <alignment horizontal="center"/>
    </xf>
    <xf numFmtId="43" fontId="19" fillId="0" borderId="1" xfId="3" applyFont="1" applyBorder="1" applyAlignment="1">
      <alignment horizontal="center" vertical="top"/>
    </xf>
    <xf numFmtId="0" fontId="31" fillId="0" borderId="1" xfId="11" applyFont="1" applyBorder="1" applyAlignment="1">
      <alignment vertical="top"/>
    </xf>
    <xf numFmtId="167" fontId="20" fillId="0" borderId="1" xfId="3" applyNumberFormat="1" applyFont="1" applyBorder="1" applyAlignment="1">
      <alignment horizontal="center" vertical="top"/>
    </xf>
    <xf numFmtId="0" fontId="20" fillId="0" borderId="1" xfId="11" applyFont="1" applyBorder="1" applyAlignment="1">
      <alignment vertical="top"/>
    </xf>
    <xf numFmtId="0" fontId="20" fillId="0" borderId="1" xfId="11" applyFont="1" applyBorder="1" applyAlignment="1">
      <alignment vertical="top" wrapText="1"/>
    </xf>
    <xf numFmtId="43" fontId="20" fillId="0" borderId="1" xfId="3" applyFont="1" applyBorder="1" applyAlignment="1">
      <alignment horizontal="center" vertical="top"/>
    </xf>
    <xf numFmtId="49" fontId="20" fillId="0" borderId="0" xfId="11" applyNumberFormat="1" applyFont="1" applyAlignment="1">
      <alignment vertical="top"/>
    </xf>
    <xf numFmtId="2" fontId="19" fillId="0" borderId="0" xfId="11" applyNumberFormat="1" applyFont="1" applyAlignment="1">
      <alignment vertical="top"/>
    </xf>
    <xf numFmtId="0" fontId="19" fillId="6" borderId="1" xfId="11" applyFont="1" applyFill="1" applyBorder="1" applyAlignment="1">
      <alignment vertical="top"/>
    </xf>
    <xf numFmtId="43" fontId="20" fillId="0" borderId="1" xfId="1" applyNumberFormat="1" applyFont="1" applyBorder="1" applyAlignment="1">
      <alignment vertical="top"/>
    </xf>
    <xf numFmtId="43" fontId="20" fillId="6" borderId="1" xfId="1" applyNumberFormat="1" applyFont="1" applyFill="1" applyBorder="1" applyAlignment="1">
      <alignment vertical="top"/>
    </xf>
    <xf numFmtId="43" fontId="19" fillId="6" borderId="1" xfId="1" applyNumberFormat="1" applyFont="1" applyFill="1" applyBorder="1" applyAlignment="1">
      <alignment vertical="top"/>
    </xf>
    <xf numFmtId="167" fontId="24" fillId="6" borderId="1" xfId="3" applyNumberFormat="1" applyFont="1" applyFill="1" applyBorder="1" applyAlignment="1">
      <alignment horizontal="center" vertical="center" wrapText="1"/>
    </xf>
    <xf numFmtId="167" fontId="20" fillId="0" borderId="1" xfId="1" applyNumberFormat="1" applyFont="1" applyBorder="1" applyAlignment="1">
      <alignment vertical="top"/>
    </xf>
    <xf numFmtId="43" fontId="17" fillId="6" borderId="1" xfId="3" applyFont="1" applyFill="1" applyBorder="1" applyAlignment="1">
      <alignment horizontal="center"/>
    </xf>
    <xf numFmtId="167" fontId="17" fillId="6" borderId="1" xfId="3" applyNumberFormat="1" applyFont="1" applyFill="1" applyBorder="1"/>
    <xf numFmtId="0" fontId="21" fillId="6" borderId="1" xfId="0" applyFont="1" applyFill="1" applyBorder="1" applyAlignment="1">
      <alignment horizontal="center" vertical="center" wrapText="1"/>
    </xf>
    <xf numFmtId="0" fontId="21" fillId="6" borderId="2" xfId="0" applyFont="1" applyFill="1" applyBorder="1" applyAlignment="1">
      <alignment horizontal="left" vertical="top" wrapText="1"/>
    </xf>
    <xf numFmtId="168" fontId="21" fillId="6" borderId="1" xfId="0" applyNumberFormat="1" applyFont="1" applyFill="1" applyBorder="1" applyAlignment="1">
      <alignment horizontal="center" vertical="top" wrapText="1"/>
    </xf>
    <xf numFmtId="0" fontId="21" fillId="6" borderId="1" xfId="0" applyFont="1" applyFill="1" applyBorder="1" applyAlignment="1">
      <alignment horizontal="center" vertical="center" wrapText="1"/>
    </xf>
    <xf numFmtId="0" fontId="21" fillId="6" borderId="1" xfId="0" applyFont="1" applyFill="1" applyBorder="1" applyAlignment="1">
      <alignment horizontal="justify" vertical="top" wrapText="1"/>
    </xf>
    <xf numFmtId="167" fontId="39" fillId="3" borderId="1" xfId="3" applyNumberFormat="1" applyFont="1" applyFill="1" applyBorder="1" applyAlignment="1">
      <alignment horizontal="left" vertical="center"/>
    </xf>
    <xf numFmtId="168" fontId="22" fillId="0" borderId="1" xfId="0" applyNumberFormat="1" applyFont="1" applyBorder="1" applyAlignment="1">
      <alignment vertical="center" wrapText="1"/>
    </xf>
    <xf numFmtId="167" fontId="22" fillId="0" borderId="1" xfId="1" applyNumberFormat="1" applyFont="1" applyBorder="1" applyAlignment="1">
      <alignment horizontal="center" vertical="center" wrapText="1"/>
    </xf>
    <xf numFmtId="167" fontId="12" fillId="0" borderId="1" xfId="1" applyNumberFormat="1" applyFont="1" applyBorder="1" applyAlignment="1">
      <alignment vertical="center"/>
    </xf>
    <xf numFmtId="168" fontId="12" fillId="0" borderId="1" xfId="1" applyNumberFormat="1" applyFont="1" applyBorder="1" applyAlignment="1">
      <alignment vertical="center"/>
    </xf>
    <xf numFmtId="168" fontId="26" fillId="0" borderId="1" xfId="0" applyNumberFormat="1" applyFont="1" applyBorder="1" applyAlignment="1">
      <alignment horizontal="left" vertical="center" wrapText="1"/>
    </xf>
    <xf numFmtId="168" fontId="12" fillId="0" borderId="1" xfId="0" applyNumberFormat="1" applyFont="1" applyBorder="1" applyAlignment="1">
      <alignment vertical="center"/>
    </xf>
    <xf numFmtId="168" fontId="21" fillId="0" borderId="1" xfId="0" applyNumberFormat="1" applyFont="1" applyBorder="1" applyAlignment="1">
      <alignment horizontal="center" vertical="center" wrapText="1"/>
    </xf>
    <xf numFmtId="168" fontId="21" fillId="6" borderId="1" xfId="0" applyNumberFormat="1" applyFont="1" applyFill="1" applyBorder="1" applyAlignment="1">
      <alignment vertical="center" wrapText="1"/>
    </xf>
    <xf numFmtId="0" fontId="17" fillId="0" borderId="0" xfId="0" applyFont="1" applyAlignment="1">
      <alignment vertical="top" wrapText="1"/>
    </xf>
    <xf numFmtId="0" fontId="32" fillId="0" borderId="0" xfId="14" applyFont="1"/>
    <xf numFmtId="0" fontId="16" fillId="0" borderId="0" xfId="14" applyFont="1"/>
    <xf numFmtId="0" fontId="16" fillId="0" borderId="0" xfId="14" applyFont="1" applyAlignment="1">
      <alignment horizontal="center"/>
    </xf>
    <xf numFmtId="0" fontId="32" fillId="0" borderId="0" xfId="14" applyFont="1" applyAlignment="1">
      <alignment wrapText="1"/>
    </xf>
    <xf numFmtId="0" fontId="42" fillId="0" borderId="20" xfId="14" applyFont="1" applyBorder="1" applyAlignment="1">
      <alignment horizontal="right"/>
    </xf>
    <xf numFmtId="0" fontId="43" fillId="0" borderId="13" xfId="14" applyFont="1" applyBorder="1" applyAlignment="1">
      <alignment horizontal="justify" vertical="top" wrapText="1"/>
    </xf>
    <xf numFmtId="0" fontId="44" fillId="0" borderId="1" xfId="14" applyFont="1" applyBorder="1" applyAlignment="1">
      <alignment horizontal="justify" vertical="top" wrapText="1"/>
    </xf>
    <xf numFmtId="0" fontId="44" fillId="0" borderId="14" xfId="14" applyFont="1" applyBorder="1" applyAlignment="1">
      <alignment horizontal="justify" vertical="top" wrapText="1"/>
    </xf>
    <xf numFmtId="0" fontId="45" fillId="0" borderId="0" xfId="14" applyFont="1" applyAlignment="1">
      <alignment wrapText="1"/>
    </xf>
    <xf numFmtId="0" fontId="36" fillId="0" borderId="13" xfId="14" applyFont="1" applyBorder="1" applyAlignment="1">
      <alignment horizontal="justify" vertical="top" wrapText="1"/>
    </xf>
    <xf numFmtId="164" fontId="44" fillId="0" borderId="1" xfId="14" applyNumberFormat="1" applyFont="1" applyBorder="1" applyAlignment="1">
      <alignment vertical="center"/>
    </xf>
    <xf numFmtId="164" fontId="44" fillId="0" borderId="14" xfId="14" applyNumberFormat="1" applyFont="1" applyBorder="1" applyAlignment="1">
      <alignment vertical="center"/>
    </xf>
    <xf numFmtId="164" fontId="32" fillId="0" borderId="0" xfId="14" applyNumberFormat="1" applyFont="1"/>
    <xf numFmtId="164" fontId="44" fillId="0" borderId="1" xfId="14" applyNumberFormat="1" applyFont="1" applyBorder="1" applyAlignment="1">
      <alignment vertical="top"/>
    </xf>
    <xf numFmtId="164" fontId="44" fillId="0" borderId="14" xfId="14" applyNumberFormat="1" applyFont="1" applyBorder="1" applyAlignment="1">
      <alignment vertical="top"/>
    </xf>
    <xf numFmtId="168" fontId="32" fillId="0" borderId="0" xfId="14" applyNumberFormat="1" applyFont="1"/>
    <xf numFmtId="165" fontId="32" fillId="0" borderId="0" xfId="14" applyNumberFormat="1" applyFont="1"/>
    <xf numFmtId="0" fontId="36" fillId="0" borderId="24" xfId="14" applyFont="1" applyBorder="1" applyAlignment="1">
      <alignment horizontal="justify" vertical="top" wrapText="1"/>
    </xf>
    <xf numFmtId="164" fontId="44" fillId="0" borderId="4" xfId="14" applyNumberFormat="1" applyFont="1" applyBorder="1" applyAlignment="1">
      <alignment vertical="center"/>
    </xf>
    <xf numFmtId="164" fontId="44" fillId="0" borderId="25" xfId="14" applyNumberFormat="1" applyFont="1" applyBorder="1" applyAlignment="1">
      <alignment vertical="center"/>
    </xf>
    <xf numFmtId="0" fontId="32" fillId="0" borderId="0" xfId="14" applyFont="1" applyAlignment="1">
      <alignment vertical="top"/>
    </xf>
    <xf numFmtId="0" fontId="43" fillId="2" borderId="26" xfId="14" applyFont="1" applyFill="1" applyBorder="1" applyAlignment="1">
      <alignment horizontal="center" vertical="top" wrapText="1"/>
    </xf>
    <xf numFmtId="0" fontId="43" fillId="2" borderId="27" xfId="14" applyFont="1" applyFill="1" applyBorder="1" applyAlignment="1">
      <alignment horizontal="center" vertical="top" wrapText="1"/>
    </xf>
    <xf numFmtId="0" fontId="16" fillId="0" borderId="0" xfId="14" applyFont="1" applyAlignment="1">
      <alignment vertical="top"/>
    </xf>
    <xf numFmtId="165" fontId="44" fillId="0" borderId="1" xfId="14" applyNumberFormat="1" applyFont="1" applyBorder="1" applyAlignment="1">
      <alignment horizontal="justify" vertical="top" wrapText="1"/>
    </xf>
    <xf numFmtId="0" fontId="16" fillId="0" borderId="0" xfId="14" applyFont="1" applyAlignment="1">
      <alignment horizontal="center" vertical="center"/>
    </xf>
    <xf numFmtId="0" fontId="32" fillId="0" borderId="0" xfId="14" applyFont="1" applyAlignment="1">
      <alignment horizontal="center" vertical="top"/>
    </xf>
    <xf numFmtId="0" fontId="32" fillId="0" borderId="0" xfId="14" applyFont="1" applyAlignment="1">
      <alignment vertical="justify" wrapText="1"/>
    </xf>
    <xf numFmtId="0" fontId="32" fillId="0" borderId="0" xfId="14" applyFont="1" applyAlignment="1">
      <alignment vertical="top" wrapText="1"/>
    </xf>
    <xf numFmtId="0" fontId="32" fillId="0" borderId="0" xfId="14" applyFont="1" applyAlignment="1">
      <alignment horizontal="left" vertical="top"/>
    </xf>
    <xf numFmtId="0" fontId="32" fillId="0" borderId="0" xfId="14" applyFont="1" applyAlignment="1">
      <alignment horizontal="justify" vertical="top" wrapText="1"/>
    </xf>
    <xf numFmtId="0" fontId="43" fillId="2" borderId="31" xfId="14" applyFont="1" applyFill="1" applyBorder="1" applyAlignment="1">
      <alignment horizontal="center" vertical="top" wrapText="1"/>
    </xf>
    <xf numFmtId="0" fontId="45" fillId="0" borderId="13" xfId="14" applyFont="1" applyBorder="1" applyAlignment="1">
      <alignment vertical="top" wrapText="1"/>
    </xf>
    <xf numFmtId="165" fontId="36" fillId="0" borderId="1" xfId="14" applyNumberFormat="1" applyFont="1" applyBorder="1" applyAlignment="1">
      <alignment horizontal="center" vertical="top" wrapText="1"/>
    </xf>
    <xf numFmtId="168" fontId="44" fillId="0" borderId="1" xfId="15" applyNumberFormat="1" applyFont="1" applyBorder="1" applyAlignment="1">
      <alignment horizontal="center" vertical="top" wrapText="1"/>
    </xf>
    <xf numFmtId="10" fontId="44" fillId="0" borderId="1" xfId="14" applyNumberFormat="1" applyFont="1" applyBorder="1" applyAlignment="1">
      <alignment horizontal="center" vertical="top" wrapText="1"/>
    </xf>
    <xf numFmtId="10" fontId="44" fillId="0" borderId="14" xfId="14" applyNumberFormat="1" applyFont="1" applyBorder="1" applyAlignment="1">
      <alignment horizontal="center" vertical="top" wrapText="1"/>
    </xf>
    <xf numFmtId="0" fontId="18" fillId="0" borderId="13" xfId="14" applyFont="1" applyBorder="1" applyAlignment="1">
      <alignment wrapText="1"/>
    </xf>
    <xf numFmtId="0" fontId="44" fillId="0" borderId="14" xfId="14" applyFont="1" applyBorder="1" applyAlignment="1">
      <alignment horizontal="center" vertical="top" wrapText="1"/>
    </xf>
    <xf numFmtId="165" fontId="43" fillId="0" borderId="1" xfId="14" applyNumberFormat="1" applyFont="1" applyBorder="1" applyAlignment="1">
      <alignment horizontal="center" vertical="top" wrapText="1"/>
    </xf>
    <xf numFmtId="168" fontId="46" fillId="0" borderId="1" xfId="15" applyNumberFormat="1" applyFont="1" applyBorder="1" applyAlignment="1">
      <alignment horizontal="center" vertical="top" wrapText="1"/>
    </xf>
    <xf numFmtId="165" fontId="44" fillId="0" borderId="14" xfId="14" applyNumberFormat="1" applyFont="1" applyBorder="1" applyAlignment="1">
      <alignment horizontal="justify" vertical="top" wrapText="1"/>
    </xf>
    <xf numFmtId="168" fontId="44" fillId="0" borderId="1" xfId="14" applyNumberFormat="1" applyFont="1" applyBorder="1" applyAlignment="1">
      <alignment horizontal="center" vertical="top" wrapText="1"/>
    </xf>
    <xf numFmtId="0" fontId="43" fillId="0" borderId="1" xfId="14" applyFont="1" applyBorder="1" applyAlignment="1">
      <alignment horizontal="justify" vertical="top" wrapText="1"/>
    </xf>
    <xf numFmtId="0" fontId="43" fillId="0" borderId="14" xfId="14" applyFont="1" applyBorder="1" applyAlignment="1">
      <alignment horizontal="justify" vertical="top" wrapText="1"/>
    </xf>
    <xf numFmtId="0" fontId="36" fillId="0" borderId="1" xfId="14" applyFont="1" applyBorder="1" applyAlignment="1">
      <alignment horizontal="justify" vertical="top" wrapText="1"/>
    </xf>
    <xf numFmtId="0" fontId="36" fillId="0" borderId="14" xfId="14" applyFont="1" applyBorder="1" applyAlignment="1">
      <alignment horizontal="justify" vertical="top" wrapText="1"/>
    </xf>
    <xf numFmtId="0" fontId="43" fillId="3" borderId="18" xfId="14" applyFont="1" applyFill="1" applyBorder="1" applyAlignment="1">
      <alignment horizontal="justify" vertical="top" wrapText="1"/>
    </xf>
    <xf numFmtId="165" fontId="43" fillId="3" borderId="15" xfId="14" applyNumberFormat="1" applyFont="1" applyFill="1" applyBorder="1" applyAlignment="1">
      <alignment horizontal="center" vertical="top" wrapText="1"/>
    </xf>
    <xf numFmtId="0" fontId="36" fillId="3" borderId="15" xfId="14" applyFont="1" applyFill="1" applyBorder="1" applyAlignment="1">
      <alignment horizontal="justify" vertical="top" wrapText="1"/>
    </xf>
    <xf numFmtId="0" fontId="36" fillId="3" borderId="16" xfId="14" applyFont="1" applyFill="1" applyBorder="1" applyAlignment="1">
      <alignment horizontal="justify" vertical="top" wrapText="1"/>
    </xf>
    <xf numFmtId="0" fontId="42" fillId="0" borderId="0" xfId="14" applyFont="1"/>
    <xf numFmtId="0" fontId="36" fillId="0" borderId="0" xfId="14" applyFont="1" applyAlignment="1">
      <alignment vertical="top" wrapText="1"/>
    </xf>
    <xf numFmtId="0" fontId="36" fillId="0" borderId="0" xfId="14" applyFont="1" applyAlignment="1">
      <alignment horizontal="right" vertical="top" wrapText="1"/>
    </xf>
    <xf numFmtId="0" fontId="44" fillId="0" borderId="1" xfId="14" applyFont="1" applyBorder="1" applyAlignment="1">
      <alignment vertical="top" wrapText="1"/>
    </xf>
    <xf numFmtId="0" fontId="48" fillId="0" borderId="1" xfId="14" applyFont="1" applyBorder="1"/>
    <xf numFmtId="164" fontId="44" fillId="0" borderId="1" xfId="14" applyNumberFormat="1" applyFont="1" applyBorder="1" applyAlignment="1">
      <alignment vertical="top" wrapText="1"/>
    </xf>
    <xf numFmtId="164" fontId="48" fillId="0" borderId="1" xfId="14" applyNumberFormat="1" applyFont="1" applyBorder="1"/>
    <xf numFmtId="164" fontId="48" fillId="0" borderId="1" xfId="14" applyNumberFormat="1" applyFont="1" applyBorder="1" applyAlignment="1">
      <alignment vertical="top"/>
    </xf>
    <xf numFmtId="0" fontId="16" fillId="0" borderId="0" xfId="14" applyFont="1" applyAlignment="1">
      <alignment horizontal="center" vertical="top"/>
    </xf>
    <xf numFmtId="0" fontId="49" fillId="0" borderId="0" xfId="14" applyFont="1" applyAlignment="1">
      <alignment vertical="top"/>
    </xf>
    <xf numFmtId="168" fontId="36" fillId="0" borderId="0" xfId="14" applyNumberFormat="1" applyFont="1" applyAlignment="1">
      <alignment vertical="top" wrapText="1"/>
    </xf>
    <xf numFmtId="0" fontId="32" fillId="0" borderId="0" xfId="14" applyFont="1" applyAlignment="1">
      <alignment horizontal="left" wrapText="1"/>
    </xf>
    <xf numFmtId="0" fontId="32" fillId="0" borderId="13" xfId="14" applyFont="1" applyBorder="1" applyAlignment="1">
      <alignment horizontal="left" vertical="top" wrapText="1"/>
    </xf>
    <xf numFmtId="0" fontId="32" fillId="0" borderId="1" xfId="14" applyFont="1" applyBorder="1" applyAlignment="1">
      <alignment horizontal="center" vertical="top" wrapText="1"/>
    </xf>
    <xf numFmtId="0" fontId="32" fillId="0" borderId="18" xfId="14" applyFont="1" applyBorder="1" applyAlignment="1">
      <alignment horizontal="left" vertical="top" wrapText="1"/>
    </xf>
    <xf numFmtId="0" fontId="32" fillId="0" borderId="15" xfId="14" applyFont="1" applyBorder="1" applyAlignment="1">
      <alignment horizontal="center" vertical="top" wrapText="1"/>
    </xf>
    <xf numFmtId="0" fontId="16" fillId="0" borderId="0" xfId="14" applyFont="1" applyAlignment="1">
      <alignment horizontal="justify"/>
    </xf>
    <xf numFmtId="0" fontId="32" fillId="0" borderId="0" xfId="14" applyFont="1" applyAlignment="1">
      <alignment horizontal="justify" vertical="justify"/>
    </xf>
    <xf numFmtId="0" fontId="16" fillId="0" borderId="0" xfId="14" applyFont="1" applyAlignment="1">
      <alignment horizontal="justify" vertical="justify"/>
    </xf>
    <xf numFmtId="0" fontId="32" fillId="0" borderId="0" xfId="14" applyFont="1" applyAlignment="1">
      <alignment horizontal="justify" vertical="top"/>
    </xf>
    <xf numFmtId="0" fontId="42" fillId="0" borderId="0" xfId="14" applyFont="1" applyAlignment="1">
      <alignment vertical="top"/>
    </xf>
    <xf numFmtId="0" fontId="32" fillId="0" borderId="1" xfId="14" applyFont="1" applyBorder="1" applyAlignment="1">
      <alignment horizontal="justify" vertical="top"/>
    </xf>
    <xf numFmtId="168" fontId="48" fillId="0" borderId="1" xfId="14" applyNumberFormat="1" applyFont="1" applyBorder="1" applyAlignment="1">
      <alignment horizontal="right" vertical="top"/>
    </xf>
    <xf numFmtId="165" fontId="32" fillId="0" borderId="0" xfId="14" applyNumberFormat="1" applyFont="1" applyAlignment="1">
      <alignment horizontal="justify" vertical="top"/>
    </xf>
    <xf numFmtId="165" fontId="36" fillId="0" borderId="0" xfId="14" applyNumberFormat="1" applyFont="1" applyAlignment="1">
      <alignment horizontal="right" vertical="top" wrapText="1"/>
    </xf>
    <xf numFmtId="0" fontId="32" fillId="0" borderId="0" xfId="14" applyFont="1" applyAlignment="1">
      <alignment horizontal="justify"/>
    </xf>
    <xf numFmtId="0" fontId="16" fillId="0" borderId="0" xfId="14" applyFont="1" applyAlignment="1">
      <alignment vertical="justify"/>
    </xf>
    <xf numFmtId="0" fontId="16" fillId="0" borderId="0" xfId="14" applyFont="1" applyAlignment="1">
      <alignment horizontal="center" vertical="justify"/>
    </xf>
    <xf numFmtId="0" fontId="32" fillId="0" borderId="1" xfId="14" applyFont="1" applyBorder="1" applyAlignment="1">
      <alignment horizontal="justify" vertical="justify"/>
    </xf>
    <xf numFmtId="164" fontId="32" fillId="0" borderId="0" xfId="14" applyNumberFormat="1" applyFont="1" applyAlignment="1">
      <alignment horizontal="justify" vertical="justify"/>
    </xf>
    <xf numFmtId="165" fontId="32" fillId="0" borderId="0" xfId="14" applyNumberFormat="1" applyFont="1" applyAlignment="1">
      <alignment horizontal="justify" vertical="justify"/>
    </xf>
    <xf numFmtId="165" fontId="42" fillId="0" borderId="0" xfId="14" applyNumberFormat="1" applyFont="1" applyAlignment="1">
      <alignment vertical="top"/>
    </xf>
    <xf numFmtId="0" fontId="32" fillId="0" borderId="13" xfId="14" applyFont="1" applyBorder="1" applyAlignment="1">
      <alignment horizontal="justify" vertical="top" wrapText="1"/>
    </xf>
    <xf numFmtId="0" fontId="20" fillId="0" borderId="13" xfId="14" applyFont="1" applyBorder="1" applyAlignment="1">
      <alignment horizontal="justify" vertical="top" wrapText="1"/>
    </xf>
    <xf numFmtId="0" fontId="16" fillId="3" borderId="18" xfId="14" applyFont="1" applyFill="1" applyBorder="1" applyAlignment="1">
      <alignment horizontal="justify" vertical="top" wrapText="1"/>
    </xf>
    <xf numFmtId="168" fontId="16" fillId="3" borderId="15" xfId="14" applyNumberFormat="1" applyFont="1" applyFill="1" applyBorder="1" applyAlignment="1">
      <alignment horizontal="right" vertical="top" wrapText="1"/>
    </xf>
    <xf numFmtId="0" fontId="32" fillId="0" borderId="0" xfId="14" applyFont="1" applyAlignment="1">
      <alignment horizontal="center"/>
    </xf>
    <xf numFmtId="0" fontId="16" fillId="7" borderId="1" xfId="14" applyFont="1" applyFill="1" applyBorder="1"/>
    <xf numFmtId="0" fontId="32" fillId="0" borderId="1" xfId="14" applyFont="1" applyBorder="1"/>
    <xf numFmtId="15" fontId="16" fillId="8" borderId="1" xfId="14" applyNumberFormat="1" applyFont="1" applyFill="1" applyBorder="1" applyAlignment="1">
      <alignment horizontal="center" vertical="justify"/>
    </xf>
    <xf numFmtId="168" fontId="20" fillId="0" borderId="1" xfId="15" applyNumberFormat="1" applyFont="1" applyBorder="1" applyAlignment="1">
      <alignment horizontal="center" vertical="justify"/>
    </xf>
    <xf numFmtId="168" fontId="20" fillId="0" borderId="1" xfId="14" applyNumberFormat="1" applyFont="1" applyBorder="1" applyAlignment="1">
      <alignment horizontal="justify" vertical="justify"/>
    </xf>
    <xf numFmtId="43" fontId="16" fillId="0" borderId="0" xfId="14" applyNumberFormat="1" applyFont="1"/>
    <xf numFmtId="165" fontId="16" fillId="0" borderId="0" xfId="14" applyNumberFormat="1" applyFont="1"/>
    <xf numFmtId="164" fontId="36" fillId="0" borderId="0" xfId="14" applyNumberFormat="1" applyFont="1" applyAlignment="1">
      <alignment vertical="top"/>
    </xf>
    <xf numFmtId="168" fontId="48" fillId="0" borderId="1" xfId="14" applyNumberFormat="1" applyFont="1" applyBorder="1"/>
    <xf numFmtId="2" fontId="32" fillId="0" borderId="0" xfId="14" applyNumberFormat="1" applyFont="1"/>
    <xf numFmtId="0" fontId="20" fillId="0" borderId="0" xfId="14" applyFont="1"/>
    <xf numFmtId="165" fontId="48" fillId="0" borderId="1" xfId="14" applyNumberFormat="1" applyFont="1" applyBorder="1"/>
    <xf numFmtId="0" fontId="41" fillId="0" borderId="0" xfId="14" applyFont="1" applyAlignment="1"/>
    <xf numFmtId="0" fontId="24" fillId="0" borderId="0" xfId="14" applyFont="1" applyAlignment="1">
      <alignment horizontal="center"/>
    </xf>
    <xf numFmtId="0" fontId="24" fillId="0" borderId="0" xfId="14" applyFont="1" applyAlignment="1"/>
    <xf numFmtId="0" fontId="43" fillId="6" borderId="21" xfId="14" applyFont="1" applyFill="1" applyBorder="1" applyAlignment="1">
      <alignment horizontal="center" vertical="top" wrapText="1"/>
    </xf>
    <xf numFmtId="0" fontId="43" fillId="6" borderId="22" xfId="14" applyFont="1" applyFill="1" applyBorder="1" applyAlignment="1">
      <alignment horizontal="center" vertical="top" wrapText="1"/>
    </xf>
    <xf numFmtId="0" fontId="43" fillId="6" borderId="23" xfId="14" applyFont="1" applyFill="1" applyBorder="1" applyAlignment="1">
      <alignment horizontal="center" vertical="top" wrapText="1"/>
    </xf>
    <xf numFmtId="0" fontId="43" fillId="6" borderId="13" xfId="14" applyFont="1" applyFill="1" applyBorder="1" applyAlignment="1">
      <alignment horizontal="justify" vertical="top" wrapText="1"/>
    </xf>
    <xf numFmtId="164" fontId="46" fillId="6" borderId="1" xfId="14" applyNumberFormat="1" applyFont="1" applyFill="1" applyBorder="1" applyAlignment="1">
      <alignment vertical="center"/>
    </xf>
    <xf numFmtId="164" fontId="44" fillId="6" borderId="1" xfId="14" applyNumberFormat="1" applyFont="1" applyFill="1" applyBorder="1" applyAlignment="1">
      <alignment vertical="center"/>
    </xf>
    <xf numFmtId="164" fontId="46" fillId="6" borderId="14" xfId="14" applyNumberFormat="1" applyFont="1" applyFill="1" applyBorder="1" applyAlignment="1">
      <alignment vertical="center"/>
    </xf>
    <xf numFmtId="0" fontId="16" fillId="6" borderId="18" xfId="14" applyFont="1" applyFill="1" applyBorder="1"/>
    <xf numFmtId="164" fontId="47" fillId="6" borderId="15" xfId="14" applyNumberFormat="1" applyFont="1" applyFill="1" applyBorder="1"/>
    <xf numFmtId="0" fontId="48" fillId="6" borderId="15" xfId="14" applyFont="1" applyFill="1" applyBorder="1"/>
    <xf numFmtId="164" fontId="47" fillId="6" borderId="16" xfId="14" applyNumberFormat="1" applyFont="1" applyFill="1" applyBorder="1"/>
    <xf numFmtId="0" fontId="43" fillId="6" borderId="26" xfId="14" applyFont="1" applyFill="1" applyBorder="1" applyAlignment="1">
      <alignment horizontal="center" vertical="top" wrapText="1"/>
    </xf>
    <xf numFmtId="0" fontId="43" fillId="6" borderId="27" xfId="14" applyFont="1" applyFill="1" applyBorder="1" applyAlignment="1">
      <alignment horizontal="center" vertical="top" wrapText="1"/>
    </xf>
    <xf numFmtId="0" fontId="16" fillId="6" borderId="28" xfId="14" applyFont="1" applyFill="1" applyBorder="1"/>
    <xf numFmtId="164" fontId="47" fillId="6" borderId="29" xfId="14" applyNumberFormat="1" applyFont="1" applyFill="1" applyBorder="1"/>
    <xf numFmtId="0" fontId="48" fillId="6" borderId="29" xfId="14" applyFont="1" applyFill="1" applyBorder="1"/>
    <xf numFmtId="164" fontId="47" fillId="6" borderId="30" xfId="14" applyNumberFormat="1" applyFont="1" applyFill="1" applyBorder="1"/>
    <xf numFmtId="0" fontId="18" fillId="0" borderId="0" xfId="0" applyFont="1" applyBorder="1"/>
    <xf numFmtId="0" fontId="43" fillId="6" borderId="1" xfId="14" applyFont="1" applyFill="1" applyBorder="1" applyAlignment="1">
      <alignment horizontal="center" vertical="top" wrapText="1"/>
    </xf>
    <xf numFmtId="0" fontId="43" fillId="6" borderId="1" xfId="14" applyFont="1" applyFill="1" applyBorder="1" applyAlignment="1">
      <alignment horizontal="justify" vertical="top" wrapText="1"/>
    </xf>
    <xf numFmtId="164" fontId="46" fillId="6" borderId="1" xfId="14" applyNumberFormat="1" applyFont="1" applyFill="1" applyBorder="1" applyAlignment="1">
      <alignment vertical="top" wrapText="1"/>
    </xf>
    <xf numFmtId="0" fontId="16" fillId="6" borderId="1" xfId="14" applyFont="1" applyFill="1" applyBorder="1"/>
    <xf numFmtId="0" fontId="36" fillId="0" borderId="0" xfId="14" applyFont="1" applyAlignment="1">
      <alignment vertical="top"/>
    </xf>
    <xf numFmtId="0" fontId="16" fillId="6" borderId="31" xfId="14" applyFont="1" applyFill="1" applyBorder="1" applyAlignment="1">
      <alignment horizontal="center" vertical="center" wrapText="1"/>
    </xf>
    <xf numFmtId="0" fontId="16" fillId="6" borderId="26" xfId="14" applyFont="1" applyFill="1" applyBorder="1" applyAlignment="1">
      <alignment horizontal="center" vertical="center" wrapText="1"/>
    </xf>
    <xf numFmtId="0" fontId="16" fillId="6" borderId="1" xfId="14" applyFont="1" applyFill="1" applyBorder="1" applyAlignment="1">
      <alignment horizontal="center" vertical="top"/>
    </xf>
    <xf numFmtId="171" fontId="50" fillId="6" borderId="1" xfId="14" applyNumberFormat="1" applyFont="1" applyFill="1" applyBorder="1" applyAlignment="1">
      <alignment horizontal="center" vertical="top"/>
    </xf>
    <xf numFmtId="0" fontId="16" fillId="6" borderId="1" xfId="14" applyFont="1" applyFill="1" applyBorder="1" applyAlignment="1">
      <alignment horizontal="justify" vertical="top"/>
    </xf>
    <xf numFmtId="168" fontId="46" fillId="6" borderId="1" xfId="14" applyNumberFormat="1" applyFont="1" applyFill="1" applyBorder="1"/>
    <xf numFmtId="15" fontId="16" fillId="6" borderId="1" xfId="14" applyNumberFormat="1" applyFont="1" applyFill="1" applyBorder="1" applyAlignment="1">
      <alignment horizontal="center" vertical="justify"/>
    </xf>
    <xf numFmtId="0" fontId="16" fillId="6" borderId="1" xfId="14" applyFont="1" applyFill="1" applyBorder="1" applyAlignment="1">
      <alignment horizontal="center" vertical="top" wrapText="1"/>
    </xf>
    <xf numFmtId="0" fontId="43" fillId="0" borderId="1" xfId="14" applyFont="1" applyBorder="1" applyAlignment="1">
      <alignment horizontal="left" vertical="top" wrapText="1"/>
    </xf>
    <xf numFmtId="168" fontId="36" fillId="0" borderId="1" xfId="14" applyNumberFormat="1" applyFont="1" applyBorder="1" applyAlignment="1">
      <alignment horizontal="justify" vertical="top" wrapText="1"/>
    </xf>
    <xf numFmtId="168" fontId="20" fillId="0" borderId="1" xfId="14" applyNumberFormat="1" applyFont="1" applyBorder="1" applyAlignment="1">
      <alignment horizontal="justify" vertical="top" wrapText="1"/>
    </xf>
    <xf numFmtId="0" fontId="43" fillId="6" borderId="1" xfId="14" applyFont="1" applyFill="1" applyBorder="1" applyAlignment="1">
      <alignment horizontal="center" vertical="center" wrapText="1"/>
    </xf>
    <xf numFmtId="0" fontId="20" fillId="0" borderId="0" xfId="14" applyFont="1" applyAlignment="1"/>
    <xf numFmtId="0" fontId="32" fillId="0" borderId="1" xfId="14" applyFont="1" applyBorder="1" applyAlignment="1"/>
    <xf numFmtId="0" fontId="42" fillId="0" borderId="0" xfId="14" applyFont="1" applyAlignment="1"/>
    <xf numFmtId="0" fontId="32" fillId="0" borderId="0" xfId="14" applyFont="1" applyBorder="1"/>
    <xf numFmtId="165" fontId="48" fillId="0" borderId="0" xfId="14" applyNumberFormat="1" applyFont="1" applyBorder="1"/>
    <xf numFmtId="165" fontId="47" fillId="0" borderId="0" xfId="14" applyNumberFormat="1" applyFont="1" applyBorder="1"/>
    <xf numFmtId="0" fontId="7" fillId="0" borderId="0" xfId="16" applyFont="1"/>
    <xf numFmtId="0" fontId="5" fillId="0" borderId="0" xfId="16" applyFont="1"/>
    <xf numFmtId="0" fontId="7" fillId="0" borderId="0" xfId="14" applyFont="1"/>
    <xf numFmtId="0" fontId="5" fillId="0" borderId="0" xfId="14" applyFont="1"/>
    <xf numFmtId="0" fontId="9" fillId="0" borderId="0" xfId="14" applyFont="1" applyAlignment="1">
      <alignment vertical="center"/>
    </xf>
    <xf numFmtId="0" fontId="9" fillId="0" borderId="0" xfId="14" applyFont="1"/>
    <xf numFmtId="0" fontId="9" fillId="0" borderId="18" xfId="14" applyFont="1" applyBorder="1"/>
    <xf numFmtId="0" fontId="51" fillId="0" borderId="0" xfId="14" applyFont="1" applyAlignment="1">
      <alignment vertical="top" wrapText="1"/>
    </xf>
    <xf numFmtId="0" fontId="6" fillId="0" borderId="0" xfId="14" applyFont="1"/>
    <xf numFmtId="0" fontId="6" fillId="0" borderId="13" xfId="14" applyFont="1" applyBorder="1" applyAlignment="1">
      <alignment horizontal="center" wrapText="1"/>
    </xf>
    <xf numFmtId="0" fontId="52" fillId="0" borderId="0" xfId="14" applyFont="1" applyBorder="1" applyAlignment="1"/>
    <xf numFmtId="0" fontId="51" fillId="0" borderId="0" xfId="14" applyFont="1" applyBorder="1" applyAlignment="1">
      <alignment vertical="top" wrapText="1"/>
    </xf>
    <xf numFmtId="0" fontId="51" fillId="0" borderId="0" xfId="14" applyFont="1" applyAlignment="1">
      <alignment horizontal="right"/>
    </xf>
    <xf numFmtId="0" fontId="24" fillId="0" borderId="0" xfId="17" applyFont="1" applyAlignment="1">
      <alignment horizontal="center" vertical="top"/>
    </xf>
    <xf numFmtId="0" fontId="29" fillId="0" borderId="0" xfId="17" applyFont="1"/>
    <xf numFmtId="0" fontId="29" fillId="0" borderId="0" xfId="17" applyFont="1" applyAlignment="1">
      <alignment horizontal="right"/>
    </xf>
    <xf numFmtId="0" fontId="24" fillId="0" borderId="0" xfId="17" applyFont="1" applyAlignment="1">
      <alignment horizontal="right"/>
    </xf>
    <xf numFmtId="0" fontId="27" fillId="0" borderId="0" xfId="17" applyFont="1" applyAlignment="1">
      <alignment vertical="top" wrapText="1"/>
    </xf>
    <xf numFmtId="0" fontId="29" fillId="0" borderId="0" xfId="17" applyFont="1" applyAlignment="1">
      <alignment vertical="top" wrapText="1"/>
    </xf>
    <xf numFmtId="0" fontId="26" fillId="0" borderId="0" xfId="17" applyFont="1" applyAlignment="1">
      <alignment horizontal="right" vertical="top" wrapText="1"/>
    </xf>
    <xf numFmtId="0" fontId="27" fillId="0" borderId="0" xfId="17" applyFont="1" applyAlignment="1">
      <alignment vertical="top"/>
    </xf>
    <xf numFmtId="0" fontId="21" fillId="0" borderId="0" xfId="14" applyFont="1" applyAlignment="1">
      <alignment horizontal="left" vertical="top" indent="2"/>
    </xf>
    <xf numFmtId="0" fontId="24" fillId="0" borderId="0" xfId="17" applyFont="1"/>
    <xf numFmtId="165" fontId="24" fillId="0" borderId="0" xfId="17" applyNumberFormat="1" applyFont="1"/>
    <xf numFmtId="0" fontId="22" fillId="0" borderId="0" xfId="14" applyFont="1" applyAlignment="1">
      <alignment vertical="top"/>
    </xf>
    <xf numFmtId="168" fontId="29" fillId="0" borderId="0" xfId="15" applyNumberFormat="1" applyFont="1"/>
    <xf numFmtId="0" fontId="24" fillId="0" borderId="0" xfId="14" applyFont="1"/>
    <xf numFmtId="0" fontId="29" fillId="0" borderId="0" xfId="14" applyFont="1"/>
    <xf numFmtId="0" fontId="24" fillId="0" borderId="0" xfId="14" applyFont="1" applyAlignment="1">
      <alignment horizontal="right"/>
    </xf>
    <xf numFmtId="49" fontId="14" fillId="0" borderId="0" xfId="14" applyNumberFormat="1" applyFont="1" applyAlignment="1">
      <alignment vertical="center" wrapText="1"/>
    </xf>
    <xf numFmtId="0" fontId="29" fillId="0" borderId="0" xfId="14" applyFont="1" applyAlignment="1">
      <alignment horizontal="left" vertical="top" wrapText="1"/>
    </xf>
    <xf numFmtId="0" fontId="55" fillId="0" borderId="0" xfId="14" applyFont="1" applyAlignment="1">
      <alignment horizontal="center"/>
    </xf>
    <xf numFmtId="0" fontId="17" fillId="6" borderId="1" xfId="14" applyFont="1" applyFill="1" applyBorder="1" applyAlignment="1">
      <alignment horizontal="center" vertical="center" wrapText="1"/>
    </xf>
    <xf numFmtId="0" fontId="54" fillId="0" borderId="0" xfId="14" applyFont="1" applyBorder="1" applyAlignment="1">
      <alignment horizontal="justify" vertical="top" wrapText="1"/>
    </xf>
    <xf numFmtId="0" fontId="29" fillId="0" borderId="0" xfId="14" applyFont="1" applyAlignment="1">
      <alignment horizontal="justify" vertical="top" wrapText="1"/>
    </xf>
    <xf numFmtId="164" fontId="18" fillId="0" borderId="0" xfId="0" applyNumberFormat="1" applyFont="1"/>
    <xf numFmtId="168" fontId="46" fillId="0" borderId="1" xfId="14" applyNumberFormat="1" applyFont="1" applyBorder="1" applyAlignment="1">
      <alignment vertical="center" wrapText="1"/>
    </xf>
    <xf numFmtId="43" fontId="16" fillId="0" borderId="1" xfId="14" applyNumberFormat="1" applyFont="1" applyBorder="1" applyAlignment="1"/>
    <xf numFmtId="0" fontId="56" fillId="0" borderId="0" xfId="14" applyFont="1"/>
    <xf numFmtId="0" fontId="57" fillId="0" borderId="0" xfId="14" applyFont="1" applyAlignment="1"/>
    <xf numFmtId="43" fontId="14" fillId="0" borderId="1" xfId="1" applyFont="1" applyFill="1" applyBorder="1" applyAlignment="1">
      <alignment vertical="top"/>
    </xf>
    <xf numFmtId="43" fontId="14" fillId="0" borderId="1" xfId="0" applyNumberFormat="1" applyFont="1" applyFill="1" applyBorder="1" applyAlignment="1">
      <alignment vertical="top"/>
    </xf>
    <xf numFmtId="0" fontId="10" fillId="0" borderId="0" xfId="0" applyFont="1"/>
    <xf numFmtId="0" fontId="12" fillId="0" borderId="1" xfId="0" applyFont="1" applyBorder="1" applyAlignment="1">
      <alignment horizontal="center"/>
    </xf>
    <xf numFmtId="167" fontId="12" fillId="0" borderId="1" xfId="1" applyNumberFormat="1" applyFont="1" applyBorder="1"/>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167" fontId="14" fillId="6" borderId="11" xfId="1" applyNumberFormat="1" applyFont="1" applyFill="1" applyBorder="1"/>
    <xf numFmtId="167" fontId="14" fillId="6" borderId="1" xfId="1" applyNumberFormat="1" applyFont="1" applyFill="1" applyBorder="1"/>
    <xf numFmtId="0" fontId="14" fillId="6" borderId="1" xfId="0" applyFont="1" applyFill="1" applyBorder="1" applyAlignment="1">
      <alignment horizontal="center" vertical="center" wrapText="1"/>
    </xf>
    <xf numFmtId="0" fontId="58" fillId="0" borderId="0" xfId="0" applyFont="1" applyAlignment="1">
      <alignment horizontal="left" vertical="top" wrapText="1"/>
    </xf>
    <xf numFmtId="0" fontId="59" fillId="0" borderId="0" xfId="11" applyFont="1" applyAlignment="1">
      <alignment horizontal="justify" vertical="top"/>
    </xf>
    <xf numFmtId="0" fontId="19" fillId="0" borderId="0" xfId="0" applyFont="1" applyAlignment="1">
      <alignment horizontal="right" vertical="top"/>
    </xf>
    <xf numFmtId="0" fontId="61" fillId="0" borderId="0" xfId="0" applyFont="1" applyAlignment="1">
      <alignment vertical="top"/>
    </xf>
    <xf numFmtId="168" fontId="62" fillId="6" borderId="1" xfId="0" applyNumberFormat="1" applyFont="1" applyFill="1" applyBorder="1" applyAlignment="1">
      <alignment horizontal="center" vertical="top" wrapText="1"/>
    </xf>
    <xf numFmtId="167" fontId="44" fillId="0" borderId="1" xfId="3" applyNumberFormat="1" applyFont="1" applyBorder="1" applyAlignment="1">
      <alignment horizontal="left" vertical="center"/>
    </xf>
    <xf numFmtId="0" fontId="24" fillId="0" borderId="0" xfId="16" applyFont="1" applyAlignment="1">
      <alignment horizontal="center"/>
    </xf>
    <xf numFmtId="0" fontId="29" fillId="0" borderId="0" xfId="16" applyFont="1" applyAlignment="1">
      <alignment horizontal="center"/>
    </xf>
    <xf numFmtId="166" fontId="24" fillId="0" borderId="0" xfId="14" applyNumberFormat="1" applyFont="1" applyAlignment="1">
      <alignment horizontal="center"/>
    </xf>
    <xf numFmtId="0" fontId="17" fillId="0" borderId="0" xfId="0" applyFont="1" applyAlignment="1">
      <alignment horizontal="center"/>
    </xf>
    <xf numFmtId="0" fontId="29" fillId="0" borderId="0" xfId="19" applyFont="1"/>
    <xf numFmtId="0" fontId="24" fillId="0" borderId="0" xfId="19" applyFont="1"/>
    <xf numFmtId="0" fontId="24" fillId="0" borderId="0" xfId="19" applyFont="1" applyAlignment="1">
      <alignment horizontal="center"/>
    </xf>
    <xf numFmtId="0" fontId="29" fillId="0" borderId="0" xfId="19" applyFont="1" applyAlignment="1">
      <alignment vertical="top" wrapText="1"/>
    </xf>
    <xf numFmtId="0" fontId="22" fillId="0" borderId="0" xfId="19" applyFont="1" applyAlignment="1">
      <alignment vertical="top" wrapText="1"/>
    </xf>
    <xf numFmtId="0" fontId="24" fillId="9" borderId="11" xfId="19" applyFont="1" applyFill="1" applyBorder="1" applyAlignment="1">
      <alignment horizontal="center" vertical="top" wrapText="1"/>
    </xf>
    <xf numFmtId="0" fontId="24" fillId="9" borderId="1" xfId="19" applyFont="1" applyFill="1" applyBorder="1" applyAlignment="1">
      <alignment horizontal="center" vertical="top" wrapText="1"/>
    </xf>
    <xf numFmtId="15" fontId="24" fillId="6" borderId="1" xfId="19" quotePrefix="1" applyNumberFormat="1" applyFont="1" applyFill="1" applyBorder="1" applyAlignment="1">
      <alignment horizontal="center" vertical="center" wrapText="1"/>
    </xf>
    <xf numFmtId="15" fontId="24" fillId="9" borderId="40" xfId="19" quotePrefix="1" applyNumberFormat="1" applyFont="1" applyFill="1" applyBorder="1" applyAlignment="1">
      <alignment horizontal="center" vertical="top" wrapText="1"/>
    </xf>
    <xf numFmtId="15" fontId="24" fillId="9" borderId="43" xfId="19" quotePrefix="1" applyNumberFormat="1" applyFont="1" applyFill="1" applyBorder="1" applyAlignment="1">
      <alignment horizontal="center" vertical="top" wrapText="1"/>
    </xf>
    <xf numFmtId="15" fontId="24" fillId="9" borderId="42" xfId="19" quotePrefix="1" applyNumberFormat="1" applyFont="1" applyFill="1" applyBorder="1" applyAlignment="1">
      <alignment horizontal="center" vertical="top" wrapText="1"/>
    </xf>
    <xf numFmtId="43" fontId="29" fillId="0" borderId="1" xfId="1" applyFont="1" applyBorder="1" applyAlignment="1">
      <alignment horizontal="right"/>
    </xf>
    <xf numFmtId="0" fontId="29" fillId="0" borderId="11" xfId="19" applyFont="1" applyBorder="1"/>
    <xf numFmtId="0" fontId="29" fillId="0" borderId="1" xfId="19" applyFont="1" applyBorder="1" applyAlignment="1">
      <alignment vertical="top" wrapText="1"/>
    </xf>
    <xf numFmtId="43" fontId="29" fillId="0" borderId="1" xfId="1" applyFont="1" applyBorder="1"/>
    <xf numFmtId="0" fontId="29" fillId="0" borderId="11" xfId="19" applyFont="1" applyBorder="1" applyAlignment="1">
      <alignment horizontal="right"/>
    </xf>
    <xf numFmtId="43" fontId="29" fillId="0" borderId="1" xfId="1" applyFont="1" applyBorder="1" applyAlignment="1">
      <alignment vertical="top" wrapText="1"/>
    </xf>
    <xf numFmtId="0" fontId="29" fillId="0" borderId="11" xfId="19" applyFont="1" applyBorder="1" applyAlignment="1">
      <alignment vertical="top" wrapText="1"/>
    </xf>
    <xf numFmtId="0" fontId="22" fillId="0" borderId="0" xfId="19" applyFont="1"/>
    <xf numFmtId="43" fontId="22" fillId="0" borderId="1" xfId="1" applyFont="1" applyBorder="1" applyAlignment="1">
      <alignment horizontal="right"/>
    </xf>
    <xf numFmtId="43" fontId="22" fillId="0" borderId="1" xfId="1" applyFont="1" applyBorder="1"/>
    <xf numFmtId="0" fontId="22" fillId="0" borderId="11" xfId="19" applyFont="1" applyBorder="1" applyAlignment="1">
      <alignment vertical="top" wrapText="1"/>
    </xf>
    <xf numFmtId="0" fontId="22" fillId="0" borderId="1" xfId="19" applyFont="1" applyBorder="1" applyAlignment="1">
      <alignment vertical="top" wrapText="1"/>
    </xf>
    <xf numFmtId="43" fontId="22" fillId="0" borderId="1" xfId="1" applyFont="1" applyBorder="1" applyAlignment="1">
      <alignment vertical="top" wrapText="1"/>
    </xf>
    <xf numFmtId="0" fontId="29" fillId="0" borderId="0" xfId="19" applyFont="1" applyAlignment="1">
      <alignment horizontal="justify"/>
    </xf>
    <xf numFmtId="165" fontId="29" fillId="0" borderId="0" xfId="19" applyNumberFormat="1" applyFont="1" applyAlignment="1">
      <alignment horizontal="right"/>
    </xf>
    <xf numFmtId="43" fontId="24" fillId="0" borderId="1" xfId="1" applyFont="1" applyBorder="1" applyAlignment="1">
      <alignment vertical="top" wrapText="1"/>
    </xf>
    <xf numFmtId="0" fontId="24" fillId="0" borderId="0" xfId="19" applyFont="1" applyAlignment="1">
      <alignment vertical="top" wrapText="1"/>
    </xf>
    <xf numFmtId="0" fontId="24" fillId="6" borderId="1" xfId="19" applyFont="1" applyFill="1" applyBorder="1" applyAlignment="1">
      <alignment horizontal="center" vertical="center" wrapText="1"/>
    </xf>
    <xf numFmtId="15" fontId="24" fillId="0" borderId="0" xfId="19" quotePrefix="1" applyNumberFormat="1" applyFont="1" applyAlignment="1">
      <alignment horizontal="center" vertical="center" wrapText="1"/>
    </xf>
    <xf numFmtId="15" fontId="24" fillId="0" borderId="0" xfId="19" quotePrefix="1" applyNumberFormat="1" applyFont="1" applyAlignment="1">
      <alignment horizontal="center" vertical="top" wrapText="1"/>
    </xf>
    <xf numFmtId="0" fontId="26" fillId="0" borderId="1" xfId="19" applyFont="1" applyBorder="1" applyAlignment="1">
      <alignment horizontal="left" vertical="center"/>
    </xf>
    <xf numFmtId="0" fontId="29" fillId="0" borderId="1" xfId="19" applyFont="1" applyBorder="1" applyAlignment="1">
      <alignment horizontal="center" vertical="center" wrapText="1"/>
    </xf>
    <xf numFmtId="0" fontId="29" fillId="0" borderId="0" xfId="19" applyFont="1" applyAlignment="1">
      <alignment horizontal="center" vertical="center" wrapText="1"/>
    </xf>
    <xf numFmtId="0" fontId="26" fillId="0" borderId="1" xfId="19" applyFont="1" applyBorder="1" applyAlignment="1">
      <alignment vertical="top"/>
    </xf>
    <xf numFmtId="10" fontId="26" fillId="0" borderId="1" xfId="19" applyNumberFormat="1" applyFont="1" applyBorder="1" applyAlignment="1">
      <alignment horizontal="center" vertical="top"/>
    </xf>
    <xf numFmtId="10" fontId="26" fillId="0" borderId="0" xfId="19" applyNumberFormat="1" applyFont="1" applyAlignment="1">
      <alignment horizontal="center" vertical="top"/>
    </xf>
    <xf numFmtId="9" fontId="26" fillId="0" borderId="1" xfId="19" applyNumberFormat="1" applyFont="1" applyBorder="1" applyAlignment="1">
      <alignment horizontal="center" vertical="top" wrapText="1"/>
    </xf>
    <xf numFmtId="9" fontId="26" fillId="0" borderId="0" xfId="19" applyNumberFormat="1" applyFont="1" applyAlignment="1">
      <alignment horizontal="center" vertical="top" wrapText="1"/>
    </xf>
    <xf numFmtId="0" fontId="29" fillId="0" borderId="1" xfId="19" applyFont="1" applyBorder="1" applyAlignment="1">
      <alignment horizontal="center" vertical="top" wrapText="1"/>
    </xf>
    <xf numFmtId="0" fontId="29" fillId="9" borderId="0" xfId="19" applyFont="1" applyFill="1"/>
    <xf numFmtId="0" fontId="52" fillId="0" borderId="0" xfId="19" applyFont="1"/>
    <xf numFmtId="164" fontId="26" fillId="0" borderId="0" xfId="19" applyNumberFormat="1" applyFont="1" applyAlignment="1">
      <alignment horizontal="right" vertical="top"/>
    </xf>
    <xf numFmtId="168" fontId="26" fillId="0" borderId="0" xfId="20" applyNumberFormat="1" applyFont="1" applyAlignment="1">
      <alignment vertical="top"/>
    </xf>
    <xf numFmtId="164" fontId="26" fillId="0" borderId="0" xfId="19" applyNumberFormat="1" applyFont="1" applyAlignment="1">
      <alignment vertical="top"/>
    </xf>
    <xf numFmtId="0" fontId="29" fillId="0" borderId="0" xfId="19" applyFont="1" applyAlignment="1">
      <alignment vertical="top"/>
    </xf>
    <xf numFmtId="0" fontId="63" fillId="0" borderId="0" xfId="19" applyFont="1" applyAlignment="1">
      <alignment horizontal="right"/>
    </xf>
    <xf numFmtId="0" fontId="29" fillId="6" borderId="1" xfId="19" applyFont="1" applyFill="1" applyBorder="1" applyAlignment="1">
      <alignment vertical="center"/>
    </xf>
    <xf numFmtId="172" fontId="26" fillId="0" borderId="1" xfId="19" applyNumberFormat="1" applyFont="1" applyBorder="1" applyAlignment="1">
      <alignment horizontal="right"/>
    </xf>
    <xf numFmtId="0" fontId="12" fillId="0" borderId="1" xfId="0" applyFont="1" applyBorder="1" applyAlignment="1">
      <alignment horizontal="justify" vertical="center" wrapText="1"/>
    </xf>
    <xf numFmtId="0" fontId="14" fillId="6" borderId="1" xfId="0" applyFont="1" applyFill="1" applyBorder="1" applyAlignment="1">
      <alignment horizontal="justify" vertical="center"/>
    </xf>
    <xf numFmtId="172" fontId="27" fillId="6" borderId="1" xfId="19" applyNumberFormat="1" applyFont="1" applyFill="1" applyBorder="1" applyAlignment="1">
      <alignment horizontal="right"/>
    </xf>
    <xf numFmtId="0" fontId="29" fillId="0" borderId="1" xfId="19" applyFont="1" applyBorder="1" applyAlignment="1">
      <alignment horizontal="left" vertical="center" wrapText="1"/>
    </xf>
    <xf numFmtId="43" fontId="29" fillId="0" borderId="1" xfId="1" applyFont="1" applyBorder="1" applyAlignment="1">
      <alignment horizontal="center" vertical="center" wrapText="1"/>
    </xf>
    <xf numFmtId="0" fontId="29" fillId="0" borderId="1" xfId="19" applyFont="1" applyBorder="1" applyAlignment="1">
      <alignment vertical="center"/>
    </xf>
    <xf numFmtId="0" fontId="29" fillId="0" borderId="1" xfId="19" applyFont="1" applyBorder="1" applyAlignment="1">
      <alignment horizontal="left" vertical="top" wrapText="1"/>
    </xf>
    <xf numFmtId="0" fontId="12" fillId="0" borderId="1" xfId="0" applyFont="1" applyBorder="1" applyAlignment="1">
      <alignment horizontal="left" wrapText="1"/>
    </xf>
    <xf numFmtId="0" fontId="12" fillId="0" borderId="1" xfId="0" applyFont="1" applyBorder="1" applyAlignment="1">
      <alignment horizontal="left" vertical="center" wrapText="1"/>
    </xf>
    <xf numFmtId="0" fontId="29" fillId="0" borderId="0" xfId="19" applyFont="1" applyAlignment="1">
      <alignment horizontal="left"/>
    </xf>
    <xf numFmtId="0" fontId="27" fillId="0" borderId="0" xfId="19" applyFont="1" applyAlignment="1">
      <alignment horizontal="left" vertical="top"/>
    </xf>
    <xf numFmtId="0" fontId="26" fillId="0" borderId="0" xfId="19" applyFont="1" applyAlignment="1">
      <alignment horizontal="center" vertical="top" wrapText="1"/>
    </xf>
    <xf numFmtId="165" fontId="26" fillId="0" borderId="0" xfId="19" applyNumberFormat="1" applyFont="1" applyAlignment="1">
      <alignment horizontal="justify" vertical="top" wrapText="1"/>
    </xf>
    <xf numFmtId="0" fontId="35" fillId="0" borderId="0" xfId="21" applyFont="1" applyAlignment="1">
      <alignment horizontal="right" vertical="top"/>
    </xf>
    <xf numFmtId="0" fontId="29" fillId="0" borderId="1" xfId="19" applyFont="1" applyBorder="1" applyAlignment="1">
      <alignment vertical="center" wrapText="1"/>
    </xf>
    <xf numFmtId="0" fontId="24" fillId="0" borderId="1" xfId="19" applyFont="1" applyBorder="1" applyAlignment="1">
      <alignment vertical="top" wrapText="1"/>
    </xf>
    <xf numFmtId="172" fontId="27" fillId="0" borderId="1" xfId="19" applyNumberFormat="1" applyFont="1" applyBorder="1" applyAlignment="1">
      <alignment horizontal="right"/>
    </xf>
    <xf numFmtId="164" fontId="27" fillId="0" borderId="0" xfId="19" applyNumberFormat="1" applyFont="1" applyAlignment="1">
      <alignment vertical="center"/>
    </xf>
    <xf numFmtId="0" fontId="24" fillId="6" borderId="4" xfId="19" applyFont="1" applyFill="1" applyBorder="1" applyAlignment="1">
      <alignment horizontal="center" vertical="center" wrapText="1"/>
    </xf>
    <xf numFmtId="0" fontId="29" fillId="6" borderId="0" xfId="19" applyFont="1" applyFill="1" applyAlignment="1">
      <alignment vertical="center"/>
    </xf>
    <xf numFmtId="0" fontId="29" fillId="0" borderId="1" xfId="19" applyFont="1" applyBorder="1" applyAlignment="1">
      <alignment wrapText="1"/>
    </xf>
    <xf numFmtId="0" fontId="29" fillId="0" borderId="0" xfId="19" applyFont="1" applyAlignment="1">
      <alignment wrapText="1"/>
    </xf>
    <xf numFmtId="43" fontId="29" fillId="0" borderId="0" xfId="1" applyFont="1"/>
    <xf numFmtId="0" fontId="24" fillId="6" borderId="1" xfId="19" applyFont="1" applyFill="1" applyBorder="1" applyAlignment="1">
      <alignment wrapText="1"/>
    </xf>
    <xf numFmtId="0" fontId="52" fillId="0" borderId="0" xfId="19" applyFont="1" applyAlignment="1">
      <alignment horizontal="center"/>
    </xf>
    <xf numFmtId="0" fontId="26" fillId="0" borderId="1" xfId="19" applyFont="1" applyBorder="1" applyAlignment="1">
      <alignment horizontal="justify" vertical="top"/>
    </xf>
    <xf numFmtId="172" fontId="22" fillId="0" borderId="1" xfId="19" applyNumberFormat="1" applyFont="1" applyBorder="1" applyAlignment="1">
      <alignment horizontal="right"/>
    </xf>
    <xf numFmtId="172" fontId="26" fillId="0" borderId="1" xfId="19" applyNumberFormat="1" applyFont="1" applyBorder="1" applyAlignment="1">
      <alignment horizontal="right" vertical="top"/>
    </xf>
    <xf numFmtId="0" fontId="27" fillId="6" borderId="1" xfId="19" applyFont="1" applyFill="1" applyBorder="1" applyAlignment="1">
      <alignment horizontal="justify" vertical="top"/>
    </xf>
    <xf numFmtId="165" fontId="29" fillId="0" borderId="0" xfId="19" applyNumberFormat="1" applyFont="1"/>
    <xf numFmtId="0" fontId="24" fillId="0" borderId="0" xfId="19" applyFont="1" applyAlignment="1">
      <alignment horizontal="right"/>
    </xf>
    <xf numFmtId="0" fontId="24" fillId="6" borderId="1" xfId="19" applyFont="1" applyFill="1" applyBorder="1" applyAlignment="1">
      <alignment horizontal="center" vertical="top" wrapText="1"/>
    </xf>
    <xf numFmtId="0" fontId="24" fillId="6" borderId="0" xfId="19" applyFont="1" applyFill="1" applyAlignment="1">
      <alignment horizontal="center" vertical="center" wrapText="1"/>
    </xf>
    <xf numFmtId="0" fontId="29" fillId="6" borderId="0" xfId="19" applyFont="1" applyFill="1"/>
    <xf numFmtId="0" fontId="26" fillId="0" borderId="1" xfId="19" applyFont="1" applyBorder="1" applyAlignment="1">
      <alignment horizontal="justify"/>
    </xf>
    <xf numFmtId="172" fontId="27" fillId="6" borderId="1" xfId="19" applyNumberFormat="1" applyFont="1" applyFill="1" applyBorder="1" applyAlignment="1">
      <alignment horizontal="right" vertical="top"/>
    </xf>
    <xf numFmtId="0" fontId="24" fillId="0" borderId="0" xfId="19" applyFont="1" applyAlignment="1">
      <alignment horizontal="justify"/>
    </xf>
    <xf numFmtId="0" fontId="63" fillId="6" borderId="1" xfId="19" applyFont="1" applyFill="1" applyBorder="1" applyAlignment="1">
      <alignment horizontal="center" vertical="center" wrapText="1"/>
    </xf>
    <xf numFmtId="10" fontId="29" fillId="0" borderId="1" xfId="19" applyNumberFormat="1" applyFont="1" applyBorder="1" applyAlignment="1">
      <alignment horizontal="right" vertical="top" wrapText="1"/>
    </xf>
    <xf numFmtId="165" fontId="29" fillId="0" borderId="1" xfId="19" applyNumberFormat="1" applyFont="1" applyBorder="1" applyAlignment="1">
      <alignment horizontal="right" vertical="top" wrapText="1"/>
    </xf>
    <xf numFmtId="165" fontId="29" fillId="0" borderId="1" xfId="19" applyNumberFormat="1" applyFont="1" applyBorder="1" applyAlignment="1">
      <alignment horizontal="right"/>
    </xf>
    <xf numFmtId="165" fontId="29" fillId="0" borderId="1" xfId="19" applyNumberFormat="1" applyFont="1" applyBorder="1" applyAlignment="1">
      <alignment horizontal="center" vertical="top" wrapText="1"/>
    </xf>
    <xf numFmtId="10" fontId="29" fillId="0" borderId="1" xfId="2" quotePrefix="1" applyNumberFormat="1" applyFont="1" applyBorder="1" applyAlignment="1">
      <alignment horizontal="right" vertical="top" wrapText="1"/>
    </xf>
    <xf numFmtId="165" fontId="12" fillId="0" borderId="1" xfId="0" applyNumberFormat="1" applyFont="1" applyBorder="1"/>
    <xf numFmtId="10" fontId="12" fillId="0" borderId="1" xfId="0" applyNumberFormat="1" applyFont="1" applyBorder="1"/>
    <xf numFmtId="165" fontId="12" fillId="0" borderId="1" xfId="0" applyNumberFormat="1" applyFont="1" applyBorder="1" applyAlignment="1">
      <alignment horizontal="right"/>
    </xf>
    <xf numFmtId="165" fontId="26" fillId="0" borderId="1" xfId="19" applyNumberFormat="1" applyFont="1" applyBorder="1" applyAlignment="1">
      <alignment horizontal="center" vertical="top" wrapText="1"/>
    </xf>
    <xf numFmtId="0" fontId="26" fillId="0" borderId="1" xfId="19" applyFont="1" applyBorder="1" applyAlignment="1">
      <alignment vertical="top" wrapText="1"/>
    </xf>
    <xf numFmtId="165" fontId="12" fillId="0" borderId="1" xfId="19" applyNumberFormat="1" applyFont="1" applyBorder="1" applyAlignment="1">
      <alignment horizontal="right" wrapText="1"/>
    </xf>
    <xf numFmtId="165" fontId="26" fillId="0" borderId="1" xfId="0" applyNumberFormat="1" applyFont="1" applyBorder="1" applyAlignment="1">
      <alignment horizontal="right"/>
    </xf>
    <xf numFmtId="0" fontId="29" fillId="0" borderId="0" xfId="19" applyFont="1" applyAlignment="1">
      <alignment horizontal="justify" vertical="top" wrapText="1"/>
    </xf>
    <xf numFmtId="10" fontId="29" fillId="0" borderId="0" xfId="19" applyNumberFormat="1" applyFont="1" applyAlignment="1">
      <alignment horizontal="center" wrapText="1"/>
    </xf>
    <xf numFmtId="0" fontId="26" fillId="0" borderId="0" xfId="19" applyFont="1" applyAlignment="1">
      <alignment horizontal="center" wrapText="1"/>
    </xf>
    <xf numFmtId="0" fontId="26" fillId="0" borderId="0" xfId="19" applyFont="1" applyAlignment="1">
      <alignment horizontal="justify" vertical="top" wrapText="1"/>
    </xf>
    <xf numFmtId="0" fontId="24" fillId="6" borderId="31" xfId="19" applyFont="1" applyFill="1" applyBorder="1" applyAlignment="1">
      <alignment horizontal="center" vertical="center" wrapText="1"/>
    </xf>
    <xf numFmtId="0" fontId="24" fillId="6" borderId="27" xfId="19" applyFont="1" applyFill="1" applyBorder="1" applyAlignment="1">
      <alignment horizontal="center" vertical="center" wrapText="1"/>
    </xf>
    <xf numFmtId="0" fontId="29" fillId="0" borderId="18" xfId="19" applyFont="1" applyBorder="1" applyAlignment="1">
      <alignment horizontal="justify" vertical="top" wrapText="1"/>
    </xf>
    <xf numFmtId="9" fontId="29" fillId="0" borderId="16" xfId="19" applyNumberFormat="1" applyFont="1" applyBorder="1" applyAlignment="1">
      <alignment horizontal="center" vertical="top" wrapText="1"/>
    </xf>
    <xf numFmtId="9" fontId="29" fillId="0" borderId="0" xfId="19" applyNumberFormat="1" applyFont="1" applyAlignment="1">
      <alignment horizontal="center" vertical="top" wrapText="1"/>
    </xf>
    <xf numFmtId="0" fontId="24" fillId="0" borderId="0" xfId="19" applyFont="1" applyAlignment="1">
      <alignment vertical="top"/>
    </xf>
    <xf numFmtId="0" fontId="24" fillId="10" borderId="0" xfId="19" applyFont="1" applyFill="1" applyAlignment="1">
      <alignment horizontal="center" vertical="center" wrapText="1"/>
    </xf>
    <xf numFmtId="0" fontId="29" fillId="10" borderId="0" xfId="19" applyFont="1" applyFill="1" applyAlignment="1">
      <alignment vertical="center"/>
    </xf>
    <xf numFmtId="43" fontId="29" fillId="0" borderId="1" xfId="1" applyFont="1" applyBorder="1" applyAlignment="1">
      <alignment horizontal="right" vertical="top" wrapText="1"/>
    </xf>
    <xf numFmtId="165" fontId="29" fillId="0" borderId="0" xfId="19" applyNumberFormat="1" applyFont="1" applyAlignment="1">
      <alignment horizontal="right" vertical="top" wrapText="1"/>
    </xf>
    <xf numFmtId="0" fontId="29" fillId="0" borderId="1" xfId="19" applyFont="1" applyBorder="1"/>
    <xf numFmtId="0" fontId="29" fillId="0" borderId="31" xfId="19" applyFont="1" applyBorder="1"/>
    <xf numFmtId="0" fontId="29" fillId="0" borderId="44" xfId="19" applyFont="1" applyBorder="1"/>
    <xf numFmtId="0" fontId="29" fillId="0" borderId="26" xfId="19" applyFont="1" applyBorder="1"/>
    <xf numFmtId="0" fontId="29" fillId="0" borderId="35" xfId="19" applyFont="1" applyBorder="1"/>
    <xf numFmtId="0" fontId="29" fillId="0" borderId="27" xfId="19" applyFont="1" applyBorder="1"/>
    <xf numFmtId="0" fontId="29" fillId="0" borderId="13" xfId="19" applyFont="1" applyBorder="1"/>
    <xf numFmtId="0" fontId="29" fillId="0" borderId="2" xfId="19" applyFont="1" applyBorder="1"/>
    <xf numFmtId="0" fontId="29" fillId="0" borderId="14" xfId="19" applyFont="1" applyBorder="1"/>
    <xf numFmtId="0" fontId="29" fillId="0" borderId="18" xfId="19" applyFont="1" applyBorder="1"/>
    <xf numFmtId="0" fontId="29" fillId="0" borderId="45" xfId="19" applyFont="1" applyBorder="1"/>
    <xf numFmtId="0" fontId="29" fillId="0" borderId="15" xfId="19" applyFont="1" applyBorder="1"/>
    <xf numFmtId="0" fontId="29" fillId="0" borderId="33" xfId="19" applyFont="1" applyBorder="1"/>
    <xf numFmtId="0" fontId="29" fillId="0" borderId="16" xfId="19" applyFont="1" applyBorder="1"/>
    <xf numFmtId="0" fontId="16" fillId="0" borderId="0" xfId="17" applyFont="1" applyAlignment="1"/>
    <xf numFmtId="0" fontId="0" fillId="0" borderId="0" xfId="0" applyAlignment="1">
      <alignment horizontal="center"/>
    </xf>
    <xf numFmtId="0" fontId="58" fillId="0" borderId="0" xfId="0" applyFont="1" applyAlignment="1">
      <alignment wrapText="1"/>
    </xf>
    <xf numFmtId="0" fontId="39" fillId="6" borderId="1" xfId="0" applyFont="1" applyFill="1" applyBorder="1" applyAlignment="1">
      <alignment horizontal="center" vertical="center" wrapText="1"/>
    </xf>
    <xf numFmtId="0" fontId="18" fillId="0" borderId="1" xfId="0" applyFont="1" applyBorder="1" applyAlignment="1">
      <alignment horizontal="center"/>
    </xf>
    <xf numFmtId="0" fontId="18" fillId="0" borderId="1" xfId="0" applyFont="1" applyBorder="1" applyAlignment="1">
      <alignment horizontal="center" vertical="center"/>
    </xf>
    <xf numFmtId="0" fontId="42" fillId="0" borderId="0" xfId="0" applyFont="1" applyFill="1" applyBorder="1" applyAlignment="1">
      <alignment horizontal="left" vertical="top" wrapText="1"/>
    </xf>
    <xf numFmtId="0" fontId="32" fillId="0" borderId="0" xfId="14" applyFont="1" applyAlignment="1"/>
    <xf numFmtId="0" fontId="66" fillId="6" borderId="1" xfId="0" applyFont="1" applyFill="1" applyBorder="1" applyAlignment="1">
      <alignment horizontal="center" vertical="center" wrapText="1"/>
    </xf>
    <xf numFmtId="0" fontId="66" fillId="6" borderId="1" xfId="0" applyFont="1" applyFill="1" applyBorder="1" applyAlignment="1">
      <alignment horizontal="center" vertical="top" wrapText="1"/>
    </xf>
    <xf numFmtId="170" fontId="66" fillId="0" borderId="1" xfId="0" applyNumberFormat="1" applyFont="1" applyBorder="1" applyAlignment="1">
      <alignment horizontal="center"/>
    </xf>
    <xf numFmtId="0" fontId="66" fillId="0" borderId="1" xfId="0" applyFont="1" applyBorder="1" applyAlignment="1">
      <alignment vertical="top"/>
    </xf>
    <xf numFmtId="0" fontId="67" fillId="0" borderId="1" xfId="0" applyFont="1" applyBorder="1" applyAlignment="1">
      <alignment vertical="top"/>
    </xf>
    <xf numFmtId="0" fontId="67" fillId="0" borderId="1" xfId="0" applyFont="1" applyFill="1" applyBorder="1" applyAlignment="1">
      <alignment vertical="top"/>
    </xf>
    <xf numFmtId="167" fontId="67" fillId="0" borderId="1" xfId="0" applyNumberFormat="1" applyFont="1" applyFill="1" applyBorder="1" applyAlignment="1">
      <alignment vertical="top"/>
    </xf>
    <xf numFmtId="0" fontId="66" fillId="0" borderId="1" xfId="0" applyFont="1" applyBorder="1" applyAlignment="1">
      <alignment horizontal="center" vertical="top"/>
    </xf>
    <xf numFmtId="168" fontId="67" fillId="0" borderId="1" xfId="0" applyNumberFormat="1" applyFont="1" applyFill="1" applyBorder="1" applyAlignment="1">
      <alignment vertical="top"/>
    </xf>
    <xf numFmtId="0" fontId="67" fillId="0" borderId="1" xfId="0" applyFont="1" applyBorder="1" applyAlignment="1">
      <alignment horizontal="center" vertical="top"/>
    </xf>
    <xf numFmtId="167" fontId="67" fillId="0" borderId="1" xfId="1" applyNumberFormat="1" applyFont="1" applyFill="1" applyBorder="1" applyAlignment="1">
      <alignment horizontal="center" vertical="top"/>
    </xf>
    <xf numFmtId="167" fontId="67" fillId="0" borderId="1" xfId="1" applyNumberFormat="1" applyFont="1" applyFill="1" applyBorder="1" applyAlignment="1">
      <alignment horizontal="right" vertical="top"/>
    </xf>
    <xf numFmtId="167" fontId="67" fillId="0" borderId="1" xfId="1" applyNumberFormat="1" applyFont="1" applyFill="1" applyBorder="1" applyAlignment="1">
      <alignment vertical="top"/>
    </xf>
    <xf numFmtId="0" fontId="67" fillId="0" borderId="1" xfId="0" applyFont="1" applyBorder="1" applyAlignment="1">
      <alignment horizontal="right" vertical="top"/>
    </xf>
    <xf numFmtId="0" fontId="66" fillId="0" borderId="1" xfId="0" applyFont="1" applyBorder="1" applyAlignment="1">
      <alignment horizontal="right" vertical="top"/>
    </xf>
    <xf numFmtId="0" fontId="67" fillId="0" borderId="1" xfId="0" applyFont="1" applyBorder="1" applyAlignment="1">
      <alignment horizontal="left" vertical="top" indent="2"/>
    </xf>
    <xf numFmtId="0" fontId="66" fillId="0" borderId="1" xfId="0" applyFont="1" applyBorder="1" applyAlignment="1">
      <alignment horizontal="left" vertical="top" indent="5"/>
    </xf>
    <xf numFmtId="167" fontId="66" fillId="0" borderId="1" xfId="1" applyNumberFormat="1" applyFont="1" applyFill="1" applyBorder="1" applyAlignment="1">
      <alignment vertical="top"/>
    </xf>
    <xf numFmtId="0" fontId="67" fillId="0" borderId="1" xfId="0" applyFont="1" applyBorder="1" applyAlignment="1">
      <alignment horizontal="left" vertical="top"/>
    </xf>
    <xf numFmtId="0" fontId="67" fillId="0" borderId="1" xfId="0" applyFont="1" applyBorder="1" applyAlignment="1">
      <alignment horizontal="left" vertical="top" wrapText="1" indent="2"/>
    </xf>
    <xf numFmtId="168" fontId="66" fillId="0" borderId="1" xfId="0" applyNumberFormat="1" applyFont="1" applyFill="1" applyBorder="1" applyAlignment="1">
      <alignment vertical="top"/>
    </xf>
    <xf numFmtId="0" fontId="66" fillId="6" borderId="1" xfId="0" applyFont="1" applyFill="1" applyBorder="1" applyAlignment="1">
      <alignment horizontal="center" vertical="top"/>
    </xf>
    <xf numFmtId="0" fontId="66" fillId="6" borderId="1" xfId="0" applyFont="1" applyFill="1" applyBorder="1" applyAlignment="1">
      <alignment horizontal="right" vertical="top"/>
    </xf>
    <xf numFmtId="0" fontId="66" fillId="6" borderId="1" xfId="0" applyFont="1" applyFill="1" applyBorder="1" applyAlignment="1">
      <alignment horizontal="left" vertical="top" indent="5"/>
    </xf>
    <xf numFmtId="0" fontId="67" fillId="6" borderId="1" xfId="0" applyFont="1" applyFill="1" applyBorder="1" applyAlignment="1">
      <alignment horizontal="center" vertical="top"/>
    </xf>
    <xf numFmtId="168" fontId="66" fillId="6" borderId="1" xfId="0" applyNumberFormat="1" applyFont="1" applyFill="1" applyBorder="1" applyAlignment="1">
      <alignment vertical="top"/>
    </xf>
    <xf numFmtId="0" fontId="67" fillId="0" borderId="1" xfId="0" applyFont="1" applyFill="1" applyBorder="1" applyAlignment="1">
      <alignment horizontal="center" vertical="top"/>
    </xf>
    <xf numFmtId="0" fontId="67" fillId="0" borderId="1" xfId="0" applyFont="1" applyBorder="1" applyAlignment="1">
      <alignment wrapText="1"/>
    </xf>
    <xf numFmtId="0" fontId="66" fillId="0" borderId="1" xfId="0" applyFont="1" applyBorder="1" applyAlignment="1">
      <alignment wrapText="1"/>
    </xf>
    <xf numFmtId="0" fontId="66" fillId="6" borderId="1" xfId="0" applyFont="1" applyFill="1" applyBorder="1" applyAlignment="1">
      <alignment vertical="top"/>
    </xf>
    <xf numFmtId="0" fontId="68" fillId="0" borderId="0" xfId="0" applyFont="1" applyAlignment="1">
      <alignment vertical="top"/>
    </xf>
    <xf numFmtId="0" fontId="69" fillId="0" borderId="0" xfId="0" applyFont="1" applyAlignment="1">
      <alignment vertical="top"/>
    </xf>
    <xf numFmtId="0" fontId="69" fillId="0" borderId="0" xfId="0" applyFont="1" applyAlignment="1">
      <alignment vertical="top" wrapText="1"/>
    </xf>
    <xf numFmtId="173" fontId="69" fillId="0" borderId="0" xfId="1" applyNumberFormat="1" applyFont="1" applyAlignment="1">
      <alignment vertical="top"/>
    </xf>
    <xf numFmtId="167" fontId="69" fillId="0" borderId="0" xfId="1" applyNumberFormat="1" applyFont="1" applyAlignment="1">
      <alignment vertical="top"/>
    </xf>
    <xf numFmtId="0" fontId="68" fillId="0" borderId="0" xfId="0" applyFont="1" applyAlignment="1">
      <alignment vertical="top" wrapText="1"/>
    </xf>
    <xf numFmtId="0" fontId="69" fillId="0" borderId="0" xfId="0" applyFont="1" applyAlignment="1">
      <alignment horizontal="left" vertical="top"/>
    </xf>
    <xf numFmtId="0" fontId="38" fillId="0" borderId="0" xfId="0" applyFont="1" applyAlignment="1">
      <alignment horizontal="center" vertical="top"/>
    </xf>
    <xf numFmtId="0" fontId="21" fillId="6" borderId="1" xfId="0" applyFont="1" applyFill="1" applyBorder="1" applyAlignment="1">
      <alignment horizontal="center" vertical="center" wrapText="1"/>
    </xf>
    <xf numFmtId="0" fontId="14" fillId="0" borderId="0" xfId="0" applyFont="1" applyAlignment="1">
      <alignment horizontal="center" vertical="top"/>
    </xf>
    <xf numFmtId="0" fontId="37" fillId="0" borderId="0" xfId="0" applyFont="1" applyAlignment="1">
      <alignment vertical="top"/>
    </xf>
    <xf numFmtId="0" fontId="38" fillId="0" borderId="0" xfId="0" applyFont="1" applyAlignment="1">
      <alignment vertical="top"/>
    </xf>
    <xf numFmtId="0" fontId="24" fillId="6" borderId="1" xfId="0" applyFont="1" applyFill="1" applyBorder="1" applyAlignment="1">
      <alignment vertical="center" wrapText="1"/>
    </xf>
    <xf numFmtId="0" fontId="18" fillId="0" borderId="1" xfId="0" applyFont="1" applyBorder="1"/>
    <xf numFmtId="168" fontId="18" fillId="0" borderId="1" xfId="1" applyNumberFormat="1" applyFont="1" applyBorder="1" applyAlignment="1"/>
    <xf numFmtId="168" fontId="18" fillId="0" borderId="1" xfId="0" applyNumberFormat="1" applyFont="1" applyBorder="1" applyAlignment="1"/>
    <xf numFmtId="0" fontId="17" fillId="0" borderId="1" xfId="0" applyFont="1" applyBorder="1"/>
    <xf numFmtId="168" fontId="17" fillId="0" borderId="1" xfId="0" applyNumberFormat="1" applyFont="1" applyBorder="1"/>
    <xf numFmtId="174" fontId="0" fillId="0" borderId="0" xfId="1" applyNumberFormat="1" applyFont="1"/>
    <xf numFmtId="0" fontId="17" fillId="0" borderId="1" xfId="0" applyFont="1" applyBorder="1" applyAlignment="1">
      <alignment horizontal="center" vertical="center"/>
    </xf>
    <xf numFmtId="0" fontId="18" fillId="0" borderId="1" xfId="0" applyFont="1" applyBorder="1" applyAlignment="1">
      <alignment vertical="center"/>
    </xf>
    <xf numFmtId="168" fontId="18" fillId="0" borderId="1" xfId="1" applyNumberFormat="1" applyFont="1" applyBorder="1" applyAlignment="1">
      <alignment vertical="center"/>
    </xf>
    <xf numFmtId="164" fontId="18" fillId="0" borderId="1" xfId="1" applyNumberFormat="1" applyFont="1" applyBorder="1" applyAlignment="1">
      <alignment vertical="center"/>
    </xf>
    <xf numFmtId="164" fontId="18" fillId="0" borderId="1" xfId="0" applyNumberFormat="1" applyFont="1" applyBorder="1" applyAlignment="1">
      <alignment vertical="center"/>
    </xf>
    <xf numFmtId="0" fontId="17" fillId="0" borderId="1" xfId="0" applyFont="1" applyBorder="1" applyAlignment="1">
      <alignment vertical="center" wrapText="1"/>
    </xf>
    <xf numFmtId="0" fontId="21" fillId="6" borderId="1" xfId="0" applyFont="1" applyFill="1" applyBorder="1" applyAlignment="1">
      <alignment horizontal="left" vertical="center" wrapText="1"/>
    </xf>
    <xf numFmtId="168" fontId="21" fillId="6" borderId="1" xfId="0" applyNumberFormat="1" applyFont="1" applyFill="1" applyBorder="1" applyAlignment="1">
      <alignment horizontal="center" vertical="center" wrapText="1"/>
    </xf>
    <xf numFmtId="2" fontId="70" fillId="0" borderId="1" xfId="0" applyNumberFormat="1" applyFont="1" applyFill="1" applyBorder="1" applyAlignment="1">
      <alignment vertical="top"/>
    </xf>
    <xf numFmtId="168" fontId="0" fillId="0" borderId="0" xfId="0" applyNumberFormat="1"/>
    <xf numFmtId="167" fontId="12" fillId="0" borderId="0" xfId="0" applyNumberFormat="1" applyFont="1"/>
    <xf numFmtId="167" fontId="14" fillId="0" borderId="0" xfId="0" applyNumberFormat="1" applyFont="1"/>
    <xf numFmtId="168" fontId="18" fillId="0" borderId="1" xfId="0" applyNumberFormat="1" applyFont="1" applyBorder="1" applyAlignment="1">
      <alignment vertical="center"/>
    </xf>
    <xf numFmtId="167" fontId="14" fillId="0" borderId="0" xfId="0" applyNumberFormat="1" applyFont="1" applyAlignment="1">
      <alignment vertical="top"/>
    </xf>
    <xf numFmtId="167" fontId="12" fillId="0" borderId="0" xfId="0" applyNumberFormat="1" applyFont="1" applyAlignment="1">
      <alignment vertical="top"/>
    </xf>
    <xf numFmtId="1" fontId="18" fillId="0" borderId="1" xfId="0" applyNumberFormat="1" applyFont="1" applyBorder="1" applyAlignment="1">
      <alignment vertical="center"/>
    </xf>
    <xf numFmtId="168" fontId="18" fillId="0" borderId="1" xfId="1" applyNumberFormat="1" applyFont="1" applyBorder="1" applyAlignment="1">
      <alignment horizontal="left" vertical="center"/>
    </xf>
    <xf numFmtId="167" fontId="18" fillId="0" borderId="1" xfId="1" applyNumberFormat="1" applyFont="1" applyBorder="1" applyAlignment="1">
      <alignment vertical="center"/>
    </xf>
    <xf numFmtId="0" fontId="0" fillId="0" borderId="1" xfId="0" applyBorder="1"/>
    <xf numFmtId="2" fontId="0" fillId="0" borderId="1" xfId="0" applyNumberFormat="1" applyBorder="1"/>
    <xf numFmtId="2" fontId="0" fillId="11" borderId="1" xfId="0" applyNumberFormat="1" applyFill="1" applyBorder="1"/>
    <xf numFmtId="168" fontId="18" fillId="0" borderId="1" xfId="1" applyNumberFormat="1" applyFont="1" applyFill="1" applyBorder="1" applyAlignment="1">
      <alignment vertical="center"/>
    </xf>
    <xf numFmtId="164" fontId="18" fillId="0" borderId="1" xfId="1" applyNumberFormat="1" applyFont="1" applyFill="1" applyBorder="1" applyAlignment="1">
      <alignment vertical="center"/>
    </xf>
    <xf numFmtId="0" fontId="68" fillId="0" borderId="0" xfId="0" applyFont="1" applyAlignment="1">
      <alignment horizontal="center" vertical="top"/>
    </xf>
    <xf numFmtId="0" fontId="37" fillId="0" borderId="0" xfId="0" applyFont="1" applyAlignment="1">
      <alignment horizontal="center" vertical="top"/>
    </xf>
    <xf numFmtId="0" fontId="38" fillId="0" borderId="0" xfId="0" applyFont="1" applyAlignment="1">
      <alignment horizontal="center" vertical="top"/>
    </xf>
    <xf numFmtId="0" fontId="66" fillId="6" borderId="1" xfId="0" applyFont="1" applyFill="1" applyBorder="1" applyAlignment="1">
      <alignment horizontal="center" vertical="center"/>
    </xf>
    <xf numFmtId="0" fontId="67" fillId="0" borderId="1" xfId="0" applyFont="1" applyBorder="1" applyAlignment="1">
      <alignment horizontal="left" vertical="top"/>
    </xf>
    <xf numFmtId="0" fontId="67" fillId="0" borderId="1" xfId="0" applyFont="1" applyBorder="1" applyAlignment="1">
      <alignment horizontal="center" vertical="center"/>
    </xf>
    <xf numFmtId="0" fontId="17" fillId="0" borderId="0" xfId="0" applyFont="1" applyAlignment="1">
      <alignment horizontal="center" vertical="top"/>
    </xf>
    <xf numFmtId="0" fontId="21" fillId="6" borderId="1" xfId="0" applyFont="1" applyFill="1" applyBorder="1" applyAlignment="1">
      <alignment horizontal="center" vertical="center" wrapText="1"/>
    </xf>
    <xf numFmtId="0" fontId="21" fillId="0" borderId="1" xfId="0" applyFont="1" applyBorder="1" applyAlignment="1">
      <alignment vertical="top" wrapText="1"/>
    </xf>
    <xf numFmtId="0" fontId="21" fillId="0" borderId="1" xfId="4" quotePrefix="1" applyFont="1" applyBorder="1" applyAlignment="1">
      <alignment horizontal="left" vertical="top" wrapText="1"/>
    </xf>
    <xf numFmtId="0" fontId="18" fillId="0" borderId="2" xfId="0" applyFont="1" applyBorder="1" applyAlignment="1">
      <alignment horizontal="center"/>
    </xf>
    <xf numFmtId="0" fontId="18" fillId="0" borderId="3" xfId="0" applyFont="1" applyBorder="1" applyAlignment="1">
      <alignment horizontal="center"/>
    </xf>
    <xf numFmtId="0" fontId="18" fillId="0" borderId="11"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17" fillId="0" borderId="11" xfId="0" applyFont="1" applyBorder="1" applyAlignment="1">
      <alignment horizontal="center"/>
    </xf>
    <xf numFmtId="0" fontId="24" fillId="6" borderId="1" xfId="0" applyFont="1" applyFill="1" applyBorder="1" applyAlignment="1">
      <alignment horizontal="center" vertical="center" wrapText="1"/>
    </xf>
    <xf numFmtId="0" fontId="24" fillId="6" borderId="1" xfId="0" applyFont="1" applyFill="1" applyBorder="1" applyAlignment="1">
      <alignment horizontal="center" vertical="top" wrapText="1"/>
    </xf>
    <xf numFmtId="0" fontId="64" fillId="5" borderId="0" xfId="0" applyFont="1" applyFill="1" applyAlignment="1">
      <alignment horizontal="center" vertical="center"/>
    </xf>
    <xf numFmtId="0" fontId="65" fillId="5" borderId="0" xfId="0" applyFont="1" applyFill="1" applyAlignment="1">
      <alignment horizontal="center" vertical="center"/>
    </xf>
    <xf numFmtId="0" fontId="27" fillId="6" borderId="1" xfId="0" applyFont="1" applyFill="1" applyBorder="1" applyAlignment="1">
      <alignment horizontal="center" vertical="center" wrapText="1"/>
    </xf>
    <xf numFmtId="0" fontId="13" fillId="0" borderId="0" xfId="11" applyFont="1" applyAlignment="1">
      <alignment horizontal="center" vertical="top"/>
    </xf>
    <xf numFmtId="0" fontId="21" fillId="0" borderId="0" xfId="11" applyFont="1" applyAlignment="1">
      <alignment horizontal="center" vertical="top"/>
    </xf>
    <xf numFmtId="0" fontId="19" fillId="0" borderId="0" xfId="11" applyFont="1" applyAlignment="1">
      <alignment horizontal="left" vertical="top" wrapText="1"/>
    </xf>
    <xf numFmtId="0" fontId="60" fillId="0" borderId="6" xfId="11" applyFont="1" applyBorder="1" applyAlignment="1">
      <alignment horizontal="justify" vertical="top"/>
    </xf>
    <xf numFmtId="0" fontId="60" fillId="0" borderId="0" xfId="11" applyFont="1" applyAlignment="1">
      <alignment horizontal="justify" vertical="top"/>
    </xf>
    <xf numFmtId="166" fontId="14" fillId="0" borderId="0" xfId="0" applyNumberFormat="1" applyFont="1" applyAlignment="1">
      <alignment horizontal="center" vertical="top"/>
    </xf>
    <xf numFmtId="0" fontId="21" fillId="0" borderId="0" xfId="0" applyFont="1" applyAlignment="1">
      <alignment horizontal="center" vertical="top" wrapText="1"/>
    </xf>
    <xf numFmtId="0" fontId="21" fillId="0" borderId="6" xfId="0" applyFont="1" applyBorder="1" applyAlignment="1">
      <alignment horizontal="center" vertical="top" wrapText="1"/>
    </xf>
    <xf numFmtId="0" fontId="13" fillId="0" borderId="0" xfId="0" applyFont="1" applyAlignment="1">
      <alignment horizontal="center" vertical="top" wrapText="1"/>
    </xf>
    <xf numFmtId="0" fontId="12" fillId="0" borderId="6" xfId="0" applyFont="1" applyBorder="1" applyAlignment="1">
      <alignment vertical="top" wrapText="1"/>
    </xf>
    <xf numFmtId="0" fontId="42" fillId="0" borderId="5" xfId="0" applyFont="1" applyFill="1" applyBorder="1" applyAlignment="1">
      <alignment horizontal="left" vertical="top" wrapText="1"/>
    </xf>
    <xf numFmtId="0" fontId="42" fillId="0" borderId="6" xfId="0" applyFont="1" applyFill="1" applyBorder="1" applyAlignment="1">
      <alignment horizontal="left" vertical="top" wrapText="1"/>
    </xf>
    <xf numFmtId="0" fontId="28" fillId="0" borderId="6" xfId="0" applyFont="1" applyBorder="1" applyAlignment="1">
      <alignment horizontal="justify" vertical="top" wrapText="1"/>
    </xf>
    <xf numFmtId="0" fontId="59" fillId="0" borderId="6" xfId="0" applyFont="1" applyBorder="1" applyAlignment="1">
      <alignment horizontal="justify" vertical="top"/>
    </xf>
    <xf numFmtId="165" fontId="21" fillId="6" borderId="2" xfId="7" applyFont="1" applyFill="1" applyBorder="1" applyAlignment="1">
      <alignment horizontal="center" vertical="top" wrapText="1"/>
    </xf>
    <xf numFmtId="165" fontId="21" fillId="6" borderId="11" xfId="7" applyFont="1" applyFill="1" applyBorder="1" applyAlignment="1">
      <alignment horizontal="center" vertical="top" wrapText="1"/>
    </xf>
    <xf numFmtId="165" fontId="21" fillId="6" borderId="1" xfId="7" applyFont="1" applyFill="1" applyBorder="1" applyAlignment="1">
      <alignment horizontal="center" vertical="top" wrapText="1"/>
    </xf>
    <xf numFmtId="0" fontId="58" fillId="0" borderId="6" xfId="0" applyFont="1" applyBorder="1" applyAlignment="1">
      <alignment horizontal="left" vertical="top" wrapText="1"/>
    </xf>
    <xf numFmtId="0" fontId="58" fillId="0" borderId="0" xfId="0" applyFont="1" applyAlignment="1">
      <alignment horizontal="left" vertical="top" wrapText="1"/>
    </xf>
    <xf numFmtId="0" fontId="12" fillId="0" borderId="1" xfId="0" applyFont="1" applyBorder="1" applyAlignment="1">
      <alignment horizontal="center"/>
    </xf>
    <xf numFmtId="0" fontId="14" fillId="0" borderId="0" xfId="0" applyFont="1" applyBorder="1" applyAlignment="1">
      <alignment horizontal="left"/>
    </xf>
    <xf numFmtId="0" fontId="14" fillId="6" borderId="1" xfId="0" applyFont="1" applyFill="1" applyBorder="1" applyAlignment="1">
      <alignment horizontal="center" vertical="center"/>
    </xf>
    <xf numFmtId="0" fontId="12" fillId="0" borderId="1" xfId="0" applyFont="1" applyBorder="1" applyAlignment="1">
      <alignment horizontal="left"/>
    </xf>
    <xf numFmtId="0" fontId="41" fillId="0" borderId="0" xfId="14" applyFont="1" applyAlignment="1">
      <alignment horizontal="center"/>
    </xf>
    <xf numFmtId="0" fontId="24" fillId="0" borderId="0" xfId="14" applyFont="1" applyAlignment="1">
      <alignment horizontal="center"/>
    </xf>
    <xf numFmtId="168" fontId="14" fillId="0" borderId="1" xfId="1" applyNumberFormat="1" applyFont="1" applyBorder="1" applyAlignment="1">
      <alignment horizontal="center" vertical="top"/>
    </xf>
    <xf numFmtId="167" fontId="12" fillId="0" borderId="1" xfId="1" applyNumberFormat="1" applyFont="1" applyBorder="1" applyAlignment="1">
      <alignment horizontal="center"/>
    </xf>
    <xf numFmtId="0" fontId="14" fillId="6" borderId="2" xfId="0" applyFont="1" applyFill="1" applyBorder="1" applyAlignment="1">
      <alignment horizontal="center"/>
    </xf>
    <xf numFmtId="0" fontId="14" fillId="6" borderId="3" xfId="0" applyFont="1" applyFill="1" applyBorder="1" applyAlignment="1">
      <alignment horizontal="center"/>
    </xf>
    <xf numFmtId="0" fontId="14" fillId="6" borderId="11" xfId="0" applyFont="1" applyFill="1" applyBorder="1" applyAlignment="1">
      <alignment horizontal="center"/>
    </xf>
    <xf numFmtId="0" fontId="14" fillId="0" borderId="0" xfId="0" applyFont="1" applyBorder="1" applyAlignment="1"/>
    <xf numFmtId="0" fontId="14" fillId="6" borderId="1" xfId="0" applyFont="1" applyFill="1" applyBorder="1" applyAlignment="1">
      <alignment horizontal="center" vertical="center" wrapText="1"/>
    </xf>
    <xf numFmtId="0" fontId="12" fillId="0" borderId="0" xfId="0" applyFont="1" applyAlignment="1">
      <alignment horizontal="justify" vertical="top" wrapText="1"/>
    </xf>
    <xf numFmtId="167" fontId="14" fillId="6" borderId="1" xfId="1" applyNumberFormat="1" applyFont="1" applyFill="1" applyBorder="1" applyAlignment="1">
      <alignment horizontal="center"/>
    </xf>
    <xf numFmtId="0" fontId="14" fillId="6" borderId="1" xfId="0" applyFont="1" applyFill="1" applyBorder="1" applyAlignment="1">
      <alignment horizontal="center"/>
    </xf>
    <xf numFmtId="0" fontId="36" fillId="0" borderId="0" xfId="14" applyFont="1" applyFill="1" applyAlignment="1">
      <alignment horizontal="justify" vertical="top" wrapText="1"/>
    </xf>
    <xf numFmtId="0" fontId="36" fillId="0" borderId="0" xfId="14" applyFont="1" applyAlignment="1">
      <alignment horizontal="justify" vertical="top" wrapText="1"/>
    </xf>
    <xf numFmtId="0" fontId="32" fillId="0" borderId="18" xfId="14" applyFont="1" applyBorder="1"/>
    <xf numFmtId="0" fontId="32" fillId="0" borderId="15" xfId="14" applyFont="1" applyBorder="1"/>
    <xf numFmtId="0" fontId="16" fillId="0" borderId="1" xfId="14" applyFont="1" applyBorder="1" applyAlignment="1">
      <alignment horizontal="center"/>
    </xf>
    <xf numFmtId="0" fontId="16" fillId="6" borderId="1" xfId="14" applyFont="1" applyFill="1" applyBorder="1" applyAlignment="1">
      <alignment horizontal="center" vertical="center"/>
    </xf>
    <xf numFmtId="0" fontId="32" fillId="0" borderId="1" xfId="14" applyFont="1" applyBorder="1"/>
    <xf numFmtId="0" fontId="32" fillId="0" borderId="0" xfId="14" applyFont="1" applyAlignment="1">
      <alignment horizontal="center"/>
    </xf>
    <xf numFmtId="49" fontId="32" fillId="0" borderId="1" xfId="14" applyNumberFormat="1" applyFont="1" applyBorder="1" applyAlignment="1">
      <alignment horizontal="center" vertical="center"/>
    </xf>
    <xf numFmtId="0" fontId="32" fillId="0" borderId="0" xfId="14" applyFont="1" applyAlignment="1">
      <alignment horizontal="justify" vertical="top"/>
    </xf>
    <xf numFmtId="0" fontId="16" fillId="8" borderId="1" xfId="14" applyFont="1" applyFill="1" applyBorder="1" applyAlignment="1">
      <alignment horizontal="center" vertical="center"/>
    </xf>
    <xf numFmtId="0" fontId="16" fillId="8" borderId="1" xfId="14" applyFont="1" applyFill="1" applyBorder="1" applyAlignment="1">
      <alignment horizontal="center" vertical="justify"/>
    </xf>
    <xf numFmtId="15" fontId="16" fillId="6" borderId="26" xfId="14" applyNumberFormat="1" applyFont="1" applyFill="1" applyBorder="1" applyAlignment="1">
      <alignment horizontal="center" vertical="top" wrapText="1"/>
    </xf>
    <xf numFmtId="0" fontId="16" fillId="6" borderId="1" xfId="14" applyFont="1" applyFill="1" applyBorder="1" applyAlignment="1">
      <alignment horizontal="center" vertical="justify"/>
    </xf>
    <xf numFmtId="49" fontId="20" fillId="0" borderId="5" xfId="15" applyNumberFormat="1" applyFont="1" applyBorder="1" applyAlignment="1">
      <alignment horizontal="center" vertical="center"/>
    </xf>
    <xf numFmtId="49" fontId="20" fillId="0" borderId="12" xfId="15" applyNumberFormat="1" applyFont="1" applyBorder="1" applyAlignment="1">
      <alignment horizontal="center" vertical="center"/>
    </xf>
    <xf numFmtId="49" fontId="20" fillId="0" borderId="9" xfId="15" applyNumberFormat="1" applyFont="1" applyBorder="1" applyAlignment="1">
      <alignment horizontal="center" vertical="center"/>
    </xf>
    <xf numFmtId="49" fontId="20" fillId="0" borderId="34" xfId="15" applyNumberFormat="1" applyFont="1" applyBorder="1" applyAlignment="1">
      <alignment horizontal="center" vertical="center"/>
    </xf>
    <xf numFmtId="0" fontId="42" fillId="0" borderId="6" xfId="14" applyFont="1" applyBorder="1" applyAlignment="1">
      <alignment vertical="top" wrapText="1"/>
    </xf>
    <xf numFmtId="0" fontId="16" fillId="6" borderId="31" xfId="14" applyFont="1" applyFill="1" applyBorder="1" applyAlignment="1">
      <alignment horizontal="center" vertical="top" wrapText="1"/>
    </xf>
    <xf numFmtId="0" fontId="16" fillId="6" borderId="13" xfId="14" applyFont="1" applyFill="1" applyBorder="1" applyAlignment="1">
      <alignment horizontal="center" vertical="top" wrapText="1"/>
    </xf>
    <xf numFmtId="0" fontId="43" fillId="6" borderId="1" xfId="14" applyFont="1" applyFill="1" applyBorder="1" applyAlignment="1">
      <alignment horizontal="center" vertical="center" wrapText="1"/>
    </xf>
    <xf numFmtId="171" fontId="43" fillId="6" borderId="1" xfId="14" applyNumberFormat="1" applyFont="1" applyFill="1" applyBorder="1" applyAlignment="1">
      <alignment horizontal="center" vertical="top" wrapText="1"/>
    </xf>
    <xf numFmtId="0" fontId="16" fillId="6" borderId="26" xfId="14" applyFont="1" applyFill="1" applyBorder="1" applyAlignment="1">
      <alignment horizontal="center" vertical="center" wrapText="1"/>
    </xf>
    <xf numFmtId="0" fontId="16" fillId="6" borderId="27" xfId="14" applyFont="1" applyFill="1" applyBorder="1" applyAlignment="1">
      <alignment horizontal="center" vertical="center" wrapText="1"/>
    </xf>
    <xf numFmtId="0" fontId="32" fillId="0" borderId="2" xfId="14" applyFont="1" applyBorder="1" applyAlignment="1">
      <alignment horizontal="center" vertical="top" wrapText="1"/>
    </xf>
    <xf numFmtId="0" fontId="32" fillId="0" borderId="32" xfId="14" applyFont="1" applyBorder="1" applyAlignment="1">
      <alignment horizontal="center" vertical="top" wrapText="1"/>
    </xf>
    <xf numFmtId="0" fontId="32" fillId="0" borderId="2" xfId="0" applyFont="1" applyBorder="1" applyAlignment="1">
      <alignment horizontal="center" vertical="top" wrapText="1"/>
    </xf>
    <xf numFmtId="0" fontId="32" fillId="0" borderId="32" xfId="0" applyFont="1" applyBorder="1" applyAlignment="1">
      <alignment horizontal="center" vertical="top" wrapText="1"/>
    </xf>
    <xf numFmtId="0" fontId="32" fillId="0" borderId="33" xfId="0" applyFont="1" applyBorder="1" applyAlignment="1">
      <alignment horizontal="center" vertical="top" wrapText="1"/>
    </xf>
    <xf numFmtId="0" fontId="32" fillId="0" borderId="19" xfId="0" applyFont="1" applyBorder="1" applyAlignment="1">
      <alignment horizontal="center" vertical="top" wrapText="1"/>
    </xf>
    <xf numFmtId="0" fontId="32" fillId="0" borderId="0" xfId="14" applyFont="1" applyAlignment="1">
      <alignment horizontal="left"/>
    </xf>
    <xf numFmtId="0" fontId="43" fillId="0" borderId="17" xfId="14" applyFont="1" applyBorder="1" applyAlignment="1">
      <alignment horizontal="left" vertical="top" wrapText="1"/>
    </xf>
    <xf numFmtId="0" fontId="43" fillId="0" borderId="3" xfId="14" applyFont="1" applyBorder="1" applyAlignment="1">
      <alignment horizontal="left" vertical="top" wrapText="1"/>
    </xf>
    <xf numFmtId="0" fontId="43" fillId="0" borderId="32" xfId="14" applyFont="1" applyBorder="1" applyAlignment="1">
      <alignment horizontal="left" vertical="top" wrapText="1"/>
    </xf>
    <xf numFmtId="0" fontId="43" fillId="0" borderId="17" xfId="14" applyFont="1" applyBorder="1" applyAlignment="1">
      <alignment vertical="center"/>
    </xf>
    <xf numFmtId="0" fontId="43" fillId="0" borderId="3" xfId="14" applyFont="1" applyBorder="1" applyAlignment="1">
      <alignment vertical="center"/>
    </xf>
    <xf numFmtId="0" fontId="43" fillId="0" borderId="32" xfId="14" applyFont="1" applyBorder="1" applyAlignment="1">
      <alignment vertical="center"/>
    </xf>
    <xf numFmtId="0" fontId="49" fillId="0" borderId="0" xfId="14" applyFont="1" applyBorder="1" applyAlignment="1">
      <alignment horizontal="right" vertical="top" wrapText="1"/>
    </xf>
    <xf numFmtId="0" fontId="43" fillId="0" borderId="13" xfId="14" applyFont="1" applyBorder="1" applyAlignment="1">
      <alignment vertical="center" wrapText="1"/>
    </xf>
    <xf numFmtId="0" fontId="43" fillId="0" borderId="1" xfId="14" applyFont="1" applyBorder="1" applyAlignment="1">
      <alignment vertical="center" wrapText="1"/>
    </xf>
    <xf numFmtId="0" fontId="43" fillId="0" borderId="14" xfId="14" applyFont="1" applyBorder="1" applyAlignment="1">
      <alignment vertical="center" wrapText="1"/>
    </xf>
    <xf numFmtId="0" fontId="42" fillId="0" borderId="20" xfId="14" applyFont="1" applyBorder="1" applyAlignment="1">
      <alignment horizontal="right"/>
    </xf>
    <xf numFmtId="0" fontId="42" fillId="0" borderId="0" xfId="14" applyFont="1" applyAlignment="1">
      <alignment horizontal="right"/>
    </xf>
    <xf numFmtId="0" fontId="32" fillId="0" borderId="0" xfId="14" applyFont="1" applyAlignment="1">
      <alignment horizontal="left" vertical="justify" wrapText="1"/>
    </xf>
    <xf numFmtId="0" fontId="32" fillId="0" borderId="0" xfId="14" applyFont="1" applyAlignment="1">
      <alignment horizontal="left" vertical="top" wrapText="1"/>
    </xf>
    <xf numFmtId="0" fontId="29" fillId="0" borderId="1" xfId="19" applyFont="1" applyBorder="1" applyAlignment="1">
      <alignment horizontal="justify"/>
    </xf>
    <xf numFmtId="0" fontId="41" fillId="0" borderId="0" xfId="19" applyFont="1" applyAlignment="1">
      <alignment horizontal="center"/>
    </xf>
    <xf numFmtId="0" fontId="24" fillId="0" borderId="0" xfId="19" applyFont="1" applyAlignment="1">
      <alignment horizontal="center"/>
    </xf>
    <xf numFmtId="0" fontId="26" fillId="0" borderId="0" xfId="0" applyFont="1" applyAlignment="1">
      <alignment horizontal="left"/>
    </xf>
    <xf numFmtId="0" fontId="26" fillId="0" borderId="0" xfId="0" applyFont="1" applyAlignment="1">
      <alignment horizontal="left" vertical="top" wrapText="1"/>
    </xf>
    <xf numFmtId="0" fontId="26" fillId="0" borderId="0" xfId="0" applyFont="1" applyAlignment="1">
      <alignment horizontal="left" wrapText="1"/>
    </xf>
    <xf numFmtId="0" fontId="12" fillId="0" borderId="0" xfId="0" applyFont="1" applyAlignment="1">
      <alignment horizontal="left" wrapText="1"/>
    </xf>
    <xf numFmtId="0" fontId="24" fillId="0" borderId="0" xfId="19" applyFont="1" applyAlignment="1">
      <alignment horizontal="justify" vertical="top"/>
    </xf>
    <xf numFmtId="0" fontId="24" fillId="6" borderId="1" xfId="19" applyFont="1" applyFill="1" applyBorder="1" applyAlignment="1">
      <alignment horizontal="center" vertical="center" wrapText="1"/>
    </xf>
    <xf numFmtId="164" fontId="27" fillId="6" borderId="1" xfId="19" applyNumberFormat="1" applyFont="1" applyFill="1" applyBorder="1" applyAlignment="1">
      <alignment horizontal="center" vertical="center"/>
    </xf>
    <xf numFmtId="0" fontId="22" fillId="0" borderId="1" xfId="19" applyFont="1" applyBorder="1" applyAlignment="1">
      <alignment horizontal="justify"/>
    </xf>
    <xf numFmtId="0" fontId="24" fillId="0" borderId="1" xfId="19" applyFont="1" applyBorder="1" applyAlignment="1">
      <alignment horizontal="justify"/>
    </xf>
    <xf numFmtId="0" fontId="24" fillId="0" borderId="0" xfId="19" applyFont="1" applyAlignment="1">
      <alignment horizontal="left" vertical="justify" wrapText="1"/>
    </xf>
    <xf numFmtId="0" fontId="24" fillId="0" borderId="41" xfId="19" applyFont="1" applyBorder="1" applyAlignment="1">
      <alignment horizontal="left"/>
    </xf>
    <xf numFmtId="0" fontId="63" fillId="0" borderId="1" xfId="19" applyFont="1" applyBorder="1" applyAlignment="1">
      <alignment horizontal="left" vertical="top" wrapText="1"/>
    </xf>
    <xf numFmtId="0" fontId="24" fillId="0" borderId="0" xfId="19" applyFont="1" applyAlignment="1">
      <alignment horizontal="left" wrapText="1"/>
    </xf>
    <xf numFmtId="0" fontId="29" fillId="0" borderId="0" xfId="19" applyFont="1" applyBorder="1" applyAlignment="1">
      <alignment horizontal="justify" vertical="top" wrapText="1"/>
    </xf>
    <xf numFmtId="0" fontId="29" fillId="0" borderId="1" xfId="19" applyFont="1" applyBorder="1" applyAlignment="1">
      <alignment horizontal="justify" vertical="top" wrapText="1"/>
    </xf>
    <xf numFmtId="0" fontId="24" fillId="6" borderId="1" xfId="19" applyFont="1" applyFill="1" applyBorder="1" applyAlignment="1">
      <alignment horizontal="center" vertical="top" wrapText="1"/>
    </xf>
    <xf numFmtId="0" fontId="26" fillId="0" borderId="1" xfId="19" applyFont="1" applyBorder="1" applyAlignment="1">
      <alignment vertical="top" wrapText="1"/>
    </xf>
    <xf numFmtId="0" fontId="24" fillId="0" borderId="20" xfId="19" applyFont="1" applyBorder="1" applyAlignment="1">
      <alignment horizontal="justify"/>
    </xf>
    <xf numFmtId="168" fontId="5" fillId="0" borderId="1" xfId="14" applyNumberFormat="1" applyFont="1" applyBorder="1" applyAlignment="1">
      <alignment horizontal="center"/>
    </xf>
    <xf numFmtId="0" fontId="9" fillId="6" borderId="1" xfId="14" applyFont="1" applyFill="1" applyBorder="1" applyAlignment="1">
      <alignment horizontal="center" vertical="center"/>
    </xf>
    <xf numFmtId="0" fontId="6" fillId="0" borderId="1" xfId="14" applyFont="1" applyBorder="1"/>
    <xf numFmtId="0" fontId="36" fillId="0" borderId="0" xfId="14" applyFont="1" applyAlignment="1">
      <alignment horizontal="justify" vertical="center" wrapText="1"/>
    </xf>
    <xf numFmtId="0" fontId="9" fillId="6" borderId="1" xfId="14" applyFont="1" applyFill="1" applyBorder="1" applyAlignment="1">
      <alignment horizontal="center" wrapText="1"/>
    </xf>
    <xf numFmtId="0" fontId="9" fillId="6" borderId="21" xfId="14" applyFont="1" applyFill="1" applyBorder="1" applyAlignment="1">
      <alignment vertical="center"/>
    </xf>
    <xf numFmtId="0" fontId="9" fillId="6" borderId="39" xfId="14" applyFont="1" applyFill="1" applyBorder="1" applyAlignment="1">
      <alignment vertical="center"/>
    </xf>
    <xf numFmtId="0" fontId="51" fillId="0" borderId="37" xfId="14" applyFont="1" applyBorder="1" applyAlignment="1">
      <alignment vertical="top" wrapText="1"/>
    </xf>
    <xf numFmtId="0" fontId="51" fillId="0" borderId="0" xfId="14" applyFont="1" applyAlignment="1">
      <alignment horizontal="right"/>
    </xf>
    <xf numFmtId="0" fontId="9" fillId="6" borderId="1" xfId="14" applyFont="1" applyFill="1" applyBorder="1" applyAlignment="1">
      <alignment vertical="center"/>
    </xf>
    <xf numFmtId="0" fontId="9" fillId="6" borderId="35" xfId="14" applyFont="1" applyFill="1" applyBorder="1" applyAlignment="1">
      <alignment horizontal="center"/>
    </xf>
    <xf numFmtId="0" fontId="9" fillId="6" borderId="38" xfId="14" applyFont="1" applyFill="1" applyBorder="1" applyAlignment="1">
      <alignment horizontal="center"/>
    </xf>
    <xf numFmtId="0" fontId="9" fillId="6" borderId="36" xfId="14" applyFont="1" applyFill="1" applyBorder="1" applyAlignment="1">
      <alignment horizontal="center"/>
    </xf>
    <xf numFmtId="14" fontId="9" fillId="6" borderId="2" xfId="14" applyNumberFormat="1" applyFont="1" applyFill="1" applyBorder="1" applyAlignment="1">
      <alignment horizontal="center"/>
    </xf>
    <xf numFmtId="0" fontId="9" fillId="6" borderId="11" xfId="14" applyFont="1" applyFill="1" applyBorder="1" applyAlignment="1">
      <alignment horizontal="center"/>
    </xf>
    <xf numFmtId="164" fontId="8" fillId="0" borderId="1" xfId="14" applyNumberFormat="1" applyFont="1" applyBorder="1" applyAlignment="1">
      <alignment horizontal="center"/>
    </xf>
    <xf numFmtId="0" fontId="5" fillId="0" borderId="0" xfId="14" quotePrefix="1" applyFont="1" applyAlignment="1">
      <alignment horizontal="left" vertical="top" wrapText="1"/>
    </xf>
    <xf numFmtId="0" fontId="5" fillId="0" borderId="0" xfId="14" applyFont="1" applyAlignment="1">
      <alignment horizontal="justify" vertical="top" wrapText="1"/>
    </xf>
    <xf numFmtId="168" fontId="6" fillId="0" borderId="2" xfId="14" applyNumberFormat="1" applyFont="1" applyBorder="1" applyAlignment="1">
      <alignment horizontal="center" vertical="center"/>
    </xf>
    <xf numFmtId="168" fontId="6" fillId="0" borderId="11" xfId="14" applyNumberFormat="1" applyFont="1" applyBorder="1" applyAlignment="1">
      <alignment horizontal="center" vertical="center"/>
    </xf>
    <xf numFmtId="168" fontId="9" fillId="0" borderId="33" xfId="14" applyNumberFormat="1" applyFont="1" applyBorder="1" applyAlignment="1">
      <alignment horizontal="center"/>
    </xf>
    <xf numFmtId="168" fontId="9" fillId="0" borderId="45" xfId="14" applyNumberFormat="1" applyFont="1" applyBorder="1" applyAlignment="1">
      <alignment horizontal="center"/>
    </xf>
    <xf numFmtId="168" fontId="6" fillId="0" borderId="32" xfId="14" applyNumberFormat="1" applyFont="1" applyBorder="1" applyAlignment="1">
      <alignment horizontal="center" vertical="center"/>
    </xf>
    <xf numFmtId="0" fontId="6" fillId="0" borderId="17" xfId="14" applyFont="1" applyBorder="1" applyAlignment="1">
      <alignment horizontal="center"/>
    </xf>
    <xf numFmtId="0" fontId="6" fillId="0" borderId="3" xfId="14" applyFont="1" applyBorder="1" applyAlignment="1">
      <alignment horizontal="center"/>
    </xf>
    <xf numFmtId="0" fontId="6" fillId="0" borderId="32" xfId="14" applyFont="1" applyBorder="1" applyAlignment="1">
      <alignment horizontal="center"/>
    </xf>
    <xf numFmtId="0" fontId="9" fillId="6" borderId="1" xfId="14" applyFont="1" applyFill="1" applyBorder="1" applyAlignment="1">
      <alignment horizontal="center"/>
    </xf>
    <xf numFmtId="0" fontId="24" fillId="6" borderId="1" xfId="14" applyFont="1" applyFill="1" applyBorder="1" applyAlignment="1">
      <alignment horizontal="left" vertical="top" wrapText="1"/>
    </xf>
    <xf numFmtId="2" fontId="17" fillId="6" borderId="1" xfId="0" applyNumberFormat="1" applyFont="1" applyFill="1" applyBorder="1" applyAlignment="1">
      <alignment horizontal="center"/>
    </xf>
    <xf numFmtId="0" fontId="36" fillId="0" borderId="2" xfId="14" applyFont="1" applyBorder="1" applyAlignment="1">
      <alignment horizontal="left" vertical="top" wrapText="1"/>
    </xf>
    <xf numFmtId="0" fontId="36" fillId="0" borderId="3" xfId="14" applyFont="1" applyBorder="1" applyAlignment="1">
      <alignment horizontal="left" vertical="top" wrapText="1"/>
    </xf>
    <xf numFmtId="0" fontId="36" fillId="0" borderId="11" xfId="14" applyFont="1" applyBorder="1" applyAlignment="1">
      <alignment horizontal="left" vertical="top" wrapText="1"/>
    </xf>
    <xf numFmtId="1" fontId="18" fillId="0" borderId="2" xfId="0" applyNumberFormat="1" applyFont="1" applyBorder="1" applyAlignment="1">
      <alignment horizontal="center"/>
    </xf>
    <xf numFmtId="1" fontId="18" fillId="0" borderId="11" xfId="0" applyNumberFormat="1" applyFont="1" applyBorder="1" applyAlignment="1">
      <alignment horizontal="center"/>
    </xf>
    <xf numFmtId="0" fontId="36" fillId="0" borderId="1" xfId="14" applyFont="1" applyBorder="1" applyAlignment="1">
      <alignment horizontal="left" vertical="top" wrapText="1"/>
    </xf>
    <xf numFmtId="1" fontId="18" fillId="0" borderId="1" xfId="0" applyNumberFormat="1" applyFont="1" applyBorder="1" applyAlignment="1">
      <alignment horizontal="center"/>
    </xf>
    <xf numFmtId="0" fontId="27" fillId="6" borderId="1" xfId="14" applyFont="1" applyFill="1" applyBorder="1" applyAlignment="1">
      <alignment horizontal="center" vertical="top" wrapText="1"/>
    </xf>
    <xf numFmtId="0" fontId="27" fillId="6" borderId="1" xfId="14" applyFont="1" applyFill="1" applyBorder="1" applyAlignment="1">
      <alignment horizontal="center" vertical="center" wrapText="1"/>
    </xf>
    <xf numFmtId="0" fontId="29" fillId="0" borderId="0" xfId="14" applyFont="1" applyAlignment="1">
      <alignment horizontal="justify" vertical="top" wrapText="1"/>
    </xf>
    <xf numFmtId="0" fontId="52" fillId="0" borderId="0" xfId="14" applyFont="1" applyAlignment="1">
      <alignment horizontal="right"/>
    </xf>
    <xf numFmtId="0" fontId="17" fillId="6" borderId="1" xfId="14" applyFont="1" applyFill="1" applyBorder="1" applyAlignment="1">
      <alignment horizontal="center" vertical="center" wrapText="1"/>
    </xf>
    <xf numFmtId="49" fontId="14" fillId="0" borderId="1" xfId="14" applyNumberFormat="1" applyFont="1" applyBorder="1" applyAlignment="1">
      <alignment horizontal="center" vertical="center" wrapText="1"/>
    </xf>
    <xf numFmtId="0" fontId="14" fillId="0" borderId="1" xfId="14" applyFont="1" applyBorder="1" applyAlignment="1">
      <alignment horizontal="center" vertical="center" wrapText="1"/>
    </xf>
    <xf numFmtId="0" fontId="26" fillId="0" borderId="1" xfId="14" applyFont="1" applyBorder="1" applyAlignment="1">
      <alignment horizontal="left" vertical="top" wrapText="1"/>
    </xf>
    <xf numFmtId="43" fontId="18" fillId="0" borderId="2" xfId="1" applyFont="1" applyBorder="1" applyAlignment="1">
      <alignment horizontal="center"/>
    </xf>
    <xf numFmtId="43" fontId="18" fillId="0" borderId="11" xfId="1" applyFont="1" applyBorder="1" applyAlignment="1">
      <alignment horizontal="center"/>
    </xf>
    <xf numFmtId="0" fontId="29" fillId="0" borderId="0" xfId="14" applyFont="1" applyAlignment="1">
      <alignment horizontal="left" vertical="top" wrapText="1"/>
    </xf>
    <xf numFmtId="167" fontId="22" fillId="0" borderId="1" xfId="1" applyNumberFormat="1" applyFont="1" applyBorder="1" applyAlignment="1">
      <alignment horizontal="center" vertical="top" wrapText="1"/>
    </xf>
    <xf numFmtId="0" fontId="26" fillId="0" borderId="17" xfId="18" applyFont="1" applyBorder="1" applyAlignment="1">
      <alignment horizontal="left" vertical="top" wrapText="1"/>
    </xf>
    <xf numFmtId="0" fontId="26" fillId="0" borderId="3" xfId="18" applyFont="1" applyBorder="1" applyAlignment="1">
      <alignment horizontal="left" vertical="top" wrapText="1"/>
    </xf>
    <xf numFmtId="0" fontId="26" fillId="0" borderId="11" xfId="18" applyFont="1" applyBorder="1" applyAlignment="1">
      <alignment horizontal="left" vertical="top" wrapText="1"/>
    </xf>
    <xf numFmtId="167" fontId="26" fillId="0" borderId="1" xfId="1" applyNumberFormat="1" applyFont="1" applyBorder="1" applyAlignment="1">
      <alignment horizontal="center" vertical="top" wrapText="1"/>
    </xf>
    <xf numFmtId="0" fontId="12" fillId="0" borderId="1" xfId="14" applyFont="1" applyBorder="1" applyAlignment="1">
      <alignment horizontal="center" vertical="center" wrapText="1"/>
    </xf>
    <xf numFmtId="0" fontId="54" fillId="0" borderId="0" xfId="14" applyFont="1" applyBorder="1" applyAlignment="1">
      <alignment horizontal="justify" vertical="top" wrapText="1"/>
    </xf>
    <xf numFmtId="0" fontId="27" fillId="0" borderId="1" xfId="14" applyFont="1" applyBorder="1" applyAlignment="1">
      <alignment horizontal="center" vertical="top" wrapText="1"/>
    </xf>
    <xf numFmtId="0" fontId="26" fillId="0" borderId="1" xfId="18" applyFont="1" applyBorder="1" applyAlignment="1">
      <alignment horizontal="left" vertical="top" wrapText="1"/>
    </xf>
    <xf numFmtId="167" fontId="22" fillId="5" borderId="1" xfId="1" applyNumberFormat="1" applyFont="1" applyFill="1" applyBorder="1" applyAlignment="1">
      <alignment horizontal="center" vertical="top" wrapText="1"/>
    </xf>
    <xf numFmtId="0" fontId="22" fillId="0" borderId="1" xfId="18" applyFont="1" applyBorder="1" applyAlignment="1">
      <alignment horizontal="left" vertical="top" wrapText="1"/>
    </xf>
    <xf numFmtId="0" fontId="32" fillId="0" borderId="1" xfId="4" applyFont="1" applyBorder="1" applyAlignment="1">
      <alignment horizontal="left" vertical="center" wrapText="1"/>
    </xf>
    <xf numFmtId="0" fontId="32" fillId="0" borderId="1" xfId="4" applyFont="1" applyBorder="1" applyAlignment="1">
      <alignment horizontal="center" vertical="center" wrapText="1"/>
    </xf>
    <xf numFmtId="168" fontId="29" fillId="0" borderId="1" xfId="15" applyNumberFormat="1" applyFont="1" applyBorder="1" applyAlignment="1">
      <alignment horizontal="center"/>
    </xf>
    <xf numFmtId="0" fontId="27" fillId="6" borderId="1" xfId="17" applyFont="1" applyFill="1" applyBorder="1" applyAlignment="1">
      <alignment horizontal="center" wrapText="1"/>
    </xf>
    <xf numFmtId="165" fontId="24" fillId="6" borderId="1" xfId="17" applyNumberFormat="1" applyFont="1" applyFill="1" applyBorder="1" applyAlignment="1">
      <alignment horizontal="center"/>
    </xf>
    <xf numFmtId="0" fontId="27" fillId="6" borderId="1" xfId="17" applyFont="1" applyFill="1" applyBorder="1" applyAlignment="1">
      <alignment horizontal="center" vertical="top"/>
    </xf>
    <xf numFmtId="0" fontId="22" fillId="0" borderId="1" xfId="14" applyFont="1" applyBorder="1" applyAlignment="1">
      <alignment horizontal="left" vertical="top"/>
    </xf>
    <xf numFmtId="2" fontId="22" fillId="0" borderId="1" xfId="14" applyNumberFormat="1" applyFont="1" applyBorder="1" applyAlignment="1">
      <alignment horizontal="left" wrapText="1"/>
    </xf>
    <xf numFmtId="0" fontId="21" fillId="6" borderId="1" xfId="14" applyFont="1" applyFill="1" applyBorder="1" applyAlignment="1">
      <alignment horizontal="left" vertical="top"/>
    </xf>
    <xf numFmtId="165" fontId="36" fillId="0" borderId="1" xfId="15" applyFont="1" applyBorder="1" applyAlignment="1">
      <alignment horizontal="center" vertical="top" wrapText="1"/>
    </xf>
    <xf numFmtId="165" fontId="26" fillId="0" borderId="1" xfId="15" applyFont="1" applyBorder="1" applyAlignment="1">
      <alignment horizontal="center" vertical="top" wrapText="1"/>
    </xf>
    <xf numFmtId="165" fontId="27" fillId="0" borderId="1" xfId="15" applyFont="1" applyBorder="1" applyAlignment="1">
      <alignment horizontal="center" vertical="center" wrapText="1"/>
    </xf>
    <xf numFmtId="165" fontId="48" fillId="0" borderId="1" xfId="17" applyNumberFormat="1" applyFont="1" applyBorder="1" applyAlignment="1">
      <alignment horizontal="center" vertical="top" wrapText="1"/>
    </xf>
    <xf numFmtId="165" fontId="29" fillId="0" borderId="1" xfId="17" applyNumberFormat="1" applyFont="1" applyBorder="1" applyAlignment="1">
      <alignment horizontal="center" vertical="top" wrapText="1"/>
    </xf>
    <xf numFmtId="165" fontId="29" fillId="0" borderId="1" xfId="15" applyFont="1" applyBorder="1" applyAlignment="1">
      <alignment horizontal="center" vertical="top" wrapText="1"/>
    </xf>
    <xf numFmtId="43" fontId="26" fillId="0" borderId="1" xfId="3" applyFont="1" applyBorder="1" applyAlignment="1">
      <alignment horizontal="center" vertical="top" wrapText="1"/>
    </xf>
    <xf numFmtId="0" fontId="53" fillId="0" borderId="0" xfId="14" applyFont="1" applyAlignment="1">
      <alignment horizontal="left" vertical="top" wrapText="1" indent="2"/>
    </xf>
    <xf numFmtId="0" fontId="53" fillId="0" borderId="0" xfId="14" applyFont="1" applyBorder="1" applyAlignment="1">
      <alignment horizontal="left" vertical="top" wrapText="1" indent="2"/>
    </xf>
    <xf numFmtId="0" fontId="26" fillId="5" borderId="1" xfId="17" applyFont="1" applyFill="1" applyBorder="1" applyAlignment="1">
      <alignment horizontal="left" vertical="top" wrapText="1"/>
    </xf>
    <xf numFmtId="43" fontId="29" fillId="0" borderId="1" xfId="3" applyFont="1" applyBorder="1" applyAlignment="1">
      <alignment horizontal="center" vertical="top" wrapText="1"/>
    </xf>
    <xf numFmtId="43" fontId="43" fillId="0" borderId="1" xfId="3" applyFont="1" applyBorder="1" applyAlignment="1">
      <alignment horizontal="center" vertical="top" wrapText="1"/>
    </xf>
    <xf numFmtId="0" fontId="21" fillId="0" borderId="1" xfId="14" applyFont="1" applyBorder="1" applyAlignment="1">
      <alignment horizontal="left" vertical="top"/>
    </xf>
    <xf numFmtId="0" fontId="16" fillId="0" borderId="0" xfId="17" applyFont="1" applyAlignment="1">
      <alignment horizontal="right"/>
    </xf>
    <xf numFmtId="0" fontId="24" fillId="0" borderId="0" xfId="17" applyFont="1" applyAlignment="1">
      <alignment horizontal="left" vertical="top" wrapText="1"/>
    </xf>
    <xf numFmtId="165" fontId="26" fillId="5" borderId="1" xfId="17" applyNumberFormat="1" applyFont="1" applyFill="1" applyBorder="1" applyAlignment="1">
      <alignment horizontal="center" vertical="top" wrapText="1"/>
    </xf>
    <xf numFmtId="0" fontId="27" fillId="0" borderId="0" xfId="14" applyFont="1" applyAlignment="1">
      <alignment horizontal="left"/>
    </xf>
    <xf numFmtId="0" fontId="29" fillId="0" borderId="0" xfId="14" applyFont="1" applyAlignment="1">
      <alignment horizontal="justify" wrapText="1"/>
    </xf>
    <xf numFmtId="0" fontId="27" fillId="6" borderId="1" xfId="17" applyFont="1" applyFill="1" applyBorder="1" applyAlignment="1">
      <alignment horizontal="center" vertical="center" wrapText="1"/>
    </xf>
    <xf numFmtId="0" fontId="16" fillId="0" borderId="0" xfId="17" applyFont="1" applyBorder="1" applyAlignment="1">
      <alignment horizontal="center"/>
    </xf>
    <xf numFmtId="0" fontId="27" fillId="6" borderId="1" xfId="17" applyFont="1" applyFill="1" applyBorder="1" applyAlignment="1">
      <alignment horizontal="center" vertical="top" wrapText="1"/>
    </xf>
    <xf numFmtId="0" fontId="27" fillId="6" borderId="1" xfId="17" applyFont="1" applyFill="1" applyBorder="1" applyAlignment="1">
      <alignment horizontal="center" vertical="center"/>
    </xf>
    <xf numFmtId="43" fontId="29" fillId="0" borderId="1" xfId="3" applyFont="1" applyBorder="1" applyAlignment="1">
      <alignment horizontal="right" vertical="top" wrapText="1"/>
    </xf>
    <xf numFmtId="0" fontId="27" fillId="0" borderId="1" xfId="14" applyFont="1" applyBorder="1" applyAlignment="1">
      <alignment horizontal="left" vertical="top" wrapText="1"/>
    </xf>
    <xf numFmtId="0" fontId="14" fillId="0" borderId="0" xfId="0" applyFont="1" applyAlignment="1">
      <alignment horizontal="center" vertical="top"/>
    </xf>
    <xf numFmtId="49" fontId="17" fillId="0" borderId="1" xfId="0" applyNumberFormat="1" applyFont="1" applyBorder="1" applyAlignment="1">
      <alignment horizontal="center" vertical="center"/>
    </xf>
    <xf numFmtId="0" fontId="22" fillId="0" borderId="2" xfId="14" applyFont="1" applyBorder="1" applyAlignment="1">
      <alignment horizontal="left" vertical="top"/>
    </xf>
    <xf numFmtId="0" fontId="22" fillId="0" borderId="3" xfId="14" applyFont="1" applyBorder="1" applyAlignment="1">
      <alignment horizontal="left" vertical="top"/>
    </xf>
    <xf numFmtId="0" fontId="22" fillId="0" borderId="11" xfId="14" applyFont="1" applyBorder="1" applyAlignment="1">
      <alignment horizontal="left" vertical="top"/>
    </xf>
    <xf numFmtId="43" fontId="29" fillId="0" borderId="2" xfId="3" applyFont="1" applyBorder="1" applyAlignment="1">
      <alignment horizontal="right" vertical="top" wrapText="1"/>
    </xf>
    <xf numFmtId="43" fontId="29" fillId="0" borderId="11" xfId="3" applyFont="1" applyBorder="1" applyAlignment="1">
      <alignment horizontal="right" vertical="top" wrapText="1"/>
    </xf>
    <xf numFmtId="0" fontId="21" fillId="0" borderId="1" xfId="14" applyFont="1" applyBorder="1" applyAlignment="1">
      <alignment horizontal="center" vertical="top"/>
    </xf>
    <xf numFmtId="0" fontId="18" fillId="0" borderId="4" xfId="0" applyFont="1" applyBorder="1" applyAlignment="1">
      <alignment horizontal="center" vertical="center"/>
    </xf>
    <xf numFmtId="0" fontId="18" fillId="0" borderId="42" xfId="0" applyFont="1" applyBorder="1" applyAlignment="1">
      <alignment horizontal="center" vertical="center"/>
    </xf>
    <xf numFmtId="0" fontId="18" fillId="0" borderId="10" xfId="0" applyFont="1" applyBorder="1" applyAlignment="1">
      <alignment horizontal="center" vertical="center"/>
    </xf>
    <xf numFmtId="0" fontId="58" fillId="0" borderId="6" xfId="0" applyFont="1" applyBorder="1" applyAlignment="1">
      <alignment horizontal="justify" wrapText="1"/>
    </xf>
  </cellXfs>
  <cellStyles count="23">
    <cellStyle name="Comma" xfId="1" builtinId="3"/>
    <cellStyle name="Comma 12" xfId="3"/>
    <cellStyle name="Comma 2" xfId="7"/>
    <cellStyle name="Comma 2 10 2 2" xfId="9"/>
    <cellStyle name="Comma 23" xfId="10"/>
    <cellStyle name="Comma 23 2" xfId="20"/>
    <cellStyle name="Comma 24" xfId="15"/>
    <cellStyle name="Comma 27" xfId="12"/>
    <cellStyle name="Comma 3" xfId="6"/>
    <cellStyle name="Hyperlink" xfId="13" builtinId="8"/>
    <cellStyle name="Normal" xfId="0" builtinId="0"/>
    <cellStyle name="Normal 2" xfId="4"/>
    <cellStyle name="Normal 2 2 3" xfId="22"/>
    <cellStyle name="Normal 2 50" xfId="11"/>
    <cellStyle name="Normal 241" xfId="17"/>
    <cellStyle name="Normal 3 2 2 2" xfId="21"/>
    <cellStyle name="Normal 65" xfId="16"/>
    <cellStyle name="Normal 65 2" xfId="18"/>
    <cellStyle name="Normal 65 3" xfId="19"/>
    <cellStyle name="Normal 81" xfId="5"/>
    <cellStyle name="Normal 84" xfId="14"/>
    <cellStyle name="Percent" xfId="2"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cturial%20entry%20working\24102018%20BSPTCL%20Finanic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Users\Public\Annual%20Accounts%20Field%20Units%202018-19\capitilization%2018-19\Depreciation%20as%20per%20BERC-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AVI/Downloads/BSPTCL%20Finanical%202018-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PTCL%20Finanical%2026.09.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ferred Tax_F"/>
      <sheetName val="Notes_CFS_IND AS"/>
      <sheetName val="BS"/>
      <sheetName val="P&amp;L"/>
      <sheetName val="Cash Flow"/>
      <sheetName val="SCWC"/>
      <sheetName val="PPE"/>
      <sheetName val="SOCIE"/>
      <sheetName val="SCH BS1-6"/>
      <sheetName val="Sch BS 7-11"/>
      <sheetName val="Sch BS 12"/>
      <sheetName val="Sch BS 13-19"/>
      <sheetName val="Sch P&amp;L 20-21"/>
      <sheetName val="Sch P&amp;L 22-25"/>
      <sheetName val="Journal Entry 2018"/>
      <sheetName val="Prior Period Error_1"/>
      <sheetName val="CFS"/>
      <sheetName val="Reco"/>
      <sheetName val="Revenue"/>
      <sheetName val="Disclosures 1-4"/>
      <sheetName val="Disclosures 2-5"/>
      <sheetName val="Disclosures 6-9"/>
      <sheetName val="Disclosures 6 -9"/>
      <sheetName val="Disclsoures 10"/>
      <sheetName val="Disclsoures 11"/>
      <sheetName val="Disclosures Part 12-14"/>
      <sheetName val="Trial Balance 17-18"/>
      <sheetName val="Sheet1"/>
      <sheetName val="Disclosure 15"/>
      <sheetName val="Trade receivable"/>
      <sheetName val="Grant Amortisation"/>
      <sheetName val="Trial Balance"/>
      <sheetName val="Group 2017"/>
      <sheetName val="Group 2016"/>
      <sheetName val="Prior Perio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475">
          <cell r="K475" t="str">
            <v>Dep on Hydraulic Works</v>
          </cell>
        </row>
        <row r="477">
          <cell r="K477" t="str">
            <v>Dep on Vehicles</v>
          </cell>
        </row>
        <row r="482">
          <cell r="K482" t="str">
            <v>Dep on Lines, Cable Networks Etc</v>
          </cell>
        </row>
        <row r="492">
          <cell r="K492" t="str">
            <v>Dep on Civil Works</v>
          </cell>
        </row>
        <row r="494">
          <cell r="K494" t="str">
            <v>Dep on Furniture &amp; Fixtures</v>
          </cell>
        </row>
        <row r="497">
          <cell r="K497" t="str">
            <v>Dep on Office Equipments</v>
          </cell>
        </row>
        <row r="505">
          <cell r="K505" t="str">
            <v>Dep on Plant &amp; Machinery</v>
          </cell>
        </row>
        <row r="574">
          <cell r="K574" t="str">
            <v>Hydrawlic Works</v>
          </cell>
        </row>
        <row r="578">
          <cell r="K578" t="str">
            <v>Vehicles</v>
          </cell>
        </row>
        <row r="620">
          <cell r="K620" t="str">
            <v>Line, Cable Network Etc</v>
          </cell>
        </row>
        <row r="643">
          <cell r="K643" t="str">
            <v>Other Civil Works</v>
          </cell>
        </row>
        <row r="649">
          <cell r="K649" t="str">
            <v>Furniture &amp; Fixture</v>
          </cell>
        </row>
        <row r="660">
          <cell r="K660" t="str">
            <v>Land &amp; Land Rights</v>
          </cell>
        </row>
        <row r="668">
          <cell r="K668" t="str">
            <v>Office Equipments</v>
          </cell>
        </row>
        <row r="694">
          <cell r="K694" t="str">
            <v>Plant &amp; Machinery</v>
          </cell>
        </row>
      </sheetData>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PE"/>
      <sheetName val="Sheet1"/>
      <sheetName val="Consolidated"/>
      <sheetName val="Biharsharif"/>
      <sheetName val="AR-Bsf"/>
      <sheetName val="BGP"/>
      <sheetName val="AR BGP"/>
      <sheetName val="Dehri-Dep"/>
      <sheetName val="Dehri"/>
      <sheetName val="HQ Dep"/>
      <sheetName val="HQ"/>
      <sheetName val="Madhepura"/>
      <sheetName val="Madhep"/>
      <sheetName val="Purnea"/>
      <sheetName val="Pur"/>
      <sheetName val="Muzaffarpur"/>
      <sheetName val="Muz"/>
      <sheetName val="Saran-Dep"/>
      <sheetName val="Saran"/>
      <sheetName val="Gaya Dep"/>
      <sheetName val="gaya"/>
      <sheetName val="Patna Dep"/>
      <sheetName val="Patna"/>
    </sheetNames>
    <sheetDataSet>
      <sheetData sheetId="0"/>
      <sheetData sheetId="1"/>
      <sheetData sheetId="2">
        <row r="9">
          <cell r="F9">
            <v>119863436</v>
          </cell>
          <cell r="G9">
            <v>22792596</v>
          </cell>
        </row>
        <row r="10">
          <cell r="J10">
            <v>19739788</v>
          </cell>
        </row>
        <row r="11">
          <cell r="J11">
            <v>2767</v>
          </cell>
        </row>
        <row r="12">
          <cell r="F12">
            <v>179590746</v>
          </cell>
          <cell r="J12">
            <v>78541402</v>
          </cell>
        </row>
        <row r="13">
          <cell r="F13">
            <v>4948019374.4899998</v>
          </cell>
          <cell r="G13">
            <v>3509450</v>
          </cell>
          <cell r="J13">
            <v>1444933484</v>
          </cell>
          <cell r="K13">
            <v>3158505</v>
          </cell>
        </row>
        <row r="14">
          <cell r="F14">
            <v>6945233184</v>
          </cell>
          <cell r="G14">
            <v>191857420</v>
          </cell>
          <cell r="J14">
            <v>1438308817</v>
          </cell>
          <cell r="K14">
            <v>165351600</v>
          </cell>
        </row>
        <row r="16">
          <cell r="F16">
            <v>31834766</v>
          </cell>
          <cell r="J16">
            <v>4029363</v>
          </cell>
        </row>
        <row r="17">
          <cell r="F17">
            <v>1204248</v>
          </cell>
          <cell r="J17">
            <v>817730</v>
          </cell>
        </row>
        <row r="18">
          <cell r="F18">
            <v>11443320</v>
          </cell>
          <cell r="G18">
            <v>249970</v>
          </cell>
          <cell r="J18">
            <v>3615019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erred Tax_F"/>
      <sheetName val="Notes_CFS_IND AS"/>
      <sheetName val="BS"/>
      <sheetName val="P&amp;L"/>
      <sheetName val="Cash Flow"/>
      <sheetName val="SCWC"/>
      <sheetName val="PPE"/>
      <sheetName val="SOCIE"/>
      <sheetName val="SCH BS1-6"/>
      <sheetName val="Sch BS 7-11"/>
      <sheetName val="Sch BS 12"/>
      <sheetName val="Sch BS 13-19"/>
      <sheetName val="Sch P&amp;L 20-21"/>
      <sheetName val="Sch P&amp;L 22-25"/>
      <sheetName val="Journal Entry 2018"/>
      <sheetName val="Prior Period Error_1"/>
      <sheetName val="CFS"/>
      <sheetName val="Reco"/>
      <sheetName val="Revenue"/>
      <sheetName val="Disclosures 1-4"/>
      <sheetName val="Disclosures 2-5"/>
      <sheetName val="Disclosures 6-9"/>
      <sheetName val="Disclosures 6 -9"/>
      <sheetName val="Disclsoures 10"/>
      <sheetName val="Disclsoures 11"/>
      <sheetName val="Disclosures Part 12-14"/>
      <sheetName val="Trial Balance 17-18"/>
      <sheetName val="Sheet1"/>
      <sheetName val="Disclosure 15"/>
      <sheetName val="Trade receivable"/>
      <sheetName val="Grant Amortisation"/>
      <sheetName val="Trial Balance"/>
      <sheetName val="Group 2017"/>
      <sheetName val="Group 2016"/>
      <sheetName val="Prior Period"/>
      <sheetName val="TB 18-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6">
          <cell r="D6" t="str">
            <v>Transactions</v>
          </cell>
        </row>
        <row r="895">
          <cell r="D895">
            <v>0</v>
          </cell>
        </row>
        <row r="899">
          <cell r="D899">
            <v>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erred Tax_F"/>
      <sheetName val="Notes_CFS_IND AS"/>
      <sheetName val="BS"/>
      <sheetName val="P&amp;L"/>
      <sheetName val="Cash Flow"/>
      <sheetName val="TB_Mapped"/>
      <sheetName val="New TB 18-19"/>
      <sheetName val="SCWC"/>
      <sheetName val="PPE (2)"/>
      <sheetName val="PPE old"/>
      <sheetName val="SOCIE"/>
      <sheetName val="SCH BS1-6"/>
      <sheetName val="Sch BS 7-11"/>
      <sheetName val="Sch BS 12"/>
      <sheetName val="Sch BS 13-19"/>
      <sheetName val="Sch P&amp;L 20-21"/>
      <sheetName val="Sch P&amp;L 22-25"/>
      <sheetName val="Journal Entry 2018"/>
      <sheetName val="Prior Period Error_1"/>
      <sheetName val="CFS"/>
      <sheetName val="Reco"/>
      <sheetName val="Revenue"/>
      <sheetName val="Disclosures 1-4"/>
      <sheetName val="Disclosures 2-5"/>
      <sheetName val="Disclosures 6-9"/>
      <sheetName val="Disclosures 6 -9"/>
      <sheetName val="Disclsoures 10"/>
      <sheetName val="Disclsoures 11"/>
      <sheetName val="Disclosures Part 12-14"/>
      <sheetName val="Trial Balance 17-18"/>
      <sheetName val="Sheet1"/>
      <sheetName val="Disclosure 15"/>
      <sheetName val="Trade receivable"/>
      <sheetName val="Grant Amortisation"/>
      <sheetName val="Trial Balance"/>
      <sheetName val="Group 2017"/>
      <sheetName val="Group 2016"/>
      <sheetName val="Prior Period"/>
      <sheetName val="Sheet2"/>
    </sheetNames>
    <sheetDataSet>
      <sheetData sheetId="0" refreshError="1"/>
      <sheetData sheetId="1" refreshError="1"/>
      <sheetData sheetId="2">
        <row r="1">
          <cell r="A1" t="str">
            <v xml:space="preserve">Bihar State Power Transmission Company Limited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Loans to Staff</v>
          </cell>
        </row>
      </sheetData>
      <sheetData sheetId="12">
        <row r="31">
          <cell r="A31" t="str">
            <v>Interest accrued on investments</v>
          </cell>
        </row>
      </sheetData>
      <sheetData sheetId="13"/>
      <sheetData sheetId="14">
        <row r="155">
          <cell r="A155" t="str">
            <v>Interest accrued and due on capital fund</v>
          </cell>
        </row>
        <row r="156">
          <cell r="A156" t="str">
            <v>Interest Accured on borrowing from State Govt. and ADB</v>
          </cell>
        </row>
        <row r="158">
          <cell r="A158" t="str">
            <v>Staff Related Liability</v>
          </cell>
        </row>
        <row r="159">
          <cell r="A159" t="str">
            <v>Deposits and Retentions from Suppliers and Customers</v>
          </cell>
        </row>
        <row r="160">
          <cell r="A160" t="str">
            <v>Audit Fee Payable</v>
          </cell>
        </row>
        <row r="161">
          <cell r="A161" t="str">
            <v>Liability to Supplies/Works</v>
          </cell>
        </row>
        <row r="162">
          <cell r="A162" t="str">
            <v>Other Liability</v>
          </cell>
        </row>
      </sheetData>
      <sheetData sheetId="15" refreshError="1"/>
      <sheetData sheetId="16" refreshError="1"/>
      <sheetData sheetId="17" refreshError="1"/>
      <sheetData sheetId="18">
        <row r="1">
          <cell r="B1" t="str">
            <v>Bihar State Power Transmission Company Limited.</v>
          </cell>
        </row>
        <row r="4">
          <cell r="A4">
            <v>1</v>
          </cell>
        </row>
      </sheetData>
      <sheetData sheetId="19" refreshError="1"/>
      <sheetData sheetId="20" refreshError="1"/>
      <sheetData sheetId="21" refreshError="1"/>
      <sheetData sheetId="22" refreshError="1"/>
      <sheetData sheetId="23" refreshError="1"/>
      <sheetData sheetId="24">
        <row r="140">
          <cell r="B140">
            <v>9</v>
          </cell>
        </row>
      </sheetData>
      <sheetData sheetId="25" refreshError="1"/>
      <sheetData sheetId="26" refreshError="1"/>
      <sheetData sheetId="27" refreshError="1"/>
      <sheetData sheetId="28" refreshError="1"/>
      <sheetData sheetId="29">
        <row r="929">
          <cell r="J929" t="str">
            <v>Balances with Banks</v>
          </cell>
        </row>
        <row r="1205">
          <cell r="J1205" t="str">
            <v>MAT Credit Entitlement</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82"/>
  <sheetViews>
    <sheetView topLeftCell="A28" workbookViewId="0">
      <selection activeCell="H43" sqref="H43"/>
    </sheetView>
  </sheetViews>
  <sheetFormatPr defaultRowHeight="18" customHeight="1"/>
  <cols>
    <col min="1" max="1" width="6.140625" style="1" customWidth="1"/>
    <col min="2" max="2" width="4.140625" style="1" customWidth="1"/>
    <col min="3" max="3" width="48.7109375" style="93" customWidth="1"/>
    <col min="4" max="4" width="6.28515625" style="1" customWidth="1"/>
    <col min="5" max="6" width="18.42578125" style="1" customWidth="1"/>
    <col min="7" max="7" width="9.140625" style="1"/>
    <col min="8" max="8" width="11.5703125" style="1" bestFit="1" customWidth="1"/>
    <col min="9" max="16384" width="9.140625" style="1"/>
  </cols>
  <sheetData>
    <row r="1" spans="1:8" ht="21" customHeight="1">
      <c r="A1" s="741" t="s">
        <v>346</v>
      </c>
      <c r="B1" s="741"/>
      <c r="C1" s="741"/>
      <c r="D1" s="741"/>
      <c r="E1" s="741"/>
      <c r="F1" s="741"/>
    </row>
    <row r="2" spans="1:8" ht="14.25" customHeight="1">
      <c r="A2" s="742" t="s">
        <v>347</v>
      </c>
      <c r="B2" s="742"/>
      <c r="C2" s="742"/>
      <c r="D2" s="742"/>
      <c r="E2" s="742"/>
      <c r="F2" s="742"/>
    </row>
    <row r="3" spans="1:8" ht="15" customHeight="1">
      <c r="A3" s="171"/>
      <c r="B3" s="171"/>
      <c r="C3" s="171"/>
      <c r="D3" s="171"/>
      <c r="E3" s="171"/>
      <c r="F3" s="525" t="s">
        <v>728</v>
      </c>
    </row>
    <row r="4" spans="1:8" ht="31.5" customHeight="1">
      <c r="A4" s="668" t="s">
        <v>348</v>
      </c>
      <c r="B4" s="743" t="s">
        <v>3</v>
      </c>
      <c r="C4" s="743"/>
      <c r="D4" s="669" t="s">
        <v>297</v>
      </c>
      <c r="E4" s="669" t="s">
        <v>349</v>
      </c>
      <c r="F4" s="669" t="s">
        <v>350</v>
      </c>
    </row>
    <row r="5" spans="1:8" ht="15" customHeight="1">
      <c r="A5" s="670" t="s">
        <v>327</v>
      </c>
      <c r="B5" s="671" t="s">
        <v>351</v>
      </c>
      <c r="C5" s="672"/>
      <c r="D5" s="672"/>
      <c r="E5" s="673"/>
      <c r="F5" s="674"/>
    </row>
    <row r="6" spans="1:8" ht="15" customHeight="1">
      <c r="A6" s="675">
        <v>1</v>
      </c>
      <c r="B6" s="671" t="s">
        <v>352</v>
      </c>
      <c r="C6" s="672"/>
      <c r="D6" s="672"/>
      <c r="E6" s="673"/>
      <c r="F6" s="676"/>
    </row>
    <row r="7" spans="1:8" ht="15" customHeight="1">
      <c r="A7" s="677"/>
      <c r="B7" s="675" t="s">
        <v>353</v>
      </c>
      <c r="C7" s="672" t="s">
        <v>354</v>
      </c>
      <c r="D7" s="745">
        <v>2</v>
      </c>
      <c r="E7" s="678">
        <f>+'PPE-2'!L31</f>
        <v>593602.26918110007</v>
      </c>
      <c r="F7" s="679">
        <f>+'PPE-2'!L30</f>
        <v>501629.25544620003</v>
      </c>
      <c r="H7" s="1">
        <v>3</v>
      </c>
    </row>
    <row r="8" spans="1:8" ht="15" customHeight="1">
      <c r="A8" s="677"/>
      <c r="B8" s="675" t="s">
        <v>355</v>
      </c>
      <c r="C8" s="672" t="s">
        <v>356</v>
      </c>
      <c r="D8" s="745"/>
      <c r="E8" s="678">
        <f>+'PPE-2'!B46</f>
        <v>248196.34685919998</v>
      </c>
      <c r="F8" s="680">
        <f>+'PPE-2'!C46</f>
        <v>297315.7257601</v>
      </c>
    </row>
    <row r="9" spans="1:8" ht="15" customHeight="1">
      <c r="A9" s="681"/>
      <c r="B9" s="682" t="s">
        <v>357</v>
      </c>
      <c r="C9" s="672" t="s">
        <v>358</v>
      </c>
      <c r="D9" s="677"/>
      <c r="E9" s="678"/>
      <c r="F9" s="680"/>
    </row>
    <row r="10" spans="1:8" ht="15" customHeight="1">
      <c r="A10" s="677"/>
      <c r="B10" s="675" t="s">
        <v>359</v>
      </c>
      <c r="C10" s="672" t="s">
        <v>360</v>
      </c>
      <c r="D10" s="677"/>
      <c r="E10" s="678"/>
      <c r="F10" s="680"/>
    </row>
    <row r="11" spans="1:8" ht="15" customHeight="1">
      <c r="A11" s="677"/>
      <c r="B11" s="675" t="s">
        <v>361</v>
      </c>
      <c r="C11" s="671" t="s">
        <v>362</v>
      </c>
      <c r="D11" s="677"/>
      <c r="E11" s="678"/>
      <c r="F11" s="680"/>
    </row>
    <row r="12" spans="1:8" ht="15" customHeight="1">
      <c r="A12" s="681"/>
      <c r="B12" s="682"/>
      <c r="C12" s="683" t="s">
        <v>363</v>
      </c>
      <c r="D12" s="677"/>
      <c r="E12" s="678"/>
      <c r="F12" s="680"/>
    </row>
    <row r="13" spans="1:8" ht="15" customHeight="1">
      <c r="A13" s="677"/>
      <c r="B13" s="677"/>
      <c r="C13" s="683" t="s">
        <v>364</v>
      </c>
      <c r="D13" s="677">
        <v>3</v>
      </c>
      <c r="E13" s="680">
        <f>+'BS3-11'!B8</f>
        <v>34.590000000000003</v>
      </c>
      <c r="F13" s="680">
        <f>+'BS3-11'!C8</f>
        <v>61.024999999999999</v>
      </c>
    </row>
    <row r="14" spans="1:8" ht="15" customHeight="1">
      <c r="A14" s="677"/>
      <c r="B14" s="677"/>
      <c r="C14" s="683" t="s">
        <v>365</v>
      </c>
      <c r="D14" s="677"/>
      <c r="E14" s="678"/>
      <c r="F14" s="678"/>
    </row>
    <row r="15" spans="1:8" ht="15" customHeight="1">
      <c r="A15" s="677"/>
      <c r="B15" s="675" t="s">
        <v>366</v>
      </c>
      <c r="C15" s="672" t="s">
        <v>367</v>
      </c>
      <c r="D15" s="677">
        <v>4</v>
      </c>
      <c r="E15" s="680">
        <f>+'BS3-11'!B29</f>
        <v>9991.7135679999992</v>
      </c>
      <c r="F15" s="680">
        <f>+'BS3-11'!C29</f>
        <v>104396.53278290002</v>
      </c>
    </row>
    <row r="16" spans="1:8" ht="15" customHeight="1">
      <c r="A16" s="677"/>
      <c r="B16" s="677"/>
      <c r="C16" s="684" t="s">
        <v>368</v>
      </c>
      <c r="D16" s="677"/>
      <c r="E16" s="685">
        <f>SUM(E7:E15)</f>
        <v>851824.91960830009</v>
      </c>
      <c r="F16" s="685">
        <f>SUM(F7:F15)</f>
        <v>903402.53898920002</v>
      </c>
    </row>
    <row r="17" spans="1:6" ht="15" customHeight="1">
      <c r="A17" s="675">
        <v>2</v>
      </c>
      <c r="B17" s="671" t="s">
        <v>369</v>
      </c>
      <c r="C17" s="671"/>
      <c r="D17" s="677"/>
      <c r="E17" s="678"/>
      <c r="F17" s="680"/>
    </row>
    <row r="18" spans="1:6" ht="15" customHeight="1">
      <c r="A18" s="677"/>
      <c r="B18" s="675" t="s">
        <v>353</v>
      </c>
      <c r="C18" s="686" t="s">
        <v>20</v>
      </c>
      <c r="D18" s="677">
        <f>D15+1</f>
        <v>5</v>
      </c>
      <c r="E18" s="680">
        <f>+'BS3-11'!B39</f>
        <v>11611.708438300004</v>
      </c>
      <c r="F18" s="680">
        <f>+'BS3-11'!C39</f>
        <v>12285.053842600002</v>
      </c>
    </row>
    <row r="19" spans="1:6" ht="15" customHeight="1">
      <c r="A19" s="677"/>
      <c r="B19" s="675" t="s">
        <v>355</v>
      </c>
      <c r="C19" s="671" t="s">
        <v>362</v>
      </c>
      <c r="D19" s="677"/>
      <c r="E19" s="680"/>
      <c r="F19" s="680"/>
    </row>
    <row r="20" spans="1:6" ht="15" customHeight="1">
      <c r="A20" s="677"/>
      <c r="B20" s="675"/>
      <c r="C20" s="683" t="s">
        <v>370</v>
      </c>
      <c r="D20" s="677">
        <f>D18+1</f>
        <v>6</v>
      </c>
      <c r="E20" s="680">
        <f>+'BS3-11'!B57</f>
        <v>90828.713730000003</v>
      </c>
      <c r="F20" s="680">
        <f>+'BS3-11'!C57</f>
        <v>35469.336940000001</v>
      </c>
    </row>
    <row r="21" spans="1:6" ht="15" customHeight="1">
      <c r="A21" s="677"/>
      <c r="B21" s="677"/>
      <c r="C21" s="683" t="s">
        <v>371</v>
      </c>
      <c r="D21" s="677">
        <f t="shared" ref="D21:D26" si="0">D20+1</f>
        <v>7</v>
      </c>
      <c r="E21" s="680">
        <f>+'BS3-11'!B72</f>
        <v>142503.665759</v>
      </c>
      <c r="F21" s="680">
        <f>+'BS3-11'!C72</f>
        <v>151333.88195190002</v>
      </c>
    </row>
    <row r="22" spans="1:6" ht="15" customHeight="1">
      <c r="A22" s="677"/>
      <c r="B22" s="677"/>
      <c r="C22" s="687" t="s">
        <v>398</v>
      </c>
      <c r="D22" s="677">
        <f t="shared" si="0"/>
        <v>8</v>
      </c>
      <c r="E22" s="680">
        <f>+'BS3-11'!B81</f>
        <v>35130.566980000003</v>
      </c>
      <c r="F22" s="680">
        <f>+'BS3-11'!C81</f>
        <v>12271.53</v>
      </c>
    </row>
    <row r="23" spans="1:6" ht="15" customHeight="1">
      <c r="A23" s="677"/>
      <c r="B23" s="677"/>
      <c r="C23" s="687" t="s">
        <v>372</v>
      </c>
      <c r="D23" s="677"/>
      <c r="E23" s="680"/>
      <c r="F23" s="680"/>
    </row>
    <row r="24" spans="1:6" ht="15" customHeight="1">
      <c r="A24" s="677"/>
      <c r="B24" s="677"/>
      <c r="C24" s="687" t="s">
        <v>373</v>
      </c>
      <c r="D24" s="677">
        <f>+D22+1</f>
        <v>9</v>
      </c>
      <c r="E24" s="680">
        <f>+'BS3-11'!B96</f>
        <v>308.65521799999999</v>
      </c>
      <c r="F24" s="680">
        <f>+'BS3-11'!C96</f>
        <v>188.87501799999998</v>
      </c>
    </row>
    <row r="25" spans="1:6" ht="15" customHeight="1">
      <c r="A25" s="677"/>
      <c r="B25" s="675" t="s">
        <v>357</v>
      </c>
      <c r="C25" s="672" t="s">
        <v>374</v>
      </c>
      <c r="D25" s="677">
        <f t="shared" si="0"/>
        <v>10</v>
      </c>
      <c r="E25" s="680">
        <f>+'BS3-11'!B110</f>
        <v>5355.9462167755082</v>
      </c>
      <c r="F25" s="680">
        <f>+'BS3-11'!C110</f>
        <v>3829.2060367755103</v>
      </c>
    </row>
    <row r="26" spans="1:6" ht="15" customHeight="1">
      <c r="A26" s="677"/>
      <c r="B26" s="675" t="s">
        <v>359</v>
      </c>
      <c r="C26" s="672" t="s">
        <v>59</v>
      </c>
      <c r="D26" s="677">
        <f t="shared" si="0"/>
        <v>11</v>
      </c>
      <c r="E26" s="680">
        <f>+'BS3-11'!B125</f>
        <v>4045.7227832000003</v>
      </c>
      <c r="F26" s="680">
        <f>+'BS3-11'!C125</f>
        <v>727.45904350000012</v>
      </c>
    </row>
    <row r="27" spans="1:6" ht="15" customHeight="1">
      <c r="A27" s="675"/>
      <c r="B27" s="682"/>
      <c r="C27" s="684" t="s">
        <v>375</v>
      </c>
      <c r="D27" s="677"/>
      <c r="E27" s="688">
        <f>SUM(E18:E26)</f>
        <v>289784.97912527551</v>
      </c>
      <c r="F27" s="688">
        <f>SUM(F18:F26)</f>
        <v>216105.34283277555</v>
      </c>
    </row>
    <row r="28" spans="1:6" ht="15" customHeight="1">
      <c r="A28" s="689"/>
      <c r="B28" s="690"/>
      <c r="C28" s="691" t="s">
        <v>376</v>
      </c>
      <c r="D28" s="692"/>
      <c r="E28" s="693">
        <f>E27+E16</f>
        <v>1141609.8987335756</v>
      </c>
      <c r="F28" s="693">
        <f>F27+F16</f>
        <v>1119507.8818219756</v>
      </c>
    </row>
    <row r="29" spans="1:6" ht="15" customHeight="1">
      <c r="A29" s="675"/>
      <c r="B29" s="671"/>
      <c r="C29" s="671"/>
      <c r="D29" s="677"/>
      <c r="E29" s="694"/>
      <c r="F29" s="673"/>
    </row>
    <row r="30" spans="1:6" ht="15" customHeight="1">
      <c r="A30" s="670" t="s">
        <v>377</v>
      </c>
      <c r="B30" s="670"/>
      <c r="C30" s="671" t="s">
        <v>378</v>
      </c>
      <c r="D30" s="677"/>
      <c r="E30" s="694"/>
      <c r="F30" s="673"/>
    </row>
    <row r="31" spans="1:6" ht="15" customHeight="1">
      <c r="A31" s="675">
        <v>1</v>
      </c>
      <c r="B31" s="682"/>
      <c r="C31" s="671" t="s">
        <v>379</v>
      </c>
      <c r="D31" s="677"/>
      <c r="E31" s="694"/>
      <c r="F31" s="676"/>
    </row>
    <row r="32" spans="1:6" ht="15" customHeight="1">
      <c r="A32" s="675"/>
      <c r="B32" s="671"/>
      <c r="C32" s="683" t="s">
        <v>380</v>
      </c>
      <c r="D32" s="677">
        <f>D26+1</f>
        <v>12</v>
      </c>
      <c r="E32" s="676">
        <f>+'BS12'!C21</f>
        <v>724537</v>
      </c>
      <c r="F32" s="676">
        <f>+'BS12'!E21</f>
        <v>300000</v>
      </c>
    </row>
    <row r="33" spans="1:8" ht="15" customHeight="1">
      <c r="A33" s="675"/>
      <c r="B33" s="671"/>
      <c r="C33" s="683" t="s">
        <v>381</v>
      </c>
      <c r="D33" s="677">
        <f>D32+1</f>
        <v>13</v>
      </c>
      <c r="E33" s="676">
        <f>+'BS13-20'!B20</f>
        <v>66147.553686969055</v>
      </c>
      <c r="F33" s="676">
        <f>+'BS13-20'!C20</f>
        <v>342721.89389696909</v>
      </c>
    </row>
    <row r="34" spans="1:8" ht="15" customHeight="1">
      <c r="A34" s="675"/>
      <c r="B34" s="682"/>
      <c r="C34" s="684" t="s">
        <v>382</v>
      </c>
      <c r="D34" s="677"/>
      <c r="E34" s="688">
        <f>SUM(E32:E33)</f>
        <v>790684.5536869691</v>
      </c>
      <c r="F34" s="688">
        <f>SUM(F32:F33)</f>
        <v>642721.89389696904</v>
      </c>
    </row>
    <row r="35" spans="1:8" ht="15" customHeight="1">
      <c r="A35" s="675">
        <v>2</v>
      </c>
      <c r="B35" s="682"/>
      <c r="C35" s="695" t="s">
        <v>98</v>
      </c>
      <c r="D35" s="677">
        <f>D33+1</f>
        <v>14</v>
      </c>
      <c r="E35" s="676">
        <f>+'BS13-20'!B44</f>
        <v>174439.96584959998</v>
      </c>
      <c r="F35" s="676">
        <f>+'BS13-20'!C44</f>
        <v>176483.12035830002</v>
      </c>
    </row>
    <row r="36" spans="1:8" ht="15" customHeight="1">
      <c r="A36" s="675">
        <v>3</v>
      </c>
      <c r="B36" s="682"/>
      <c r="C36" s="696" t="s">
        <v>383</v>
      </c>
      <c r="D36" s="677"/>
      <c r="E36" s="694"/>
      <c r="F36" s="676"/>
    </row>
    <row r="37" spans="1:8" ht="15" customHeight="1">
      <c r="A37" s="675">
        <v>3.1</v>
      </c>
      <c r="B37" s="682"/>
      <c r="C37" s="671" t="s">
        <v>384</v>
      </c>
      <c r="D37" s="677"/>
      <c r="E37" s="694"/>
      <c r="F37" s="676"/>
    </row>
    <row r="38" spans="1:8" ht="15" customHeight="1">
      <c r="A38" s="675"/>
      <c r="B38" s="675" t="s">
        <v>353</v>
      </c>
      <c r="C38" s="671" t="s">
        <v>385</v>
      </c>
      <c r="D38" s="677"/>
      <c r="E38" s="694"/>
      <c r="F38" s="676"/>
    </row>
    <row r="39" spans="1:8" ht="15" customHeight="1">
      <c r="A39" s="675"/>
      <c r="B39" s="675"/>
      <c r="C39" s="683" t="s">
        <v>386</v>
      </c>
      <c r="D39" s="677">
        <f>D35+1</f>
        <v>15</v>
      </c>
      <c r="E39" s="676">
        <f>+'BS13-20'!B61</f>
        <v>38847.317329999998</v>
      </c>
      <c r="F39" s="676">
        <f>+'BS13-20'!C61</f>
        <v>56628.231589999996</v>
      </c>
    </row>
    <row r="40" spans="1:8" ht="15" customHeight="1">
      <c r="A40" s="675"/>
      <c r="B40" s="675"/>
      <c r="C40" s="683" t="s">
        <v>365</v>
      </c>
      <c r="D40" s="677"/>
      <c r="E40" s="694"/>
      <c r="F40" s="694"/>
    </row>
    <row r="41" spans="1:8" ht="15" customHeight="1">
      <c r="A41" s="675"/>
      <c r="B41" s="675" t="s">
        <v>355</v>
      </c>
      <c r="C41" s="672" t="s">
        <v>119</v>
      </c>
      <c r="D41" s="677">
        <v>16</v>
      </c>
      <c r="E41" s="676">
        <f>+'BS13-20'!B76</f>
        <v>10498.614960000001</v>
      </c>
      <c r="F41" s="676">
        <f>+'BS13-20'!C76</f>
        <v>97244.893089999998</v>
      </c>
    </row>
    <row r="42" spans="1:8" ht="15" customHeight="1">
      <c r="A42" s="675"/>
      <c r="B42" s="675" t="s">
        <v>357</v>
      </c>
      <c r="C42" s="686" t="s">
        <v>149</v>
      </c>
      <c r="D42" s="677"/>
      <c r="E42" s="694"/>
      <c r="F42" s="694"/>
    </row>
    <row r="43" spans="1:8" ht="15" customHeight="1">
      <c r="A43" s="675"/>
      <c r="B43" s="675" t="s">
        <v>359</v>
      </c>
      <c r="C43" s="686" t="s">
        <v>387</v>
      </c>
      <c r="D43" s="677">
        <v>17</v>
      </c>
      <c r="E43" s="676">
        <f>+'BS13-20'!B116</f>
        <v>62163.687946775506</v>
      </c>
      <c r="F43" s="676">
        <f>+'BS13-20'!C116</f>
        <v>32865.924039106416</v>
      </c>
      <c r="G43" s="1">
        <v>40124.799904531195</v>
      </c>
      <c r="H43" s="12">
        <f>+F43-G43</f>
        <v>-7258.8758654247795</v>
      </c>
    </row>
    <row r="44" spans="1:8" ht="15" customHeight="1">
      <c r="A44" s="675"/>
      <c r="B44" s="675"/>
      <c r="C44" s="684" t="s">
        <v>388</v>
      </c>
      <c r="D44" s="677"/>
      <c r="E44" s="688">
        <f>SUM(E39:E43)</f>
        <v>111509.6202367755</v>
      </c>
      <c r="F44" s="688">
        <f>SUM(F39:F43)</f>
        <v>186739.04871910642</v>
      </c>
    </row>
    <row r="45" spans="1:8" ht="15" customHeight="1">
      <c r="A45" s="675">
        <v>3.2</v>
      </c>
      <c r="B45" s="675"/>
      <c r="C45" s="671" t="s">
        <v>389</v>
      </c>
      <c r="D45" s="677"/>
      <c r="E45" s="694"/>
      <c r="F45" s="676"/>
    </row>
    <row r="46" spans="1:8" ht="15" customHeight="1">
      <c r="A46" s="675"/>
      <c r="B46" s="675" t="s">
        <v>353</v>
      </c>
      <c r="C46" s="671" t="s">
        <v>385</v>
      </c>
      <c r="D46" s="677"/>
      <c r="E46" s="694"/>
      <c r="F46" s="676"/>
    </row>
    <row r="47" spans="1:8" ht="15" customHeight="1">
      <c r="A47" s="675"/>
      <c r="B47" s="675"/>
      <c r="C47" s="683" t="s">
        <v>386</v>
      </c>
      <c r="D47" s="677"/>
      <c r="E47" s="694"/>
      <c r="F47" s="676"/>
    </row>
    <row r="48" spans="1:8" ht="15" customHeight="1">
      <c r="A48" s="675"/>
      <c r="B48" s="675"/>
      <c r="C48" s="683" t="s">
        <v>390</v>
      </c>
      <c r="D48" s="677"/>
      <c r="E48" s="694"/>
      <c r="F48" s="676"/>
    </row>
    <row r="49" spans="1:8" ht="15" customHeight="1">
      <c r="A49" s="675"/>
      <c r="B49" s="675"/>
      <c r="C49" s="683" t="s">
        <v>391</v>
      </c>
      <c r="D49" s="677">
        <f>+D43+1</f>
        <v>18</v>
      </c>
      <c r="E49" s="676">
        <f>+'BS13-20'!B131</f>
        <v>52736.857697499996</v>
      </c>
      <c r="F49" s="676">
        <f>+'BS13-20'!C131</f>
        <v>101017.92431340001</v>
      </c>
    </row>
    <row r="50" spans="1:8" ht="15" customHeight="1">
      <c r="A50" s="675"/>
      <c r="B50" s="675" t="s">
        <v>355</v>
      </c>
      <c r="C50" s="672" t="s">
        <v>119</v>
      </c>
      <c r="D50" s="677">
        <v>19</v>
      </c>
      <c r="E50" s="676">
        <f>+'BS13-20'!B147</f>
        <v>0</v>
      </c>
      <c r="F50" s="676">
        <f>+'BS13-20'!C147</f>
        <v>7961.6276399999997</v>
      </c>
    </row>
    <row r="51" spans="1:8" ht="15" customHeight="1">
      <c r="A51" s="675"/>
      <c r="B51" s="675" t="s">
        <v>357</v>
      </c>
      <c r="C51" s="686" t="s">
        <v>163</v>
      </c>
      <c r="D51" s="677">
        <v>20</v>
      </c>
      <c r="E51" s="676">
        <f>+'BS13-20'!B157</f>
        <v>12238.825404699999</v>
      </c>
      <c r="F51" s="676">
        <f>+'BS13-20'!C157</f>
        <v>4584.2668903000085</v>
      </c>
    </row>
    <row r="52" spans="1:8" ht="15" customHeight="1">
      <c r="A52" s="675"/>
      <c r="B52" s="682"/>
      <c r="C52" s="686"/>
      <c r="D52" s="677"/>
      <c r="E52" s="694"/>
      <c r="F52" s="676"/>
    </row>
    <row r="53" spans="1:8" ht="15" customHeight="1">
      <c r="A53" s="675"/>
      <c r="B53" s="671"/>
      <c r="C53" s="684" t="s">
        <v>392</v>
      </c>
      <c r="D53" s="677"/>
      <c r="E53" s="688">
        <f>SUM(E47:E52)</f>
        <v>64975.683102199997</v>
      </c>
      <c r="F53" s="688">
        <f>SUM(F47:F52)</f>
        <v>113563.81884370002</v>
      </c>
    </row>
    <row r="54" spans="1:8" ht="15" customHeight="1">
      <c r="A54" s="675"/>
      <c r="B54" s="671"/>
      <c r="C54" s="684" t="s">
        <v>393</v>
      </c>
      <c r="D54" s="677"/>
      <c r="E54" s="688">
        <f>+E44+E53</f>
        <v>176485.3033389755</v>
      </c>
      <c r="F54" s="688">
        <f>+F44+F53</f>
        <v>300302.86756280647</v>
      </c>
    </row>
    <row r="55" spans="1:8" ht="15" customHeight="1">
      <c r="A55" s="689"/>
      <c r="B55" s="697"/>
      <c r="C55" s="691" t="s">
        <v>394</v>
      </c>
      <c r="D55" s="692"/>
      <c r="E55" s="693">
        <f>E54+E34+E35</f>
        <v>1141609.8228755447</v>
      </c>
      <c r="F55" s="693">
        <f>F54+F34+F35</f>
        <v>1119507.8818180754</v>
      </c>
    </row>
    <row r="56" spans="1:8" ht="17.25" customHeight="1">
      <c r="A56" s="744" t="s">
        <v>395</v>
      </c>
      <c r="B56" s="744"/>
      <c r="C56" s="744"/>
      <c r="D56" s="744"/>
      <c r="E56" s="744"/>
      <c r="F56" s="744"/>
    </row>
    <row r="57" spans="1:8" ht="15" customHeight="1">
      <c r="A57" s="698" t="s">
        <v>337</v>
      </c>
      <c r="B57" s="699"/>
      <c r="C57" s="700"/>
      <c r="D57" s="699"/>
      <c r="E57" s="701"/>
      <c r="F57" s="702"/>
      <c r="G57" s="7"/>
      <c r="H57" s="7"/>
    </row>
    <row r="58" spans="1:8" ht="15" customHeight="1">
      <c r="A58" s="699" t="s">
        <v>338</v>
      </c>
      <c r="B58" s="699" t="s">
        <v>339</v>
      </c>
      <c r="C58" s="700"/>
      <c r="D58" s="699"/>
      <c r="E58" s="699"/>
      <c r="F58" s="699"/>
      <c r="G58" s="7"/>
      <c r="H58" s="7"/>
    </row>
    <row r="59" spans="1:8" ht="15" customHeight="1">
      <c r="A59" s="699"/>
      <c r="B59" s="699" t="s">
        <v>898</v>
      </c>
      <c r="C59" s="700"/>
      <c r="D59" s="699"/>
      <c r="E59" s="699"/>
      <c r="F59" s="699"/>
      <c r="G59" s="7"/>
      <c r="H59" s="7"/>
    </row>
    <row r="60" spans="1:8" ht="15" customHeight="1">
      <c r="A60" s="699"/>
      <c r="B60" s="699" t="s">
        <v>399</v>
      </c>
      <c r="C60" s="700"/>
      <c r="D60" s="699"/>
      <c r="E60" s="699"/>
      <c r="F60" s="699"/>
      <c r="G60" s="7"/>
      <c r="H60" s="7"/>
    </row>
    <row r="61" spans="1:8" ht="15.75">
      <c r="A61" s="699"/>
      <c r="B61" s="699"/>
      <c r="C61" s="700"/>
      <c r="D61" s="699"/>
      <c r="E61" s="699"/>
      <c r="F61" s="699"/>
      <c r="G61" s="7"/>
      <c r="H61" s="7"/>
    </row>
    <row r="62" spans="1:8" ht="15" customHeight="1">
      <c r="A62" s="699"/>
      <c r="B62" s="699"/>
      <c r="C62" s="703" t="s">
        <v>401</v>
      </c>
      <c r="D62" s="698"/>
      <c r="E62" s="740" t="s">
        <v>340</v>
      </c>
      <c r="F62" s="740"/>
      <c r="G62" s="7"/>
      <c r="H62" s="7"/>
    </row>
    <row r="63" spans="1:8" ht="15" customHeight="1">
      <c r="A63" s="699"/>
      <c r="B63" s="699"/>
      <c r="C63" s="703" t="s">
        <v>679</v>
      </c>
      <c r="D63" s="698"/>
      <c r="E63" s="740" t="s">
        <v>402</v>
      </c>
      <c r="F63" s="740"/>
      <c r="G63" s="7"/>
      <c r="H63" s="7"/>
    </row>
    <row r="64" spans="1:8" ht="15" customHeight="1">
      <c r="A64" s="699"/>
      <c r="B64" s="704" t="s">
        <v>341</v>
      </c>
      <c r="C64" s="700"/>
      <c r="D64" s="699"/>
      <c r="E64" s="699"/>
      <c r="F64" s="699"/>
      <c r="G64" s="7"/>
      <c r="H64" s="7"/>
    </row>
    <row r="65" spans="1:8" ht="15" customHeight="1">
      <c r="A65" s="699"/>
      <c r="B65" s="699" t="s">
        <v>400</v>
      </c>
      <c r="C65" s="699"/>
      <c r="D65" s="699"/>
      <c r="E65" s="699"/>
      <c r="F65" s="699"/>
      <c r="G65" s="7"/>
      <c r="H65" s="7"/>
    </row>
    <row r="66" spans="1:8" ht="15" customHeight="1">
      <c r="A66" s="699"/>
      <c r="B66" s="699" t="s">
        <v>342</v>
      </c>
      <c r="C66" s="699"/>
      <c r="D66" s="699"/>
      <c r="E66" s="699"/>
      <c r="F66" s="699"/>
      <c r="G66" s="7"/>
      <c r="H66" s="7"/>
    </row>
    <row r="67" spans="1:8" ht="15" customHeight="1">
      <c r="A67" s="699" t="s">
        <v>343</v>
      </c>
      <c r="B67" s="699" t="s">
        <v>900</v>
      </c>
      <c r="C67" s="700"/>
      <c r="D67" s="699"/>
      <c r="E67" s="740" t="s">
        <v>396</v>
      </c>
      <c r="F67" s="740"/>
      <c r="G67" s="7"/>
      <c r="H67" s="7"/>
    </row>
    <row r="68" spans="1:8" ht="15" customHeight="1">
      <c r="A68" s="699" t="s">
        <v>345</v>
      </c>
      <c r="B68" s="699"/>
      <c r="C68" s="703"/>
      <c r="D68" s="699"/>
      <c r="E68" s="740" t="s">
        <v>403</v>
      </c>
      <c r="F68" s="740"/>
      <c r="G68" s="7"/>
      <c r="H68" s="7"/>
    </row>
    <row r="69" spans="1:8" ht="15" customHeight="1">
      <c r="A69" s="7"/>
      <c r="B69" s="7"/>
      <c r="C69" s="65"/>
      <c r="D69" s="7"/>
      <c r="E69" s="7"/>
      <c r="F69" s="7"/>
      <c r="G69" s="7"/>
      <c r="H69" s="7"/>
    </row>
    <row r="70" spans="1:8" ht="15" customHeight="1">
      <c r="A70" s="7"/>
      <c r="B70" s="7"/>
      <c r="C70" s="65"/>
      <c r="D70" s="7"/>
      <c r="E70" s="7"/>
      <c r="F70" s="7"/>
      <c r="G70" s="7"/>
      <c r="H70" s="7"/>
    </row>
    <row r="71" spans="1:8" ht="15" customHeight="1"/>
    <row r="72" spans="1:8" ht="15" customHeight="1"/>
    <row r="73" spans="1:8" ht="15" customHeight="1"/>
    <row r="74" spans="1:8" ht="15" customHeight="1"/>
    <row r="75" spans="1:8" ht="15" customHeight="1"/>
    <row r="76" spans="1:8" ht="15" customHeight="1"/>
    <row r="77" spans="1:8" ht="15" customHeight="1"/>
    <row r="78" spans="1:8" ht="15" customHeight="1"/>
    <row r="79" spans="1:8" ht="15" customHeight="1"/>
    <row r="80" spans="1:8" ht="15" customHeight="1"/>
    <row r="81" ht="15" customHeight="1"/>
    <row r="82" ht="15" customHeight="1"/>
  </sheetData>
  <mergeCells count="9">
    <mergeCell ref="E67:F67"/>
    <mergeCell ref="E68:F68"/>
    <mergeCell ref="A1:F1"/>
    <mergeCell ref="A2:F2"/>
    <mergeCell ref="B4:C4"/>
    <mergeCell ref="A56:F56"/>
    <mergeCell ref="E62:F62"/>
    <mergeCell ref="E63:F63"/>
    <mergeCell ref="D7:D8"/>
  </mergeCells>
  <pageMargins left="0.9055118110236221" right="0.70866141732283472" top="0.15748031496062992" bottom="0.15748031496062992" header="0.11811023622047245" footer="0.11811023622047245"/>
  <pageSetup paperSize="9" scale="80" orientation="portrait" r:id="rId1"/>
</worksheet>
</file>

<file path=xl/worksheets/sheet10.xml><?xml version="1.0" encoding="utf-8"?>
<worksheet xmlns="http://schemas.openxmlformats.org/spreadsheetml/2006/main" xmlns:r="http://schemas.openxmlformats.org/officeDocument/2006/relationships">
  <dimension ref="A1:C138"/>
  <sheetViews>
    <sheetView topLeftCell="A28" workbookViewId="0">
      <selection activeCell="B32" sqref="B32"/>
    </sheetView>
  </sheetViews>
  <sheetFormatPr defaultRowHeight="18" customHeight="1"/>
  <cols>
    <col min="1" max="1" width="55.140625" style="1" customWidth="1"/>
    <col min="2" max="2" width="22.140625" style="1" customWidth="1"/>
    <col min="3" max="3" width="22.140625" style="8" customWidth="1"/>
    <col min="4" max="16384" width="9.140625" style="1"/>
  </cols>
  <sheetData>
    <row r="1" spans="1:3" ht="18" customHeight="1">
      <c r="A1" s="769" t="str">
        <f>[4]BS!A1</f>
        <v xml:space="preserve">Bihar State Power Transmission Company Limited </v>
      </c>
      <c r="B1" s="769"/>
      <c r="C1" s="769"/>
    </row>
    <row r="2" spans="1:3" ht="18" customHeight="1">
      <c r="A2" s="766" t="s">
        <v>0</v>
      </c>
      <c r="B2" s="766"/>
      <c r="C2" s="766"/>
    </row>
    <row r="3" spans="1:3" ht="18" customHeight="1">
      <c r="A3" s="2"/>
      <c r="B3" s="2"/>
      <c r="C3" s="3"/>
    </row>
    <row r="4" spans="1:3" ht="18" customHeight="1">
      <c r="A4" s="2"/>
      <c r="B4" s="2"/>
      <c r="C4" s="3"/>
    </row>
    <row r="5" spans="1:3" ht="18" customHeight="1">
      <c r="A5" s="26" t="s">
        <v>181</v>
      </c>
      <c r="B5" s="26"/>
      <c r="C5" s="27"/>
    </row>
    <row r="6" spans="1:3" ht="18" customHeight="1">
      <c r="A6" s="26" t="s">
        <v>167</v>
      </c>
      <c r="B6" s="26"/>
    </row>
    <row r="7" spans="1:3" ht="36" customHeight="1">
      <c r="A7" s="214" t="s">
        <v>3</v>
      </c>
      <c r="B7" s="213" t="s">
        <v>168</v>
      </c>
      <c r="C7" s="213" t="s">
        <v>169</v>
      </c>
    </row>
    <row r="8" spans="1:3" ht="18" customHeight="1">
      <c r="A8" s="28" t="s">
        <v>170</v>
      </c>
      <c r="B8" s="210"/>
      <c r="C8" s="211"/>
    </row>
    <row r="9" spans="1:3" ht="18" customHeight="1">
      <c r="A9" s="29" t="s">
        <v>171</v>
      </c>
      <c r="B9" s="227">
        <v>42971.36004</v>
      </c>
      <c r="C9" s="227">
        <v>26032.183219999999</v>
      </c>
    </row>
    <row r="10" spans="1:3" ht="18" customHeight="1">
      <c r="A10" s="29" t="s">
        <v>172</v>
      </c>
      <c r="B10" s="227">
        <v>50444.639999999999</v>
      </c>
      <c r="C10" s="227">
        <v>32296.48227</v>
      </c>
    </row>
    <row r="11" spans="1:3" ht="18" customHeight="1">
      <c r="A11" s="30"/>
      <c r="B11" s="227"/>
      <c r="C11" s="227"/>
    </row>
    <row r="12" spans="1:3" s="4" customFormat="1" ht="18" customHeight="1">
      <c r="A12" s="31" t="s">
        <v>8</v>
      </c>
      <c r="B12" s="227">
        <f>ROUND(SUM(B9:B11),0)</f>
        <v>93416</v>
      </c>
      <c r="C12" s="227">
        <f>SUM(C9:C11)</f>
        <v>58328.665489999999</v>
      </c>
    </row>
    <row r="13" spans="1:3" ht="18" customHeight="1">
      <c r="A13" s="29" t="s">
        <v>173</v>
      </c>
      <c r="B13" s="221">
        <v>-26.158000000000001</v>
      </c>
      <c r="C13" s="221">
        <v>1.07498</v>
      </c>
    </row>
    <row r="14" spans="1:3" ht="18" customHeight="1">
      <c r="A14" s="215" t="s">
        <v>174</v>
      </c>
      <c r="B14" s="228">
        <f>ROUND((+B12-B13),0)</f>
        <v>93442</v>
      </c>
      <c r="C14" s="228">
        <f>+C12-C13</f>
        <v>58327.590510000002</v>
      </c>
    </row>
    <row r="15" spans="1:3" ht="18" customHeight="1">
      <c r="A15" s="28"/>
      <c r="B15" s="220"/>
      <c r="C15" s="220"/>
    </row>
    <row r="16" spans="1:3" ht="18" customHeight="1">
      <c r="A16" s="28" t="s">
        <v>175</v>
      </c>
      <c r="B16" s="227"/>
      <c r="C16" s="227"/>
    </row>
    <row r="17" spans="1:3" ht="18" customHeight="1">
      <c r="A17" s="29" t="s">
        <v>176</v>
      </c>
      <c r="B17" s="227">
        <v>1403</v>
      </c>
      <c r="C17" s="227">
        <v>4166.6404812999999</v>
      </c>
    </row>
    <row r="18" spans="1:3" ht="18" customHeight="1">
      <c r="A18" s="29" t="s">
        <v>177</v>
      </c>
      <c r="B18" s="227">
        <v>1307.4065800000001</v>
      </c>
      <c r="C18" s="227">
        <v>454.53224</v>
      </c>
    </row>
    <row r="19" spans="1:3" ht="18" customHeight="1">
      <c r="A19" s="29" t="s">
        <v>178</v>
      </c>
      <c r="B19" s="227">
        <v>435.45693999999997</v>
      </c>
      <c r="C19" s="227">
        <v>542.00004000000001</v>
      </c>
    </row>
    <row r="20" spans="1:3" ht="18" customHeight="1">
      <c r="A20" s="30"/>
      <c r="B20" s="227">
        <v>0</v>
      </c>
      <c r="C20" s="227">
        <v>0</v>
      </c>
    </row>
    <row r="21" spans="1:3" s="6" customFormat="1" ht="18" customHeight="1">
      <c r="A21" s="215" t="s">
        <v>179</v>
      </c>
      <c r="B21" s="228">
        <f>SUM(B17:B20)</f>
        <v>3145.8635199999999</v>
      </c>
      <c r="C21" s="228">
        <f>SUM(C17:C20)</f>
        <v>5163.1727612999994</v>
      </c>
    </row>
    <row r="22" spans="1:3" ht="18" customHeight="1">
      <c r="A22" s="30"/>
      <c r="B22" s="113"/>
      <c r="C22" s="113"/>
    </row>
    <row r="23" spans="1:3" ht="18" customHeight="1">
      <c r="A23" s="215" t="s">
        <v>180</v>
      </c>
      <c r="B23" s="228">
        <f>ROUND((+B14+B21),0)</f>
        <v>96588</v>
      </c>
      <c r="C23" s="228">
        <f>+C14+C21</f>
        <v>63490.763271299998</v>
      </c>
    </row>
    <row r="24" spans="1:3" ht="18" customHeight="1">
      <c r="A24" s="778" t="s">
        <v>725</v>
      </c>
      <c r="B24" s="778"/>
      <c r="C24" s="778"/>
    </row>
    <row r="25" spans="1:3" ht="18" customHeight="1">
      <c r="A25" s="779"/>
      <c r="B25" s="779"/>
      <c r="C25" s="779"/>
    </row>
    <row r="26" spans="1:3" ht="18" customHeight="1">
      <c r="A26" s="523"/>
      <c r="B26" s="523"/>
      <c r="C26" s="523"/>
    </row>
    <row r="27" spans="1:3" ht="18" customHeight="1">
      <c r="A27" s="11" t="s">
        <v>150</v>
      </c>
      <c r="B27" s="11"/>
      <c r="C27" s="33"/>
    </row>
    <row r="28" spans="1:3" ht="18" customHeight="1">
      <c r="A28" s="11" t="s">
        <v>182</v>
      </c>
      <c r="B28" s="11"/>
    </row>
    <row r="29" spans="1:3" ht="36" customHeight="1">
      <c r="A29" s="214" t="s">
        <v>3</v>
      </c>
      <c r="B29" s="213" t="s">
        <v>168</v>
      </c>
      <c r="C29" s="213" t="s">
        <v>169</v>
      </c>
    </row>
    <row r="30" spans="1:3" ht="18" customHeight="1">
      <c r="A30" s="34" t="s">
        <v>183</v>
      </c>
      <c r="B30" s="113"/>
      <c r="C30" s="113"/>
    </row>
    <row r="31" spans="1:3" ht="18" customHeight="1">
      <c r="A31" s="35" t="s">
        <v>184</v>
      </c>
      <c r="B31" s="220">
        <v>6.1690000000000002E-2</v>
      </c>
      <c r="C31" s="220">
        <v>4.9599999999999998E-2</v>
      </c>
    </row>
    <row r="32" spans="1:3" ht="18" customHeight="1">
      <c r="A32" s="36" t="s">
        <v>185</v>
      </c>
      <c r="B32" s="227">
        <v>8772.7480135999995</v>
      </c>
      <c r="C32" s="227">
        <v>1320.3702862</v>
      </c>
    </row>
    <row r="33" spans="1:3" ht="18" customHeight="1">
      <c r="A33" s="36" t="s">
        <v>186</v>
      </c>
      <c r="B33" s="227">
        <v>187.19877</v>
      </c>
      <c r="C33" s="227">
        <v>69.756100000000004</v>
      </c>
    </row>
    <row r="34" spans="1:3" s="6" customFormat="1" ht="18" customHeight="1">
      <c r="A34" s="215" t="s">
        <v>55</v>
      </c>
      <c r="B34" s="228">
        <f>SUM(B31:B33)</f>
        <v>8960.0084736000008</v>
      </c>
      <c r="C34" s="228">
        <f>SUM(C31:C33)</f>
        <v>1390.1759862000001</v>
      </c>
    </row>
    <row r="35" spans="1:3" ht="18" customHeight="1">
      <c r="A35" s="31"/>
      <c r="B35" s="229"/>
      <c r="C35" s="177"/>
    </row>
    <row r="36" spans="1:3" ht="18" customHeight="1">
      <c r="A36" s="34" t="s">
        <v>182</v>
      </c>
      <c r="B36" s="230"/>
      <c r="C36" s="177"/>
    </row>
    <row r="37" spans="1:3" ht="18" customHeight="1">
      <c r="A37" s="35" t="s">
        <v>187</v>
      </c>
      <c r="B37" s="227">
        <v>265.35678000000001</v>
      </c>
      <c r="C37" s="227">
        <v>824.14921000000004</v>
      </c>
    </row>
    <row r="38" spans="1:3" ht="18" customHeight="1">
      <c r="A38" s="35" t="s">
        <v>188</v>
      </c>
      <c r="B38" s="227">
        <v>164.4737643</v>
      </c>
      <c r="C38" s="227">
        <v>79.084090399999994</v>
      </c>
    </row>
    <row r="39" spans="1:3" ht="18" customHeight="1">
      <c r="A39" s="35" t="s">
        <v>189</v>
      </c>
      <c r="B39" s="227">
        <v>3.75</v>
      </c>
      <c r="C39" s="227">
        <v>0.6</v>
      </c>
    </row>
    <row r="40" spans="1:3" ht="18" customHeight="1">
      <c r="A40" s="35" t="s">
        <v>190</v>
      </c>
      <c r="B40" s="227">
        <v>23.561610000000002</v>
      </c>
      <c r="C40" s="227">
        <v>23.799859999999999</v>
      </c>
    </row>
    <row r="41" spans="1:3" ht="18" customHeight="1">
      <c r="A41" s="35" t="s">
        <v>191</v>
      </c>
      <c r="B41" s="227">
        <v>0</v>
      </c>
      <c r="C41" s="227">
        <v>356.26639</v>
      </c>
    </row>
    <row r="42" spans="1:3" ht="18" customHeight="1">
      <c r="A42" s="35" t="s">
        <v>192</v>
      </c>
      <c r="B42" s="227">
        <v>6849.1435320000001</v>
      </c>
      <c r="C42" s="227">
        <v>6849.1435320000001</v>
      </c>
    </row>
    <row r="43" spans="1:3" s="6" customFormat="1" ht="18" customHeight="1">
      <c r="A43" s="215" t="s">
        <v>56</v>
      </c>
      <c r="B43" s="228">
        <f>SUM(B37:B42)</f>
        <v>7306.2856862999997</v>
      </c>
      <c r="C43" s="228">
        <f>SUM(C37:C42)</f>
        <v>8133.0430823999995</v>
      </c>
    </row>
    <row r="44" spans="1:3" s="6" customFormat="1" ht="18" customHeight="1">
      <c r="A44" s="34"/>
      <c r="B44" s="5"/>
      <c r="C44" s="5"/>
    </row>
    <row r="45" spans="1:3" s="6" customFormat="1" ht="18" customHeight="1">
      <c r="A45" s="215" t="s">
        <v>418</v>
      </c>
      <c r="B45" s="228">
        <f>+B34+B43</f>
        <v>16266.294159900001</v>
      </c>
      <c r="C45" s="228">
        <f>+C34+C43</f>
        <v>9523.2190685999994</v>
      </c>
    </row>
    <row r="46" spans="1:3" ht="18" customHeight="1">
      <c r="C46" s="33"/>
    </row>
    <row r="138" spans="1:1" ht="18" customHeight="1">
      <c r="A138" s="1" t="s">
        <v>33</v>
      </c>
    </row>
  </sheetData>
  <mergeCells count="3">
    <mergeCell ref="A1:C1"/>
    <mergeCell ref="A2:C2"/>
    <mergeCell ref="A24:C25"/>
  </mergeCells>
  <pageMargins left="0.70866141732283472" right="0.70866141732283472" top="0.74803149606299213" bottom="0.7480314960629921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dimension ref="A1:C86"/>
  <sheetViews>
    <sheetView topLeftCell="A4" workbookViewId="0">
      <selection activeCell="B15" sqref="B15"/>
    </sheetView>
  </sheetViews>
  <sheetFormatPr defaultRowHeight="18" customHeight="1"/>
  <cols>
    <col min="1" max="1" width="49.42578125" style="9" customWidth="1"/>
    <col min="2" max="2" width="22.85546875" style="9" customWidth="1"/>
    <col min="3" max="3" width="23.7109375" style="9" customWidth="1"/>
    <col min="4" max="5" width="9.140625" style="9"/>
    <col min="6" max="6" width="11.5703125" style="9" bestFit="1" customWidth="1"/>
    <col min="7" max="16384" width="9.140625" style="9"/>
  </cols>
  <sheetData>
    <row r="1" spans="1:3" ht="18" customHeight="1">
      <c r="A1" s="769" t="str">
        <f>[4]BS!A1</f>
        <v xml:space="preserve">Bihar State Power Transmission Company Limited </v>
      </c>
      <c r="B1" s="769"/>
      <c r="C1" s="769"/>
    </row>
    <row r="2" spans="1:3" ht="18" customHeight="1">
      <c r="A2" s="766" t="s">
        <v>0</v>
      </c>
      <c r="B2" s="766"/>
      <c r="C2" s="766"/>
    </row>
    <row r="3" spans="1:3" ht="12.75" customHeight="1">
      <c r="A3" s="10"/>
      <c r="B3" s="10"/>
      <c r="C3" s="10"/>
    </row>
    <row r="4" spans="1:3" s="1" customFormat="1" ht="18" customHeight="1">
      <c r="A4" s="11" t="s">
        <v>151</v>
      </c>
      <c r="B4" s="11"/>
      <c r="C4" s="12"/>
    </row>
    <row r="5" spans="1:3" s="1" customFormat="1" ht="18" customHeight="1">
      <c r="A5" s="13" t="s">
        <v>193</v>
      </c>
      <c r="B5" s="13"/>
      <c r="C5" s="12"/>
    </row>
    <row r="6" spans="1:3" s="1" customFormat="1" ht="30.75" customHeight="1">
      <c r="A6" s="214" t="s">
        <v>3</v>
      </c>
      <c r="B6" s="213" t="s">
        <v>168</v>
      </c>
      <c r="C6" s="213" t="s">
        <v>169</v>
      </c>
    </row>
    <row r="7" spans="1:3" s="1" customFormat="1" ht="18" customHeight="1">
      <c r="A7" s="14" t="s">
        <v>194</v>
      </c>
      <c r="B7" s="227">
        <v>10883.23148</v>
      </c>
      <c r="C7" s="227">
        <v>8817.4026300000005</v>
      </c>
    </row>
    <row r="8" spans="1:3" s="1" customFormat="1" ht="18" customHeight="1">
      <c r="A8" s="14" t="s">
        <v>195</v>
      </c>
      <c r="B8" s="227">
        <v>302.33710000000002</v>
      </c>
      <c r="C8" s="227">
        <v>0</v>
      </c>
    </row>
    <row r="9" spans="1:3" s="1" customFormat="1" ht="18" customHeight="1">
      <c r="A9" s="14" t="s">
        <v>196</v>
      </c>
      <c r="B9" s="227">
        <v>980.50887999999998</v>
      </c>
      <c r="C9" s="227">
        <v>1149.8336099999999</v>
      </c>
    </row>
    <row r="10" spans="1:3" s="1" customFormat="1" ht="18" customHeight="1">
      <c r="A10" s="14" t="s">
        <v>197</v>
      </c>
      <c r="B10" s="227">
        <v>1648.71641</v>
      </c>
      <c r="C10" s="227">
        <v>953.94849999999997</v>
      </c>
    </row>
    <row r="11" spans="1:3" s="1" customFormat="1" ht="18" customHeight="1">
      <c r="A11" s="14" t="s">
        <v>198</v>
      </c>
      <c r="B11" s="227">
        <v>64.163560000000004</v>
      </c>
      <c r="C11" s="227">
        <v>44.244840000000003</v>
      </c>
    </row>
    <row r="12" spans="1:3" s="1" customFormat="1" ht="18" customHeight="1">
      <c r="A12" s="14" t="s">
        <v>199</v>
      </c>
      <c r="B12" s="227">
        <v>25.979610000000001</v>
      </c>
      <c r="C12" s="227">
        <v>15.1043</v>
      </c>
    </row>
    <row r="13" spans="1:3" s="1" customFormat="1" ht="18" customHeight="1">
      <c r="A13" s="14" t="s">
        <v>200</v>
      </c>
      <c r="B13" s="227">
        <v>2378.86382</v>
      </c>
      <c r="C13" s="227">
        <v>3093.3134500000001</v>
      </c>
    </row>
    <row r="14" spans="1:3" s="1" customFormat="1" ht="18" customHeight="1">
      <c r="A14" s="215" t="s">
        <v>8</v>
      </c>
      <c r="B14" s="228">
        <f>ROUND(SUM(B7:B13),0)</f>
        <v>16284</v>
      </c>
      <c r="C14" s="228">
        <f>SUM(C7:C13)</f>
        <v>14073.847330000001</v>
      </c>
    </row>
    <row r="15" spans="1:3" s="1" customFormat="1" ht="18" customHeight="1">
      <c r="A15" s="9"/>
      <c r="B15" s="9"/>
      <c r="C15" s="9"/>
    </row>
    <row r="16" spans="1:3" ht="18" customHeight="1">
      <c r="A16" s="13" t="s">
        <v>209</v>
      </c>
      <c r="B16" s="13"/>
      <c r="C16" s="18"/>
    </row>
    <row r="17" spans="1:3" ht="18" customHeight="1">
      <c r="A17" s="19" t="s">
        <v>201</v>
      </c>
      <c r="B17" s="19"/>
      <c r="C17" s="12"/>
    </row>
    <row r="18" spans="1:3" ht="33.75" customHeight="1">
      <c r="A18" s="214" t="s">
        <v>3</v>
      </c>
      <c r="B18" s="213" t="s">
        <v>168</v>
      </c>
      <c r="C18" s="213" t="s">
        <v>169</v>
      </c>
    </row>
    <row r="19" spans="1:3" ht="18" customHeight="1">
      <c r="A19" s="24" t="s">
        <v>202</v>
      </c>
      <c r="B19" s="113"/>
      <c r="C19" s="113"/>
    </row>
    <row r="20" spans="1:3" ht="18" customHeight="1">
      <c r="A20" s="14" t="s">
        <v>203</v>
      </c>
      <c r="B20" s="227">
        <v>0</v>
      </c>
      <c r="C20" s="227">
        <v>3142.51</v>
      </c>
    </row>
    <row r="21" spans="1:3" ht="18" customHeight="1">
      <c r="A21" s="14" t="s">
        <v>204</v>
      </c>
      <c r="B21" s="227">
        <v>0</v>
      </c>
      <c r="C21" s="227">
        <v>0</v>
      </c>
    </row>
    <row r="22" spans="1:3" ht="18" customHeight="1">
      <c r="A22" s="14" t="s">
        <v>205</v>
      </c>
      <c r="B22" s="227">
        <v>1975.26512</v>
      </c>
      <c r="C22" s="227">
        <v>1126.56</v>
      </c>
    </row>
    <row r="23" spans="1:3" ht="18" customHeight="1">
      <c r="A23" s="215" t="s">
        <v>206</v>
      </c>
      <c r="B23" s="228">
        <f>SUM(B20:B22)</f>
        <v>1975.26512</v>
      </c>
      <c r="C23" s="228">
        <f>SUM(C20:C22)</f>
        <v>4269.07</v>
      </c>
    </row>
    <row r="24" spans="1:3" ht="18" customHeight="1">
      <c r="A24" s="14"/>
      <c r="B24" s="220"/>
      <c r="C24" s="220"/>
    </row>
    <row r="25" spans="1:3" ht="18" customHeight="1">
      <c r="A25" s="24" t="s">
        <v>207</v>
      </c>
      <c r="B25" s="227"/>
      <c r="C25" s="227"/>
    </row>
    <row r="26" spans="1:3" ht="18" customHeight="1">
      <c r="A26" s="5" t="s">
        <v>208</v>
      </c>
      <c r="B26" s="227">
        <v>0.72388190000000008</v>
      </c>
      <c r="C26" s="227">
        <v>1.1399999999999999</v>
      </c>
    </row>
    <row r="27" spans="1:3" ht="18" customHeight="1">
      <c r="A27" s="215" t="s">
        <v>419</v>
      </c>
      <c r="B27" s="228">
        <v>0.72388190000000008</v>
      </c>
      <c r="C27" s="228">
        <v>1.1351982</v>
      </c>
    </row>
    <row r="28" spans="1:3" ht="18" customHeight="1">
      <c r="A28" s="215" t="s">
        <v>8</v>
      </c>
      <c r="B28" s="228">
        <f>ROUND((+B23+B27),0)</f>
        <v>1976</v>
      </c>
      <c r="C28" s="228">
        <v>4270.21</v>
      </c>
    </row>
    <row r="30" spans="1:3" ht="18" customHeight="1">
      <c r="A30" s="23" t="s">
        <v>161</v>
      </c>
      <c r="B30" s="23"/>
      <c r="C30" s="12"/>
    </row>
    <row r="31" spans="1:3" ht="18" customHeight="1">
      <c r="A31" s="6" t="s">
        <v>210</v>
      </c>
      <c r="B31" s="6"/>
      <c r="C31" s="12"/>
    </row>
    <row r="32" spans="1:3" ht="33.75" customHeight="1">
      <c r="A32" s="214" t="s">
        <v>3</v>
      </c>
      <c r="B32" s="213" t="s">
        <v>168</v>
      </c>
      <c r="C32" s="213" t="s">
        <v>169</v>
      </c>
    </row>
    <row r="33" spans="1:3" ht="18" customHeight="1">
      <c r="A33" s="14" t="s">
        <v>211</v>
      </c>
      <c r="B33" s="227">
        <v>29899.883699999998</v>
      </c>
      <c r="C33" s="227">
        <v>23679.5432</v>
      </c>
    </row>
    <row r="34" spans="1:3" ht="18" customHeight="1">
      <c r="A34" s="215" t="s">
        <v>8</v>
      </c>
      <c r="B34" s="228">
        <f>+B33</f>
        <v>29899.883699999998</v>
      </c>
      <c r="C34" s="228">
        <f>+C33</f>
        <v>23679.5432</v>
      </c>
    </row>
    <row r="35" spans="1:3" ht="18" customHeight="1">
      <c r="A35" s="1"/>
      <c r="B35" s="1"/>
      <c r="C35" s="18"/>
    </row>
    <row r="36" spans="1:3" ht="18" customHeight="1">
      <c r="A36" s="23" t="s">
        <v>733</v>
      </c>
      <c r="B36" s="23"/>
      <c r="C36" s="18"/>
    </row>
    <row r="37" spans="1:3" ht="18" customHeight="1">
      <c r="A37" s="19" t="s">
        <v>212</v>
      </c>
      <c r="B37" s="19"/>
      <c r="C37" s="12"/>
    </row>
    <row r="38" spans="1:3" ht="33.75" customHeight="1">
      <c r="A38" s="214" t="s">
        <v>3</v>
      </c>
      <c r="B38" s="213" t="s">
        <v>168</v>
      </c>
      <c r="C38" s="213" t="s">
        <v>169</v>
      </c>
    </row>
    <row r="39" spans="1:3" ht="18" customHeight="1">
      <c r="A39" s="24" t="s">
        <v>213</v>
      </c>
      <c r="B39" s="5"/>
      <c r="C39" s="5"/>
    </row>
    <row r="40" spans="1:3" ht="18" customHeight="1">
      <c r="A40" s="24"/>
      <c r="B40" s="113"/>
      <c r="C40" s="113"/>
    </row>
    <row r="41" spans="1:3" ht="18" customHeight="1">
      <c r="A41" s="14" t="s">
        <v>412</v>
      </c>
      <c r="B41" s="227">
        <v>2433.0752852000001</v>
      </c>
      <c r="C41" s="227">
        <v>1858.6493863000001</v>
      </c>
    </row>
    <row r="42" spans="1:3" ht="18" customHeight="1">
      <c r="A42" s="14" t="s">
        <v>413</v>
      </c>
      <c r="B42" s="227">
        <v>209.00361000000001</v>
      </c>
      <c r="C42" s="227">
        <v>361.42962999999997</v>
      </c>
    </row>
    <row r="43" spans="1:3" ht="18" customHeight="1">
      <c r="A43" s="14" t="s">
        <v>414</v>
      </c>
      <c r="B43" s="227">
        <v>361.20477</v>
      </c>
      <c r="C43" s="227">
        <v>286.75319999999999</v>
      </c>
    </row>
    <row r="44" spans="1:3" ht="18" customHeight="1">
      <c r="A44" s="14" t="s">
        <v>415</v>
      </c>
      <c r="B44" s="227">
        <v>8.0999999999999996E-3</v>
      </c>
      <c r="C44" s="227">
        <v>0</v>
      </c>
    </row>
    <row r="45" spans="1:3" ht="18" customHeight="1">
      <c r="A45" s="14" t="s">
        <v>416</v>
      </c>
      <c r="B45" s="227">
        <v>628.09437309999998</v>
      </c>
      <c r="C45" s="227">
        <v>745.52668310000001</v>
      </c>
    </row>
    <row r="46" spans="1:3" ht="18" customHeight="1">
      <c r="A46" s="14" t="s">
        <v>263</v>
      </c>
      <c r="B46" s="227">
        <v>0.60765999999999998</v>
      </c>
      <c r="C46" s="227">
        <v>0.11903</v>
      </c>
    </row>
    <row r="47" spans="1:3" ht="18" customHeight="1">
      <c r="A47" s="14" t="s">
        <v>417</v>
      </c>
      <c r="B47" s="227">
        <v>0.34097</v>
      </c>
      <c r="C47" s="227">
        <v>0.45289000000000001</v>
      </c>
    </row>
    <row r="48" spans="1:3" ht="18" customHeight="1">
      <c r="A48" s="14" t="s">
        <v>265</v>
      </c>
      <c r="B48" s="227">
        <v>10.226520000000001</v>
      </c>
      <c r="C48" s="227">
        <v>16.263169999999999</v>
      </c>
    </row>
    <row r="49" spans="1:3" ht="18" customHeight="1">
      <c r="A49" s="215" t="s">
        <v>55</v>
      </c>
      <c r="B49" s="228">
        <f>SUM(B41:B48)</f>
        <v>3642.5612883000008</v>
      </c>
      <c r="C49" s="228">
        <f>SUM(C41:C48)</f>
        <v>3269.1939894000002</v>
      </c>
    </row>
    <row r="50" spans="1:3" ht="18" customHeight="1">
      <c r="A50" s="769" t="str">
        <f>+A1</f>
        <v xml:space="preserve">Bihar State Power Transmission Company Limited </v>
      </c>
      <c r="B50" s="769"/>
      <c r="C50" s="769"/>
    </row>
    <row r="51" spans="1:3" ht="18" customHeight="1">
      <c r="A51" s="766" t="s">
        <v>0</v>
      </c>
      <c r="B51" s="766"/>
      <c r="C51" s="766"/>
    </row>
    <row r="52" spans="1:3" ht="18" customHeight="1">
      <c r="A52"/>
      <c r="B52"/>
      <c r="C52"/>
    </row>
    <row r="53" spans="1:3" ht="33.75" customHeight="1">
      <c r="A53" s="214" t="s">
        <v>3</v>
      </c>
      <c r="B53" s="213" t="s">
        <v>168</v>
      </c>
      <c r="C53" s="213" t="s">
        <v>169</v>
      </c>
    </row>
    <row r="54" spans="1:3" ht="18" customHeight="1">
      <c r="A54" s="25" t="s">
        <v>214</v>
      </c>
      <c r="B54" s="218"/>
      <c r="C54" s="219"/>
    </row>
    <row r="55" spans="1:3" ht="18" customHeight="1">
      <c r="A55" s="25"/>
      <c r="B55" s="218"/>
      <c r="C55" s="219"/>
    </row>
    <row r="56" spans="1:3" ht="18" customHeight="1">
      <c r="A56" s="14" t="s">
        <v>215</v>
      </c>
      <c r="B56" s="227">
        <v>142.50274999999999</v>
      </c>
      <c r="C56" s="227">
        <v>156.94672</v>
      </c>
    </row>
    <row r="57" spans="1:3" ht="18" customHeight="1">
      <c r="A57" s="14" t="s">
        <v>216</v>
      </c>
      <c r="B57" s="227">
        <v>683.58681999999999</v>
      </c>
      <c r="C57" s="227">
        <v>240.42646999999999</v>
      </c>
    </row>
    <row r="58" spans="1:3" ht="18" customHeight="1">
      <c r="A58" s="14" t="s">
        <v>217</v>
      </c>
      <c r="B58" s="227">
        <v>49.04542</v>
      </c>
      <c r="C58" s="227">
        <v>43.143799999999999</v>
      </c>
    </row>
    <row r="59" spans="1:3" ht="18" customHeight="1">
      <c r="A59" s="14" t="s">
        <v>218</v>
      </c>
      <c r="B59" s="227">
        <v>52.5334</v>
      </c>
      <c r="C59" s="227">
        <v>45.114530000000002</v>
      </c>
    </row>
    <row r="60" spans="1:3" ht="18" customHeight="1">
      <c r="A60" s="14" t="s">
        <v>219</v>
      </c>
      <c r="B60" s="227">
        <v>3.5247000000000002</v>
      </c>
      <c r="C60" s="227">
        <v>2.512</v>
      </c>
    </row>
    <row r="61" spans="1:3" ht="18" customHeight="1">
      <c r="A61" s="14" t="s">
        <v>220</v>
      </c>
      <c r="B61" s="227">
        <v>84.901113300000006</v>
      </c>
      <c r="C61" s="227">
        <v>114.2180633</v>
      </c>
    </row>
    <row r="62" spans="1:3" ht="18" customHeight="1">
      <c r="A62" s="14" t="s">
        <v>221</v>
      </c>
      <c r="B62" s="227">
        <v>0.77200000000000002</v>
      </c>
      <c r="C62" s="227">
        <v>0.74399999999999999</v>
      </c>
    </row>
    <row r="63" spans="1:3" ht="18" customHeight="1">
      <c r="A63" s="14" t="s">
        <v>222</v>
      </c>
      <c r="B63" s="227">
        <v>0.15809999999999999</v>
      </c>
      <c r="C63" s="227">
        <v>0.15628</v>
      </c>
    </row>
    <row r="64" spans="1:3" ht="18" customHeight="1">
      <c r="A64" s="14" t="s">
        <v>223</v>
      </c>
      <c r="B64" s="227">
        <v>1318.3489867000001</v>
      </c>
      <c r="C64" s="227">
        <v>1028.90624</v>
      </c>
    </row>
    <row r="65" spans="1:3" ht="18" customHeight="1">
      <c r="A65" s="14" t="s">
        <v>224</v>
      </c>
      <c r="B65" s="227">
        <v>8.6834500000000006</v>
      </c>
      <c r="C65" s="227">
        <v>0.64663999999999999</v>
      </c>
    </row>
    <row r="66" spans="1:3" ht="18" customHeight="1">
      <c r="A66" s="14" t="s">
        <v>225</v>
      </c>
      <c r="B66" s="227">
        <v>591.45136000000002</v>
      </c>
      <c r="C66" s="227">
        <v>378.87797860000001</v>
      </c>
    </row>
    <row r="67" spans="1:3" ht="18" customHeight="1">
      <c r="A67" s="215" t="s">
        <v>56</v>
      </c>
      <c r="B67" s="228">
        <f>SUM(B56:B66)</f>
        <v>2935.5081000000005</v>
      </c>
      <c r="C67" s="228">
        <f>SUM(C56:C66)</f>
        <v>2011.6927218999999</v>
      </c>
    </row>
    <row r="68" spans="1:3" ht="18" customHeight="1">
      <c r="A68" s="212"/>
      <c r="B68" s="175"/>
      <c r="C68" s="175"/>
    </row>
    <row r="69" spans="1:3" ht="18" customHeight="1">
      <c r="A69" s="216" t="s">
        <v>212</v>
      </c>
      <c r="B69" s="218"/>
      <c r="C69" s="219"/>
    </row>
    <row r="70" spans="1:3" ht="18" customHeight="1">
      <c r="A70" s="21" t="s">
        <v>226</v>
      </c>
      <c r="B70" s="227">
        <v>26.98442</v>
      </c>
      <c r="C70" s="227">
        <v>70.305499999999995</v>
      </c>
    </row>
    <row r="71" spans="1:3" ht="18" customHeight="1">
      <c r="A71" s="21" t="s">
        <v>227</v>
      </c>
      <c r="B71" s="227">
        <v>2.24621</v>
      </c>
      <c r="C71" s="227">
        <v>3.2178499999999999</v>
      </c>
    </row>
    <row r="72" spans="1:3" ht="18" customHeight="1">
      <c r="A72" s="21" t="s">
        <v>228</v>
      </c>
      <c r="B72" s="227">
        <v>26.765180000000001</v>
      </c>
      <c r="C72" s="227">
        <v>29.45148</v>
      </c>
    </row>
    <row r="73" spans="1:3" ht="18" customHeight="1">
      <c r="A73" s="21" t="s">
        <v>229</v>
      </c>
      <c r="B73" s="227">
        <v>346.80018849999999</v>
      </c>
      <c r="C73" s="227">
        <v>60.053750000000001</v>
      </c>
    </row>
    <row r="74" spans="1:3" ht="18" customHeight="1">
      <c r="A74" s="21" t="s">
        <v>230</v>
      </c>
      <c r="B74" s="227">
        <v>167.15745999999999</v>
      </c>
      <c r="C74" s="227">
        <v>102.48723</v>
      </c>
    </row>
    <row r="75" spans="1:3" ht="18" customHeight="1">
      <c r="A75" s="21" t="s">
        <v>231</v>
      </c>
      <c r="B75" s="227">
        <v>873.97700999999995</v>
      </c>
      <c r="C75" s="227">
        <v>707.52346999999997</v>
      </c>
    </row>
    <row r="76" spans="1:3" ht="18" customHeight="1">
      <c r="A76" s="21" t="s">
        <v>232</v>
      </c>
      <c r="B76" s="227">
        <v>27.466229999999999</v>
      </c>
      <c r="C76" s="227">
        <v>18.817340000000002</v>
      </c>
    </row>
    <row r="77" spans="1:3" ht="18" customHeight="1">
      <c r="A77" s="21" t="s">
        <v>233</v>
      </c>
      <c r="B77" s="227">
        <v>26.716429999999999</v>
      </c>
      <c r="C77" s="227">
        <v>29.000019999999999</v>
      </c>
    </row>
    <row r="78" spans="1:3" ht="18" customHeight="1">
      <c r="A78" s="1" t="s">
        <v>234</v>
      </c>
      <c r="B78" s="227">
        <v>604.61436000000003</v>
      </c>
      <c r="C78" s="227">
        <v>463.32324999999997</v>
      </c>
    </row>
    <row r="79" spans="1:3" ht="18" customHeight="1">
      <c r="A79" s="21" t="s">
        <v>235</v>
      </c>
      <c r="B79" s="227">
        <v>42.8827018</v>
      </c>
      <c r="C79" s="227">
        <v>103.7654927</v>
      </c>
    </row>
    <row r="80" spans="1:3" ht="18" customHeight="1">
      <c r="A80" s="44" t="s">
        <v>236</v>
      </c>
      <c r="B80" s="227">
        <v>0.54446000000000006</v>
      </c>
      <c r="C80" s="227">
        <v>1.11402</v>
      </c>
    </row>
    <row r="81" spans="1:3" ht="18" customHeight="1">
      <c r="A81" s="21" t="s">
        <v>237</v>
      </c>
      <c r="B81" s="227">
        <v>0</v>
      </c>
      <c r="C81" s="227">
        <v>0.84175</v>
      </c>
    </row>
    <row r="82" spans="1:3" ht="18" customHeight="1">
      <c r="A82" s="21" t="s">
        <v>70</v>
      </c>
      <c r="B82" s="227">
        <v>0</v>
      </c>
      <c r="C82" s="227">
        <v>36.217039999999997</v>
      </c>
    </row>
    <row r="83" spans="1:3" ht="18" customHeight="1">
      <c r="A83" s="217" t="s">
        <v>57</v>
      </c>
      <c r="B83" s="228">
        <f>SUM(B70:B82)</f>
        <v>2146.1546503</v>
      </c>
      <c r="C83" s="228">
        <f>SUM(C70:C82)</f>
        <v>1626.1181927</v>
      </c>
    </row>
    <row r="84" spans="1:3" ht="18" customHeight="1">
      <c r="A84" s="217" t="s">
        <v>106</v>
      </c>
      <c r="B84" s="228">
        <f>+B49+B67+B83</f>
        <v>8724.2240386000012</v>
      </c>
      <c r="C84" s="228">
        <f>+C49+C67+C83</f>
        <v>6907.0049039999994</v>
      </c>
    </row>
    <row r="86" spans="1:3" ht="33" customHeight="1">
      <c r="A86" s="779" t="s">
        <v>726</v>
      </c>
      <c r="B86" s="779"/>
      <c r="C86" s="779"/>
    </row>
  </sheetData>
  <mergeCells count="5">
    <mergeCell ref="A1:C1"/>
    <mergeCell ref="A2:C2"/>
    <mergeCell ref="A50:C50"/>
    <mergeCell ref="A51:C51"/>
    <mergeCell ref="A86:C86"/>
  </mergeCells>
  <pageMargins left="0.70866141732283472" right="0.70866141732283472" top="0.55118110236220474" bottom="0.35433070866141736"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dimension ref="A1:K35"/>
  <sheetViews>
    <sheetView tabSelected="1" workbookViewId="0">
      <selection activeCell="P7" sqref="P7"/>
    </sheetView>
  </sheetViews>
  <sheetFormatPr defaultRowHeight="15.75"/>
  <cols>
    <col min="1" max="1" width="6.28515625" style="514" customWidth="1"/>
    <col min="2" max="2" width="9.42578125" style="514" bestFit="1" customWidth="1"/>
    <col min="3" max="3" width="9.140625" style="514"/>
    <col min="4" max="4" width="11.140625" style="514" bestFit="1" customWidth="1"/>
    <col min="5" max="5" width="9.42578125" style="514" bestFit="1" customWidth="1"/>
    <col min="6" max="6" width="9.42578125" style="514" customWidth="1"/>
    <col min="7" max="7" width="13.5703125" style="514" customWidth="1"/>
    <col min="8" max="9" width="13.140625" style="514" customWidth="1"/>
    <col min="10" max="16384" width="9.140625" style="514"/>
  </cols>
  <sheetData>
    <row r="1" spans="1:11" s="499" customFormat="1" ht="18">
      <c r="A1" s="784" t="str">
        <f>'[4]Prior Period Error_1'!B1</f>
        <v>Bihar State Power Transmission Company Limited.</v>
      </c>
      <c r="B1" s="784"/>
      <c r="C1" s="784"/>
      <c r="D1" s="784"/>
      <c r="E1" s="784"/>
      <c r="F1" s="784"/>
      <c r="G1" s="784"/>
      <c r="H1" s="784"/>
      <c r="I1" s="784"/>
      <c r="J1" s="428"/>
      <c r="K1" s="428"/>
    </row>
    <row r="2" spans="1:11" s="499" customFormat="1">
      <c r="A2" s="785" t="s">
        <v>553</v>
      </c>
      <c r="B2" s="785"/>
      <c r="C2" s="785"/>
      <c r="D2" s="785"/>
      <c r="E2" s="785"/>
      <c r="F2" s="785"/>
      <c r="G2" s="785"/>
      <c r="H2" s="785"/>
      <c r="I2" s="785"/>
      <c r="J2" s="430"/>
      <c r="K2" s="430"/>
    </row>
    <row r="3" spans="1:11" s="499" customFormat="1" ht="13.5" customHeight="1">
      <c r="A3" s="498"/>
    </row>
    <row r="4" spans="1:11">
      <c r="A4" s="55">
        <v>1</v>
      </c>
      <c r="B4" s="498" t="s">
        <v>688</v>
      </c>
    </row>
    <row r="5" spans="1:11" ht="6.75" customHeight="1"/>
    <row r="6" spans="1:11">
      <c r="B6" s="781" t="s">
        <v>689</v>
      </c>
      <c r="C6" s="781"/>
      <c r="D6" s="781"/>
      <c r="E6" s="781"/>
      <c r="F6" s="781"/>
      <c r="G6" s="9"/>
      <c r="H6" s="9"/>
      <c r="I6" s="525" t="s">
        <v>728</v>
      </c>
      <c r="J6" s="9"/>
    </row>
    <row r="7" spans="1:11" ht="31.5">
      <c r="B7" s="518" t="s">
        <v>690</v>
      </c>
      <c r="C7" s="782" t="s">
        <v>3</v>
      </c>
      <c r="D7" s="782"/>
      <c r="E7" s="782"/>
      <c r="F7" s="782"/>
      <c r="G7" s="522" t="s">
        <v>691</v>
      </c>
      <c r="H7" s="517" t="s">
        <v>692</v>
      </c>
      <c r="I7" s="519" t="s">
        <v>693</v>
      </c>
      <c r="J7" s="9"/>
    </row>
    <row r="8" spans="1:11">
      <c r="B8" s="515">
        <v>1</v>
      </c>
      <c r="C8" s="783" t="s">
        <v>694</v>
      </c>
      <c r="D8" s="783"/>
      <c r="E8" s="783"/>
      <c r="F8" s="783"/>
      <c r="G8" s="516">
        <v>11559.015659999999</v>
      </c>
      <c r="H8" s="516">
        <v>3142.5076600000002</v>
      </c>
      <c r="I8" s="516">
        <f>+G8-H8</f>
        <v>8416.507999999998</v>
      </c>
      <c r="J8" s="9"/>
    </row>
    <row r="9" spans="1:11">
      <c r="B9" s="515">
        <v>2</v>
      </c>
      <c r="C9" s="783" t="s">
        <v>695</v>
      </c>
      <c r="D9" s="783"/>
      <c r="E9" s="783"/>
      <c r="F9" s="783"/>
      <c r="G9" s="516">
        <v>26114.021122399998</v>
      </c>
      <c r="H9" s="516">
        <v>6938.7224293000008</v>
      </c>
      <c r="I9" s="516">
        <f>+G9-H9</f>
        <v>19175.298693099998</v>
      </c>
      <c r="J9" s="9"/>
    </row>
    <row r="10" spans="1:11">
      <c r="B10" s="515">
        <v>3</v>
      </c>
      <c r="C10" s="783" t="s">
        <v>696</v>
      </c>
      <c r="D10" s="783"/>
      <c r="E10" s="783"/>
      <c r="F10" s="783"/>
      <c r="G10" s="516">
        <v>1766.98181</v>
      </c>
      <c r="H10" s="516">
        <v>0</v>
      </c>
      <c r="I10" s="516">
        <f t="shared" ref="I10:I11" si="0">+G10-H10</f>
        <v>1766.98181</v>
      </c>
      <c r="J10" s="9"/>
    </row>
    <row r="11" spans="1:11">
      <c r="B11" s="515">
        <v>4</v>
      </c>
      <c r="C11" s="783" t="s">
        <v>231</v>
      </c>
      <c r="D11" s="783"/>
      <c r="E11" s="783"/>
      <c r="F11" s="783"/>
      <c r="G11" s="516">
        <v>169.26376999999999</v>
      </c>
      <c r="H11" s="516">
        <v>0</v>
      </c>
      <c r="I11" s="516">
        <f t="shared" si="0"/>
        <v>169.26376999999999</v>
      </c>
      <c r="J11" s="9"/>
    </row>
    <row r="12" spans="1:11">
      <c r="B12" s="515">
        <v>5</v>
      </c>
      <c r="C12" s="783" t="s">
        <v>697</v>
      </c>
      <c r="D12" s="783"/>
      <c r="E12" s="783"/>
      <c r="F12" s="783"/>
      <c r="G12" s="516">
        <v>89.565780000000004</v>
      </c>
      <c r="H12" s="516">
        <v>89.565780000000004</v>
      </c>
      <c r="I12" s="516">
        <v>0</v>
      </c>
      <c r="J12" s="9"/>
    </row>
    <row r="13" spans="1:11">
      <c r="B13" s="788" t="s">
        <v>8</v>
      </c>
      <c r="C13" s="789"/>
      <c r="D13" s="789"/>
      <c r="E13" s="789"/>
      <c r="F13" s="790"/>
      <c r="G13" s="520">
        <f>+SUM(G8:G11)</f>
        <v>39609.282362399994</v>
      </c>
      <c r="H13" s="521">
        <f>+SUM(H8:H11)</f>
        <v>10081.230089300001</v>
      </c>
      <c r="I13" s="521">
        <f>+SUM(I8:I11)</f>
        <v>29528.052273099998</v>
      </c>
      <c r="J13" s="9"/>
    </row>
    <row r="14" spans="1:11">
      <c r="B14" s="9"/>
      <c r="C14" s="9"/>
      <c r="D14" s="9"/>
      <c r="E14" s="9"/>
      <c r="F14" s="9"/>
      <c r="G14" s="9"/>
      <c r="H14" s="9"/>
      <c r="I14" s="9"/>
      <c r="J14" s="9"/>
    </row>
    <row r="15" spans="1:11">
      <c r="A15" s="51">
        <v>1.1000000000000001</v>
      </c>
      <c r="B15" s="791" t="s">
        <v>698</v>
      </c>
      <c r="C15" s="791"/>
      <c r="D15" s="791"/>
      <c r="E15" s="791"/>
      <c r="F15" s="791"/>
      <c r="G15" s="791"/>
      <c r="H15" s="791"/>
      <c r="I15" s="9"/>
      <c r="J15" s="9"/>
    </row>
    <row r="16" spans="1:11" ht="75" customHeight="1">
      <c r="B16" s="518" t="s">
        <v>690</v>
      </c>
      <c r="C16" s="782" t="s">
        <v>3</v>
      </c>
      <c r="D16" s="782"/>
      <c r="E16" s="782"/>
      <c r="F16" s="792" t="s">
        <v>699</v>
      </c>
      <c r="G16" s="792"/>
      <c r="H16" s="792" t="s">
        <v>700</v>
      </c>
      <c r="I16" s="792"/>
      <c r="J16" s="9"/>
    </row>
    <row r="17" spans="2:10">
      <c r="B17" s="515">
        <v>1</v>
      </c>
      <c r="C17" s="780" t="s">
        <v>701</v>
      </c>
      <c r="D17" s="780"/>
      <c r="E17" s="780"/>
      <c r="F17" s="787">
        <f>+H17</f>
        <v>63490.763271299998</v>
      </c>
      <c r="G17" s="787"/>
      <c r="H17" s="787">
        <v>63490.763271299998</v>
      </c>
      <c r="I17" s="787"/>
      <c r="J17" s="9"/>
    </row>
    <row r="18" spans="2:10">
      <c r="B18" s="515">
        <v>2</v>
      </c>
      <c r="C18" s="780" t="s">
        <v>182</v>
      </c>
      <c r="D18" s="780"/>
      <c r="E18" s="780"/>
      <c r="F18" s="787">
        <f>+H18+G9+G11</f>
        <v>35806.503960999995</v>
      </c>
      <c r="G18" s="787"/>
      <c r="H18" s="787">
        <v>9523.2190685999994</v>
      </c>
      <c r="I18" s="787"/>
      <c r="J18" s="9"/>
    </row>
    <row r="19" spans="2:10">
      <c r="B19" s="515">
        <v>3</v>
      </c>
      <c r="C19" s="780" t="s">
        <v>211</v>
      </c>
      <c r="D19" s="780"/>
      <c r="E19" s="780"/>
      <c r="F19" s="787">
        <f>+H19</f>
        <v>23679.5432</v>
      </c>
      <c r="G19" s="787"/>
      <c r="H19" s="787">
        <v>23679.5432</v>
      </c>
      <c r="I19" s="787"/>
      <c r="J19" s="9"/>
    </row>
    <row r="20" spans="2:10">
      <c r="B20" s="515">
        <v>4</v>
      </c>
      <c r="C20" s="780" t="s">
        <v>702</v>
      </c>
      <c r="D20" s="780"/>
      <c r="E20" s="780"/>
      <c r="F20" s="787">
        <f>+H20</f>
        <v>14073.847330000001</v>
      </c>
      <c r="G20" s="787"/>
      <c r="H20" s="787">
        <v>14073.847330000001</v>
      </c>
      <c r="I20" s="787"/>
      <c r="J20" s="9"/>
    </row>
    <row r="21" spans="2:10">
      <c r="B21" s="515">
        <v>5</v>
      </c>
      <c r="C21" s="780" t="s">
        <v>201</v>
      </c>
      <c r="D21" s="780"/>
      <c r="E21" s="780"/>
      <c r="F21" s="786">
        <f>+H21-G8</f>
        <v>-7288.8096309999992</v>
      </c>
      <c r="G21" s="786"/>
      <c r="H21" s="787">
        <v>4270.2060289999999</v>
      </c>
      <c r="I21" s="787"/>
      <c r="J21" s="9"/>
    </row>
    <row r="22" spans="2:10">
      <c r="B22" s="515">
        <v>6</v>
      </c>
      <c r="C22" s="780" t="s">
        <v>703</v>
      </c>
      <c r="D22" s="780"/>
      <c r="E22" s="780"/>
      <c r="F22" s="787">
        <f>+H22+G10+G12</f>
        <v>8763.5524939999996</v>
      </c>
      <c r="G22" s="787"/>
      <c r="H22" s="787">
        <v>6907.0049039999994</v>
      </c>
      <c r="I22" s="787"/>
      <c r="J22" s="9"/>
    </row>
    <row r="23" spans="2:10">
      <c r="B23" s="795" t="s">
        <v>704</v>
      </c>
      <c r="C23" s="795"/>
      <c r="D23" s="795"/>
      <c r="E23" s="795"/>
      <c r="F23" s="794">
        <f>F17+F18-F19-F22-F21-F20</f>
        <v>60069.133839299975</v>
      </c>
      <c r="G23" s="794"/>
      <c r="H23" s="794">
        <f>H17+H18-H19-H22-H21-H20</f>
        <v>24083.380876899999</v>
      </c>
      <c r="I23" s="794"/>
      <c r="J23" s="9"/>
    </row>
    <row r="24" spans="2:10" ht="6.75" customHeight="1">
      <c r="B24" s="9"/>
      <c r="C24" s="9"/>
      <c r="D24" s="9"/>
      <c r="E24" s="9"/>
      <c r="F24" s="9"/>
      <c r="G24" s="9"/>
      <c r="H24" s="9"/>
      <c r="I24" s="9"/>
      <c r="J24" s="9"/>
    </row>
    <row r="25" spans="2:10">
      <c r="B25" s="51" t="s">
        <v>705</v>
      </c>
      <c r="C25" s="9"/>
      <c r="D25" s="9"/>
      <c r="E25" s="9"/>
      <c r="F25" s="9"/>
      <c r="G25" s="9"/>
      <c r="H25" s="9"/>
      <c r="I25" s="9"/>
      <c r="J25" s="9"/>
    </row>
    <row r="26" spans="2:10">
      <c r="B26" s="793" t="s">
        <v>706</v>
      </c>
      <c r="C26" s="793"/>
      <c r="D26" s="793"/>
      <c r="E26" s="793"/>
      <c r="F26" s="793"/>
      <c r="G26" s="793"/>
      <c r="H26" s="793"/>
      <c r="I26" s="793"/>
      <c r="J26" s="9"/>
    </row>
    <row r="27" spans="2:10">
      <c r="B27" s="793"/>
      <c r="C27" s="793"/>
      <c r="D27" s="793"/>
      <c r="E27" s="793"/>
      <c r="F27" s="793"/>
      <c r="G27" s="793"/>
      <c r="H27" s="793"/>
      <c r="I27" s="793"/>
      <c r="J27" s="9"/>
    </row>
    <row r="28" spans="2:10">
      <c r="B28" s="793"/>
      <c r="C28" s="793"/>
      <c r="D28" s="793"/>
      <c r="E28" s="793"/>
      <c r="F28" s="793"/>
      <c r="G28" s="793"/>
      <c r="H28" s="793"/>
      <c r="I28" s="793"/>
      <c r="J28" s="9"/>
    </row>
    <row r="29" spans="2:10">
      <c r="B29" s="793"/>
      <c r="C29" s="793"/>
      <c r="D29" s="793"/>
      <c r="E29" s="793"/>
      <c r="F29" s="793"/>
      <c r="G29" s="793"/>
      <c r="H29" s="793"/>
      <c r="I29" s="793"/>
      <c r="J29" s="9"/>
    </row>
    <row r="30" spans="2:10">
      <c r="B30" s="793"/>
      <c r="C30" s="793"/>
      <c r="D30" s="793"/>
      <c r="E30" s="793"/>
      <c r="F30" s="793"/>
      <c r="G30" s="793"/>
      <c r="H30" s="793"/>
      <c r="I30" s="793"/>
      <c r="J30" s="9"/>
    </row>
    <row r="31" spans="2:10" ht="19.5" customHeight="1">
      <c r="B31" s="793"/>
      <c r="C31" s="793"/>
      <c r="D31" s="793"/>
      <c r="E31" s="793"/>
      <c r="F31" s="793"/>
      <c r="G31" s="793"/>
      <c r="H31" s="793"/>
      <c r="I31" s="793"/>
      <c r="J31" s="9"/>
    </row>
    <row r="32" spans="2:10" ht="6" customHeight="1">
      <c r="B32" s="9"/>
      <c r="C32" s="9"/>
      <c r="D32" s="9"/>
      <c r="E32" s="9"/>
      <c r="F32" s="9"/>
      <c r="G32" s="9"/>
      <c r="H32" s="9"/>
      <c r="I32" s="9"/>
      <c r="J32" s="9"/>
    </row>
    <row r="33" spans="2:10" ht="205.5" customHeight="1">
      <c r="B33" s="793" t="s">
        <v>707</v>
      </c>
      <c r="C33" s="793"/>
      <c r="D33" s="793"/>
      <c r="E33" s="793"/>
      <c r="F33" s="793"/>
      <c r="G33" s="793"/>
      <c r="H33" s="793"/>
      <c r="I33" s="793"/>
      <c r="J33" s="9"/>
    </row>
    <row r="34" spans="2:10" ht="7.5" customHeight="1"/>
    <row r="35" spans="2:10" ht="80.25" customHeight="1">
      <c r="B35" s="793" t="s">
        <v>708</v>
      </c>
      <c r="C35" s="793"/>
      <c r="D35" s="793"/>
      <c r="E35" s="793"/>
      <c r="F35" s="793"/>
      <c r="G35" s="793"/>
      <c r="H35" s="793"/>
      <c r="I35" s="793"/>
    </row>
  </sheetData>
  <mergeCells count="38">
    <mergeCell ref="B35:I35"/>
    <mergeCell ref="F22:G22"/>
    <mergeCell ref="F23:G23"/>
    <mergeCell ref="C18:E18"/>
    <mergeCell ref="C19:E19"/>
    <mergeCell ref="C20:E20"/>
    <mergeCell ref="B26:I31"/>
    <mergeCell ref="B33:I33"/>
    <mergeCell ref="F20:G20"/>
    <mergeCell ref="C21:E21"/>
    <mergeCell ref="C22:E22"/>
    <mergeCell ref="B23:E23"/>
    <mergeCell ref="H20:I20"/>
    <mergeCell ref="H21:I21"/>
    <mergeCell ref="H22:I22"/>
    <mergeCell ref="H23:I23"/>
    <mergeCell ref="F21:G21"/>
    <mergeCell ref="H19:I19"/>
    <mergeCell ref="C9:F9"/>
    <mergeCell ref="C10:F10"/>
    <mergeCell ref="C11:F11"/>
    <mergeCell ref="C12:F12"/>
    <mergeCell ref="B13:F13"/>
    <mergeCell ref="B15:H15"/>
    <mergeCell ref="H16:I16"/>
    <mergeCell ref="H17:I17"/>
    <mergeCell ref="H18:I18"/>
    <mergeCell ref="F16:G16"/>
    <mergeCell ref="F17:G17"/>
    <mergeCell ref="F18:G18"/>
    <mergeCell ref="F19:G19"/>
    <mergeCell ref="C16:E16"/>
    <mergeCell ref="C17:E17"/>
    <mergeCell ref="B6:F6"/>
    <mergeCell ref="C7:F7"/>
    <mergeCell ref="C8:F8"/>
    <mergeCell ref="A1:I1"/>
    <mergeCell ref="A2:I2"/>
  </mergeCells>
  <pageMargins left="0.70866141732283472" right="0.70866141732283472" top="0.74803149606299213" bottom="0.7480314960629921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dimension ref="A1:AC207"/>
  <sheetViews>
    <sheetView topLeftCell="A92" workbookViewId="0">
      <selection activeCell="H49" sqref="H49"/>
    </sheetView>
  </sheetViews>
  <sheetFormatPr defaultRowHeight="14.25"/>
  <cols>
    <col min="1" max="1" width="4.28515625" style="328" customWidth="1"/>
    <col min="2" max="2" width="29.7109375" style="328" customWidth="1"/>
    <col min="3" max="3" width="13.5703125" style="328" customWidth="1"/>
    <col min="4" max="4" width="14.5703125" style="328" customWidth="1"/>
    <col min="5" max="5" width="16.140625" style="328" customWidth="1"/>
    <col min="6" max="6" width="13.5703125" style="328" customWidth="1"/>
    <col min="7" max="7" width="15" style="328" customWidth="1"/>
    <col min="8" max="8" width="16.5703125" style="328" customWidth="1"/>
    <col min="9" max="9" width="20.42578125" style="328" hidden="1" customWidth="1"/>
    <col min="10" max="10" width="19.5703125" style="328" hidden="1" customWidth="1"/>
    <col min="11" max="13" width="18.7109375" style="328" hidden="1" customWidth="1"/>
    <col min="14" max="28" width="0" style="328" hidden="1" customWidth="1"/>
    <col min="29" max="29" width="18.7109375" style="328" bestFit="1" customWidth="1"/>
    <col min="30" max="255" width="9.140625" style="328"/>
    <col min="256" max="256" width="6.7109375" style="328" customWidth="1"/>
    <col min="257" max="257" width="95.7109375" style="328" customWidth="1"/>
    <col min="258" max="258" width="16.28515625" style="328" customWidth="1"/>
    <col min="259" max="259" width="12.140625" style="328" customWidth="1"/>
    <col min="260" max="260" width="15.7109375" style="328" customWidth="1"/>
    <col min="261" max="261" width="16.28515625" style="328" customWidth="1"/>
    <col min="262" max="262" width="16" style="328" customWidth="1"/>
    <col min="263" max="263" width="14.85546875" style="328" customWidth="1"/>
    <col min="264" max="264" width="12.7109375" style="328" bestFit="1" customWidth="1"/>
    <col min="265" max="265" width="11.85546875" style="328" customWidth="1"/>
    <col min="266" max="266" width="19.5703125" style="328" customWidth="1"/>
    <col min="267" max="511" width="9.140625" style="328"/>
    <col min="512" max="512" width="6.7109375" style="328" customWidth="1"/>
    <col min="513" max="513" width="95.7109375" style="328" customWidth="1"/>
    <col min="514" max="514" width="16.28515625" style="328" customWidth="1"/>
    <col min="515" max="515" width="12.140625" style="328" customWidth="1"/>
    <col min="516" max="516" width="15.7109375" style="328" customWidth="1"/>
    <col min="517" max="517" width="16.28515625" style="328" customWidth="1"/>
    <col min="518" max="518" width="16" style="328" customWidth="1"/>
    <col min="519" max="519" width="14.85546875" style="328" customWidth="1"/>
    <col min="520" max="520" width="12.7109375" style="328" bestFit="1" customWidth="1"/>
    <col min="521" max="521" width="11.85546875" style="328" customWidth="1"/>
    <col min="522" max="522" width="19.5703125" style="328" customWidth="1"/>
    <col min="523" max="767" width="9.140625" style="328"/>
    <col min="768" max="768" width="6.7109375" style="328" customWidth="1"/>
    <col min="769" max="769" width="95.7109375" style="328" customWidth="1"/>
    <col min="770" max="770" width="16.28515625" style="328" customWidth="1"/>
    <col min="771" max="771" width="12.140625" style="328" customWidth="1"/>
    <col min="772" max="772" width="15.7109375" style="328" customWidth="1"/>
    <col min="773" max="773" width="16.28515625" style="328" customWidth="1"/>
    <col min="774" max="774" width="16" style="328" customWidth="1"/>
    <col min="775" max="775" width="14.85546875" style="328" customWidth="1"/>
    <col min="776" max="776" width="12.7109375" style="328" bestFit="1" customWidth="1"/>
    <col min="777" max="777" width="11.85546875" style="328" customWidth="1"/>
    <col min="778" max="778" width="19.5703125" style="328" customWidth="1"/>
    <col min="779" max="1023" width="9.140625" style="328"/>
    <col min="1024" max="1024" width="6.7109375" style="328" customWidth="1"/>
    <col min="1025" max="1025" width="95.7109375" style="328" customWidth="1"/>
    <col min="1026" max="1026" width="16.28515625" style="328" customWidth="1"/>
    <col min="1027" max="1027" width="12.140625" style="328" customWidth="1"/>
    <col min="1028" max="1028" width="15.7109375" style="328" customWidth="1"/>
    <col min="1029" max="1029" width="16.28515625" style="328" customWidth="1"/>
    <col min="1030" max="1030" width="16" style="328" customWidth="1"/>
    <col min="1031" max="1031" width="14.85546875" style="328" customWidth="1"/>
    <col min="1032" max="1032" width="12.7109375" style="328" bestFit="1" customWidth="1"/>
    <col min="1033" max="1033" width="11.85546875" style="328" customWidth="1"/>
    <col min="1034" max="1034" width="19.5703125" style="328" customWidth="1"/>
    <col min="1035" max="1279" width="9.140625" style="328"/>
    <col min="1280" max="1280" width="6.7109375" style="328" customWidth="1"/>
    <col min="1281" max="1281" width="95.7109375" style="328" customWidth="1"/>
    <col min="1282" max="1282" width="16.28515625" style="328" customWidth="1"/>
    <col min="1283" max="1283" width="12.140625" style="328" customWidth="1"/>
    <col min="1284" max="1284" width="15.7109375" style="328" customWidth="1"/>
    <col min="1285" max="1285" width="16.28515625" style="328" customWidth="1"/>
    <col min="1286" max="1286" width="16" style="328" customWidth="1"/>
    <col min="1287" max="1287" width="14.85546875" style="328" customWidth="1"/>
    <col min="1288" max="1288" width="12.7109375" style="328" bestFit="1" customWidth="1"/>
    <col min="1289" max="1289" width="11.85546875" style="328" customWidth="1"/>
    <col min="1290" max="1290" width="19.5703125" style="328" customWidth="1"/>
    <col min="1291" max="1535" width="9.140625" style="328"/>
    <col min="1536" max="1536" width="6.7109375" style="328" customWidth="1"/>
    <col min="1537" max="1537" width="95.7109375" style="328" customWidth="1"/>
    <col min="1538" max="1538" width="16.28515625" style="328" customWidth="1"/>
    <col min="1539" max="1539" width="12.140625" style="328" customWidth="1"/>
    <col min="1540" max="1540" width="15.7109375" style="328" customWidth="1"/>
    <col min="1541" max="1541" width="16.28515625" style="328" customWidth="1"/>
    <col min="1542" max="1542" width="16" style="328" customWidth="1"/>
    <col min="1543" max="1543" width="14.85546875" style="328" customWidth="1"/>
    <col min="1544" max="1544" width="12.7109375" style="328" bestFit="1" customWidth="1"/>
    <col min="1545" max="1545" width="11.85546875" style="328" customWidth="1"/>
    <col min="1546" max="1546" width="19.5703125" style="328" customWidth="1"/>
    <col min="1547" max="1791" width="9.140625" style="328"/>
    <col min="1792" max="1792" width="6.7109375" style="328" customWidth="1"/>
    <col min="1793" max="1793" width="95.7109375" style="328" customWidth="1"/>
    <col min="1794" max="1794" width="16.28515625" style="328" customWidth="1"/>
    <col min="1795" max="1795" width="12.140625" style="328" customWidth="1"/>
    <col min="1796" max="1796" width="15.7109375" style="328" customWidth="1"/>
    <col min="1797" max="1797" width="16.28515625" style="328" customWidth="1"/>
    <col min="1798" max="1798" width="16" style="328" customWidth="1"/>
    <col min="1799" max="1799" width="14.85546875" style="328" customWidth="1"/>
    <col min="1800" max="1800" width="12.7109375" style="328" bestFit="1" customWidth="1"/>
    <col min="1801" max="1801" width="11.85546875" style="328" customWidth="1"/>
    <col min="1802" max="1802" width="19.5703125" style="328" customWidth="1"/>
    <col min="1803" max="2047" width="9.140625" style="328"/>
    <col min="2048" max="2048" width="6.7109375" style="328" customWidth="1"/>
    <col min="2049" max="2049" width="95.7109375" style="328" customWidth="1"/>
    <col min="2050" max="2050" width="16.28515625" style="328" customWidth="1"/>
    <col min="2051" max="2051" width="12.140625" style="328" customWidth="1"/>
    <col min="2052" max="2052" width="15.7109375" style="328" customWidth="1"/>
    <col min="2053" max="2053" width="16.28515625" style="328" customWidth="1"/>
    <col min="2054" max="2054" width="16" style="328" customWidth="1"/>
    <col min="2055" max="2055" width="14.85546875" style="328" customWidth="1"/>
    <col min="2056" max="2056" width="12.7109375" style="328" bestFit="1" customWidth="1"/>
    <col min="2057" max="2057" width="11.85546875" style="328" customWidth="1"/>
    <col min="2058" max="2058" width="19.5703125" style="328" customWidth="1"/>
    <col min="2059" max="2303" width="9.140625" style="328"/>
    <col min="2304" max="2304" width="6.7109375" style="328" customWidth="1"/>
    <col min="2305" max="2305" width="95.7109375" style="328" customWidth="1"/>
    <col min="2306" max="2306" width="16.28515625" style="328" customWidth="1"/>
    <col min="2307" max="2307" width="12.140625" style="328" customWidth="1"/>
    <col min="2308" max="2308" width="15.7109375" style="328" customWidth="1"/>
    <col min="2309" max="2309" width="16.28515625" style="328" customWidth="1"/>
    <col min="2310" max="2310" width="16" style="328" customWidth="1"/>
    <col min="2311" max="2311" width="14.85546875" style="328" customWidth="1"/>
    <col min="2312" max="2312" width="12.7109375" style="328" bestFit="1" customWidth="1"/>
    <col min="2313" max="2313" width="11.85546875" style="328" customWidth="1"/>
    <col min="2314" max="2314" width="19.5703125" style="328" customWidth="1"/>
    <col min="2315" max="2559" width="9.140625" style="328"/>
    <col min="2560" max="2560" width="6.7109375" style="328" customWidth="1"/>
    <col min="2561" max="2561" width="95.7109375" style="328" customWidth="1"/>
    <col min="2562" max="2562" width="16.28515625" style="328" customWidth="1"/>
    <col min="2563" max="2563" width="12.140625" style="328" customWidth="1"/>
    <col min="2564" max="2564" width="15.7109375" style="328" customWidth="1"/>
    <col min="2565" max="2565" width="16.28515625" style="328" customWidth="1"/>
    <col min="2566" max="2566" width="16" style="328" customWidth="1"/>
    <col min="2567" max="2567" width="14.85546875" style="328" customWidth="1"/>
    <col min="2568" max="2568" width="12.7109375" style="328" bestFit="1" customWidth="1"/>
    <col min="2569" max="2569" width="11.85546875" style="328" customWidth="1"/>
    <col min="2570" max="2570" width="19.5703125" style="328" customWidth="1"/>
    <col min="2571" max="2815" width="9.140625" style="328"/>
    <col min="2816" max="2816" width="6.7109375" style="328" customWidth="1"/>
    <col min="2817" max="2817" width="95.7109375" style="328" customWidth="1"/>
    <col min="2818" max="2818" width="16.28515625" style="328" customWidth="1"/>
    <col min="2819" max="2819" width="12.140625" style="328" customWidth="1"/>
    <col min="2820" max="2820" width="15.7109375" style="328" customWidth="1"/>
    <col min="2821" max="2821" width="16.28515625" style="328" customWidth="1"/>
    <col min="2822" max="2822" width="16" style="328" customWidth="1"/>
    <col min="2823" max="2823" width="14.85546875" style="328" customWidth="1"/>
    <col min="2824" max="2824" width="12.7109375" style="328" bestFit="1" customWidth="1"/>
    <col min="2825" max="2825" width="11.85546875" style="328" customWidth="1"/>
    <col min="2826" max="2826" width="19.5703125" style="328" customWidth="1"/>
    <col min="2827" max="3071" width="9.140625" style="328"/>
    <col min="3072" max="3072" width="6.7109375" style="328" customWidth="1"/>
    <col min="3073" max="3073" width="95.7109375" style="328" customWidth="1"/>
    <col min="3074" max="3074" width="16.28515625" style="328" customWidth="1"/>
    <col min="3075" max="3075" width="12.140625" style="328" customWidth="1"/>
    <col min="3076" max="3076" width="15.7109375" style="328" customWidth="1"/>
    <col min="3077" max="3077" width="16.28515625" style="328" customWidth="1"/>
    <col min="3078" max="3078" width="16" style="328" customWidth="1"/>
    <col min="3079" max="3079" width="14.85546875" style="328" customWidth="1"/>
    <col min="3080" max="3080" width="12.7109375" style="328" bestFit="1" customWidth="1"/>
    <col min="3081" max="3081" width="11.85546875" style="328" customWidth="1"/>
    <col min="3082" max="3082" width="19.5703125" style="328" customWidth="1"/>
    <col min="3083" max="3327" width="9.140625" style="328"/>
    <col min="3328" max="3328" width="6.7109375" style="328" customWidth="1"/>
    <col min="3329" max="3329" width="95.7109375" style="328" customWidth="1"/>
    <col min="3330" max="3330" width="16.28515625" style="328" customWidth="1"/>
    <col min="3331" max="3331" width="12.140625" style="328" customWidth="1"/>
    <col min="3332" max="3332" width="15.7109375" style="328" customWidth="1"/>
    <col min="3333" max="3333" width="16.28515625" style="328" customWidth="1"/>
    <col min="3334" max="3334" width="16" style="328" customWidth="1"/>
    <col min="3335" max="3335" width="14.85546875" style="328" customWidth="1"/>
    <col min="3336" max="3336" width="12.7109375" style="328" bestFit="1" customWidth="1"/>
    <col min="3337" max="3337" width="11.85546875" style="328" customWidth="1"/>
    <col min="3338" max="3338" width="19.5703125" style="328" customWidth="1"/>
    <col min="3339" max="3583" width="9.140625" style="328"/>
    <col min="3584" max="3584" width="6.7109375" style="328" customWidth="1"/>
    <col min="3585" max="3585" width="95.7109375" style="328" customWidth="1"/>
    <col min="3586" max="3586" width="16.28515625" style="328" customWidth="1"/>
    <col min="3587" max="3587" width="12.140625" style="328" customWidth="1"/>
    <col min="3588" max="3588" width="15.7109375" style="328" customWidth="1"/>
    <col min="3589" max="3589" width="16.28515625" style="328" customWidth="1"/>
    <col min="3590" max="3590" width="16" style="328" customWidth="1"/>
    <col min="3591" max="3591" width="14.85546875" style="328" customWidth="1"/>
    <col min="3592" max="3592" width="12.7109375" style="328" bestFit="1" customWidth="1"/>
    <col min="3593" max="3593" width="11.85546875" style="328" customWidth="1"/>
    <col min="3594" max="3594" width="19.5703125" style="328" customWidth="1"/>
    <col min="3595" max="3839" width="9.140625" style="328"/>
    <col min="3840" max="3840" width="6.7109375" style="328" customWidth="1"/>
    <col min="3841" max="3841" width="95.7109375" style="328" customWidth="1"/>
    <col min="3842" max="3842" width="16.28515625" style="328" customWidth="1"/>
    <col min="3843" max="3843" width="12.140625" style="328" customWidth="1"/>
    <col min="3844" max="3844" width="15.7109375" style="328" customWidth="1"/>
    <col min="3845" max="3845" width="16.28515625" style="328" customWidth="1"/>
    <col min="3846" max="3846" width="16" style="328" customWidth="1"/>
    <col min="3847" max="3847" width="14.85546875" style="328" customWidth="1"/>
    <col min="3848" max="3848" width="12.7109375" style="328" bestFit="1" customWidth="1"/>
    <col min="3849" max="3849" width="11.85546875" style="328" customWidth="1"/>
    <col min="3850" max="3850" width="19.5703125" style="328" customWidth="1"/>
    <col min="3851" max="4095" width="9.140625" style="328"/>
    <col min="4096" max="4096" width="6.7109375" style="328" customWidth="1"/>
    <col min="4097" max="4097" width="95.7109375" style="328" customWidth="1"/>
    <col min="4098" max="4098" width="16.28515625" style="328" customWidth="1"/>
    <col min="4099" max="4099" width="12.140625" style="328" customWidth="1"/>
    <col min="4100" max="4100" width="15.7109375" style="328" customWidth="1"/>
    <col min="4101" max="4101" width="16.28515625" style="328" customWidth="1"/>
    <col min="4102" max="4102" width="16" style="328" customWidth="1"/>
    <col min="4103" max="4103" width="14.85546875" style="328" customWidth="1"/>
    <col min="4104" max="4104" width="12.7109375" style="328" bestFit="1" customWidth="1"/>
    <col min="4105" max="4105" width="11.85546875" style="328" customWidth="1"/>
    <col min="4106" max="4106" width="19.5703125" style="328" customWidth="1"/>
    <col min="4107" max="4351" width="9.140625" style="328"/>
    <col min="4352" max="4352" width="6.7109375" style="328" customWidth="1"/>
    <col min="4353" max="4353" width="95.7109375" style="328" customWidth="1"/>
    <col min="4354" max="4354" width="16.28515625" style="328" customWidth="1"/>
    <col min="4355" max="4355" width="12.140625" style="328" customWidth="1"/>
    <col min="4356" max="4356" width="15.7109375" style="328" customWidth="1"/>
    <col min="4357" max="4357" width="16.28515625" style="328" customWidth="1"/>
    <col min="4358" max="4358" width="16" style="328" customWidth="1"/>
    <col min="4359" max="4359" width="14.85546875" style="328" customWidth="1"/>
    <col min="4360" max="4360" width="12.7109375" style="328" bestFit="1" customWidth="1"/>
    <col min="4361" max="4361" width="11.85546875" style="328" customWidth="1"/>
    <col min="4362" max="4362" width="19.5703125" style="328" customWidth="1"/>
    <col min="4363" max="4607" width="9.140625" style="328"/>
    <col min="4608" max="4608" width="6.7109375" style="328" customWidth="1"/>
    <col min="4609" max="4609" width="95.7109375" style="328" customWidth="1"/>
    <col min="4610" max="4610" width="16.28515625" style="328" customWidth="1"/>
    <col min="4611" max="4611" width="12.140625" style="328" customWidth="1"/>
    <col min="4612" max="4612" width="15.7109375" style="328" customWidth="1"/>
    <col min="4613" max="4613" width="16.28515625" style="328" customWidth="1"/>
    <col min="4614" max="4614" width="16" style="328" customWidth="1"/>
    <col min="4615" max="4615" width="14.85546875" style="328" customWidth="1"/>
    <col min="4616" max="4616" width="12.7109375" style="328" bestFit="1" customWidth="1"/>
    <col min="4617" max="4617" width="11.85546875" style="328" customWidth="1"/>
    <col min="4618" max="4618" width="19.5703125" style="328" customWidth="1"/>
    <col min="4619" max="4863" width="9.140625" style="328"/>
    <col min="4864" max="4864" width="6.7109375" style="328" customWidth="1"/>
    <col min="4865" max="4865" width="95.7109375" style="328" customWidth="1"/>
    <col min="4866" max="4866" width="16.28515625" style="328" customWidth="1"/>
    <col min="4867" max="4867" width="12.140625" style="328" customWidth="1"/>
    <col min="4868" max="4868" width="15.7109375" style="328" customWidth="1"/>
    <col min="4869" max="4869" width="16.28515625" style="328" customWidth="1"/>
    <col min="4870" max="4870" width="16" style="328" customWidth="1"/>
    <col min="4871" max="4871" width="14.85546875" style="328" customWidth="1"/>
    <col min="4872" max="4872" width="12.7109375" style="328" bestFit="1" customWidth="1"/>
    <col min="4873" max="4873" width="11.85546875" style="328" customWidth="1"/>
    <col min="4874" max="4874" width="19.5703125" style="328" customWidth="1"/>
    <col min="4875" max="5119" width="9.140625" style="328"/>
    <col min="5120" max="5120" width="6.7109375" style="328" customWidth="1"/>
    <col min="5121" max="5121" width="95.7109375" style="328" customWidth="1"/>
    <col min="5122" max="5122" width="16.28515625" style="328" customWidth="1"/>
    <col min="5123" max="5123" width="12.140625" style="328" customWidth="1"/>
    <col min="5124" max="5124" width="15.7109375" style="328" customWidth="1"/>
    <col min="5125" max="5125" width="16.28515625" style="328" customWidth="1"/>
    <col min="5126" max="5126" width="16" style="328" customWidth="1"/>
    <col min="5127" max="5127" width="14.85546875" style="328" customWidth="1"/>
    <col min="5128" max="5128" width="12.7109375" style="328" bestFit="1" customWidth="1"/>
    <col min="5129" max="5129" width="11.85546875" style="328" customWidth="1"/>
    <col min="5130" max="5130" width="19.5703125" style="328" customWidth="1"/>
    <col min="5131" max="5375" width="9.140625" style="328"/>
    <col min="5376" max="5376" width="6.7109375" style="328" customWidth="1"/>
    <col min="5377" max="5377" width="95.7109375" style="328" customWidth="1"/>
    <col min="5378" max="5378" width="16.28515625" style="328" customWidth="1"/>
    <col min="5379" max="5379" width="12.140625" style="328" customWidth="1"/>
    <col min="5380" max="5380" width="15.7109375" style="328" customWidth="1"/>
    <col min="5381" max="5381" width="16.28515625" style="328" customWidth="1"/>
    <col min="5382" max="5382" width="16" style="328" customWidth="1"/>
    <col min="5383" max="5383" width="14.85546875" style="328" customWidth="1"/>
    <col min="5384" max="5384" width="12.7109375" style="328" bestFit="1" customWidth="1"/>
    <col min="5385" max="5385" width="11.85546875" style="328" customWidth="1"/>
    <col min="5386" max="5386" width="19.5703125" style="328" customWidth="1"/>
    <col min="5387" max="5631" width="9.140625" style="328"/>
    <col min="5632" max="5632" width="6.7109375" style="328" customWidth="1"/>
    <col min="5633" max="5633" width="95.7109375" style="328" customWidth="1"/>
    <col min="5634" max="5634" width="16.28515625" style="328" customWidth="1"/>
    <col min="5635" max="5635" width="12.140625" style="328" customWidth="1"/>
    <col min="5636" max="5636" width="15.7109375" style="328" customWidth="1"/>
    <col min="5637" max="5637" width="16.28515625" style="328" customWidth="1"/>
    <col min="5638" max="5638" width="16" style="328" customWidth="1"/>
    <col min="5639" max="5639" width="14.85546875" style="328" customWidth="1"/>
    <col min="5640" max="5640" width="12.7109375" style="328" bestFit="1" customWidth="1"/>
    <col min="5641" max="5641" width="11.85546875" style="328" customWidth="1"/>
    <col min="5642" max="5642" width="19.5703125" style="328" customWidth="1"/>
    <col min="5643" max="5887" width="9.140625" style="328"/>
    <col min="5888" max="5888" width="6.7109375" style="328" customWidth="1"/>
    <col min="5889" max="5889" width="95.7109375" style="328" customWidth="1"/>
    <col min="5890" max="5890" width="16.28515625" style="328" customWidth="1"/>
    <col min="5891" max="5891" width="12.140625" style="328" customWidth="1"/>
    <col min="5892" max="5892" width="15.7109375" style="328" customWidth="1"/>
    <col min="5893" max="5893" width="16.28515625" style="328" customWidth="1"/>
    <col min="5894" max="5894" width="16" style="328" customWidth="1"/>
    <col min="5895" max="5895" width="14.85546875" style="328" customWidth="1"/>
    <col min="5896" max="5896" width="12.7109375" style="328" bestFit="1" customWidth="1"/>
    <col min="5897" max="5897" width="11.85546875" style="328" customWidth="1"/>
    <col min="5898" max="5898" width="19.5703125" style="328" customWidth="1"/>
    <col min="5899" max="6143" width="9.140625" style="328"/>
    <col min="6144" max="6144" width="6.7109375" style="328" customWidth="1"/>
    <col min="6145" max="6145" width="95.7109375" style="328" customWidth="1"/>
    <col min="6146" max="6146" width="16.28515625" style="328" customWidth="1"/>
    <col min="6147" max="6147" width="12.140625" style="328" customWidth="1"/>
    <col min="6148" max="6148" width="15.7109375" style="328" customWidth="1"/>
    <col min="6149" max="6149" width="16.28515625" style="328" customWidth="1"/>
    <col min="6150" max="6150" width="16" style="328" customWidth="1"/>
    <col min="6151" max="6151" width="14.85546875" style="328" customWidth="1"/>
    <col min="6152" max="6152" width="12.7109375" style="328" bestFit="1" customWidth="1"/>
    <col min="6153" max="6153" width="11.85546875" style="328" customWidth="1"/>
    <col min="6154" max="6154" width="19.5703125" style="328" customWidth="1"/>
    <col min="6155" max="6399" width="9.140625" style="328"/>
    <col min="6400" max="6400" width="6.7109375" style="328" customWidth="1"/>
    <col min="6401" max="6401" width="95.7109375" style="328" customWidth="1"/>
    <col min="6402" max="6402" width="16.28515625" style="328" customWidth="1"/>
    <col min="6403" max="6403" width="12.140625" style="328" customWidth="1"/>
    <col min="6404" max="6404" width="15.7109375" style="328" customWidth="1"/>
    <col min="6405" max="6405" width="16.28515625" style="328" customWidth="1"/>
    <col min="6406" max="6406" width="16" style="328" customWidth="1"/>
    <col min="6407" max="6407" width="14.85546875" style="328" customWidth="1"/>
    <col min="6408" max="6408" width="12.7109375" style="328" bestFit="1" customWidth="1"/>
    <col min="6409" max="6409" width="11.85546875" style="328" customWidth="1"/>
    <col min="6410" max="6410" width="19.5703125" style="328" customWidth="1"/>
    <col min="6411" max="6655" width="9.140625" style="328"/>
    <col min="6656" max="6656" width="6.7109375" style="328" customWidth="1"/>
    <col min="6657" max="6657" width="95.7109375" style="328" customWidth="1"/>
    <col min="6658" max="6658" width="16.28515625" style="328" customWidth="1"/>
    <col min="6659" max="6659" width="12.140625" style="328" customWidth="1"/>
    <col min="6660" max="6660" width="15.7109375" style="328" customWidth="1"/>
    <col min="6661" max="6661" width="16.28515625" style="328" customWidth="1"/>
    <col min="6662" max="6662" width="16" style="328" customWidth="1"/>
    <col min="6663" max="6663" width="14.85546875" style="328" customWidth="1"/>
    <col min="6664" max="6664" width="12.7109375" style="328" bestFit="1" customWidth="1"/>
    <col min="6665" max="6665" width="11.85546875" style="328" customWidth="1"/>
    <col min="6666" max="6666" width="19.5703125" style="328" customWidth="1"/>
    <col min="6667" max="6911" width="9.140625" style="328"/>
    <col min="6912" max="6912" width="6.7109375" style="328" customWidth="1"/>
    <col min="6913" max="6913" width="95.7109375" style="328" customWidth="1"/>
    <col min="6914" max="6914" width="16.28515625" style="328" customWidth="1"/>
    <col min="6915" max="6915" width="12.140625" style="328" customWidth="1"/>
    <col min="6916" max="6916" width="15.7109375" style="328" customWidth="1"/>
    <col min="6917" max="6917" width="16.28515625" style="328" customWidth="1"/>
    <col min="6918" max="6918" width="16" style="328" customWidth="1"/>
    <col min="6919" max="6919" width="14.85546875" style="328" customWidth="1"/>
    <col min="6920" max="6920" width="12.7109375" style="328" bestFit="1" customWidth="1"/>
    <col min="6921" max="6921" width="11.85546875" style="328" customWidth="1"/>
    <col min="6922" max="6922" width="19.5703125" style="328" customWidth="1"/>
    <col min="6923" max="7167" width="9.140625" style="328"/>
    <col min="7168" max="7168" width="6.7109375" style="328" customWidth="1"/>
    <col min="7169" max="7169" width="95.7109375" style="328" customWidth="1"/>
    <col min="7170" max="7170" width="16.28515625" style="328" customWidth="1"/>
    <col min="7171" max="7171" width="12.140625" style="328" customWidth="1"/>
    <col min="7172" max="7172" width="15.7109375" style="328" customWidth="1"/>
    <col min="7173" max="7173" width="16.28515625" style="328" customWidth="1"/>
    <col min="7174" max="7174" width="16" style="328" customWidth="1"/>
    <col min="7175" max="7175" width="14.85546875" style="328" customWidth="1"/>
    <col min="7176" max="7176" width="12.7109375" style="328" bestFit="1" customWidth="1"/>
    <col min="7177" max="7177" width="11.85546875" style="328" customWidth="1"/>
    <col min="7178" max="7178" width="19.5703125" style="328" customWidth="1"/>
    <col min="7179" max="7423" width="9.140625" style="328"/>
    <col min="7424" max="7424" width="6.7109375" style="328" customWidth="1"/>
    <col min="7425" max="7425" width="95.7109375" style="328" customWidth="1"/>
    <col min="7426" max="7426" width="16.28515625" style="328" customWidth="1"/>
    <col min="7427" max="7427" width="12.140625" style="328" customWidth="1"/>
    <col min="7428" max="7428" width="15.7109375" style="328" customWidth="1"/>
    <col min="7429" max="7429" width="16.28515625" style="328" customWidth="1"/>
    <col min="7430" max="7430" width="16" style="328" customWidth="1"/>
    <col min="7431" max="7431" width="14.85546875" style="328" customWidth="1"/>
    <col min="7432" max="7432" width="12.7109375" style="328" bestFit="1" customWidth="1"/>
    <col min="7433" max="7433" width="11.85546875" style="328" customWidth="1"/>
    <col min="7434" max="7434" width="19.5703125" style="328" customWidth="1"/>
    <col min="7435" max="7679" width="9.140625" style="328"/>
    <col min="7680" max="7680" width="6.7109375" style="328" customWidth="1"/>
    <col min="7681" max="7681" width="95.7109375" style="328" customWidth="1"/>
    <col min="7682" max="7682" width="16.28515625" style="328" customWidth="1"/>
    <col min="7683" max="7683" width="12.140625" style="328" customWidth="1"/>
    <col min="7684" max="7684" width="15.7109375" style="328" customWidth="1"/>
    <col min="7685" max="7685" width="16.28515625" style="328" customWidth="1"/>
    <col min="7686" max="7686" width="16" style="328" customWidth="1"/>
    <col min="7687" max="7687" width="14.85546875" style="328" customWidth="1"/>
    <col min="7688" max="7688" width="12.7109375" style="328" bestFit="1" customWidth="1"/>
    <col min="7689" max="7689" width="11.85546875" style="328" customWidth="1"/>
    <col min="7690" max="7690" width="19.5703125" style="328" customWidth="1"/>
    <col min="7691" max="7935" width="9.140625" style="328"/>
    <col min="7936" max="7936" width="6.7109375" style="328" customWidth="1"/>
    <col min="7937" max="7937" width="95.7109375" style="328" customWidth="1"/>
    <col min="7938" max="7938" width="16.28515625" style="328" customWidth="1"/>
    <col min="7939" max="7939" width="12.140625" style="328" customWidth="1"/>
    <col min="7940" max="7940" width="15.7109375" style="328" customWidth="1"/>
    <col min="7941" max="7941" width="16.28515625" style="328" customWidth="1"/>
    <col min="7942" max="7942" width="16" style="328" customWidth="1"/>
    <col min="7943" max="7943" width="14.85546875" style="328" customWidth="1"/>
    <col min="7944" max="7944" width="12.7109375" style="328" bestFit="1" customWidth="1"/>
    <col min="7945" max="7945" width="11.85546875" style="328" customWidth="1"/>
    <col min="7946" max="7946" width="19.5703125" style="328" customWidth="1"/>
    <col min="7947" max="8191" width="9.140625" style="328"/>
    <col min="8192" max="8192" width="6.7109375" style="328" customWidth="1"/>
    <col min="8193" max="8193" width="95.7109375" style="328" customWidth="1"/>
    <col min="8194" max="8194" width="16.28515625" style="328" customWidth="1"/>
    <col min="8195" max="8195" width="12.140625" style="328" customWidth="1"/>
    <col min="8196" max="8196" width="15.7109375" style="328" customWidth="1"/>
    <col min="8197" max="8197" width="16.28515625" style="328" customWidth="1"/>
    <col min="8198" max="8198" width="16" style="328" customWidth="1"/>
    <col min="8199" max="8199" width="14.85546875" style="328" customWidth="1"/>
    <col min="8200" max="8200" width="12.7109375" style="328" bestFit="1" customWidth="1"/>
    <col min="8201" max="8201" width="11.85546875" style="328" customWidth="1"/>
    <col min="8202" max="8202" width="19.5703125" style="328" customWidth="1"/>
    <col min="8203" max="8447" width="9.140625" style="328"/>
    <col min="8448" max="8448" width="6.7109375" style="328" customWidth="1"/>
    <col min="8449" max="8449" width="95.7109375" style="328" customWidth="1"/>
    <col min="8450" max="8450" width="16.28515625" style="328" customWidth="1"/>
    <col min="8451" max="8451" width="12.140625" style="328" customWidth="1"/>
    <col min="8452" max="8452" width="15.7109375" style="328" customWidth="1"/>
    <col min="8453" max="8453" width="16.28515625" style="328" customWidth="1"/>
    <col min="8454" max="8454" width="16" style="328" customWidth="1"/>
    <col min="8455" max="8455" width="14.85546875" style="328" customWidth="1"/>
    <col min="8456" max="8456" width="12.7109375" style="328" bestFit="1" customWidth="1"/>
    <col min="8457" max="8457" width="11.85546875" style="328" customWidth="1"/>
    <col min="8458" max="8458" width="19.5703125" style="328" customWidth="1"/>
    <col min="8459" max="8703" width="9.140625" style="328"/>
    <col min="8704" max="8704" width="6.7109375" style="328" customWidth="1"/>
    <col min="8705" max="8705" width="95.7109375" style="328" customWidth="1"/>
    <col min="8706" max="8706" width="16.28515625" style="328" customWidth="1"/>
    <col min="8707" max="8707" width="12.140625" style="328" customWidth="1"/>
    <col min="8708" max="8708" width="15.7109375" style="328" customWidth="1"/>
    <col min="8709" max="8709" width="16.28515625" style="328" customWidth="1"/>
    <col min="8710" max="8710" width="16" style="328" customWidth="1"/>
    <col min="8711" max="8711" width="14.85546875" style="328" customWidth="1"/>
    <col min="8712" max="8712" width="12.7109375" style="328" bestFit="1" customWidth="1"/>
    <col min="8713" max="8713" width="11.85546875" style="328" customWidth="1"/>
    <col min="8714" max="8714" width="19.5703125" style="328" customWidth="1"/>
    <col min="8715" max="8959" width="9.140625" style="328"/>
    <col min="8960" max="8960" width="6.7109375" style="328" customWidth="1"/>
    <col min="8961" max="8961" width="95.7109375" style="328" customWidth="1"/>
    <col min="8962" max="8962" width="16.28515625" style="328" customWidth="1"/>
    <col min="8963" max="8963" width="12.140625" style="328" customWidth="1"/>
    <col min="8964" max="8964" width="15.7109375" style="328" customWidth="1"/>
    <col min="8965" max="8965" width="16.28515625" style="328" customWidth="1"/>
    <col min="8966" max="8966" width="16" style="328" customWidth="1"/>
    <col min="8967" max="8967" width="14.85546875" style="328" customWidth="1"/>
    <col min="8968" max="8968" width="12.7109375" style="328" bestFit="1" customWidth="1"/>
    <col min="8969" max="8969" width="11.85546875" style="328" customWidth="1"/>
    <col min="8970" max="8970" width="19.5703125" style="328" customWidth="1"/>
    <col min="8971" max="9215" width="9.140625" style="328"/>
    <col min="9216" max="9216" width="6.7109375" style="328" customWidth="1"/>
    <col min="9217" max="9217" width="95.7109375" style="328" customWidth="1"/>
    <col min="9218" max="9218" width="16.28515625" style="328" customWidth="1"/>
    <col min="9219" max="9219" width="12.140625" style="328" customWidth="1"/>
    <col min="9220" max="9220" width="15.7109375" style="328" customWidth="1"/>
    <col min="9221" max="9221" width="16.28515625" style="328" customWidth="1"/>
    <col min="9222" max="9222" width="16" style="328" customWidth="1"/>
    <col min="9223" max="9223" width="14.85546875" style="328" customWidth="1"/>
    <col min="9224" max="9224" width="12.7109375" style="328" bestFit="1" customWidth="1"/>
    <col min="9225" max="9225" width="11.85546875" style="328" customWidth="1"/>
    <col min="9226" max="9226" width="19.5703125" style="328" customWidth="1"/>
    <col min="9227" max="9471" width="9.140625" style="328"/>
    <col min="9472" max="9472" width="6.7109375" style="328" customWidth="1"/>
    <col min="9473" max="9473" width="95.7109375" style="328" customWidth="1"/>
    <col min="9474" max="9474" width="16.28515625" style="328" customWidth="1"/>
    <col min="9475" max="9475" width="12.140625" style="328" customWidth="1"/>
    <col min="9476" max="9476" width="15.7109375" style="328" customWidth="1"/>
    <col min="9477" max="9477" width="16.28515625" style="328" customWidth="1"/>
    <col min="9478" max="9478" width="16" style="328" customWidth="1"/>
    <col min="9479" max="9479" width="14.85546875" style="328" customWidth="1"/>
    <col min="9480" max="9480" width="12.7109375" style="328" bestFit="1" customWidth="1"/>
    <col min="9481" max="9481" width="11.85546875" style="328" customWidth="1"/>
    <col min="9482" max="9482" width="19.5703125" style="328" customWidth="1"/>
    <col min="9483" max="9727" width="9.140625" style="328"/>
    <col min="9728" max="9728" width="6.7109375" style="328" customWidth="1"/>
    <col min="9729" max="9729" width="95.7109375" style="328" customWidth="1"/>
    <col min="9730" max="9730" width="16.28515625" style="328" customWidth="1"/>
    <col min="9731" max="9731" width="12.140625" style="328" customWidth="1"/>
    <col min="9732" max="9732" width="15.7109375" style="328" customWidth="1"/>
    <col min="9733" max="9733" width="16.28515625" style="328" customWidth="1"/>
    <col min="9734" max="9734" width="16" style="328" customWidth="1"/>
    <col min="9735" max="9735" width="14.85546875" style="328" customWidth="1"/>
    <col min="9736" max="9736" width="12.7109375" style="328" bestFit="1" customWidth="1"/>
    <col min="9737" max="9737" width="11.85546875" style="328" customWidth="1"/>
    <col min="9738" max="9738" width="19.5703125" style="328" customWidth="1"/>
    <col min="9739" max="9983" width="9.140625" style="328"/>
    <col min="9984" max="9984" width="6.7109375" style="328" customWidth="1"/>
    <col min="9985" max="9985" width="95.7109375" style="328" customWidth="1"/>
    <col min="9986" max="9986" width="16.28515625" style="328" customWidth="1"/>
    <col min="9987" max="9987" width="12.140625" style="328" customWidth="1"/>
    <col min="9988" max="9988" width="15.7109375" style="328" customWidth="1"/>
    <col min="9989" max="9989" width="16.28515625" style="328" customWidth="1"/>
    <col min="9990" max="9990" width="16" style="328" customWidth="1"/>
    <col min="9991" max="9991" width="14.85546875" style="328" customWidth="1"/>
    <col min="9992" max="9992" width="12.7109375" style="328" bestFit="1" customWidth="1"/>
    <col min="9993" max="9993" width="11.85546875" style="328" customWidth="1"/>
    <col min="9994" max="9994" width="19.5703125" style="328" customWidth="1"/>
    <col min="9995" max="10239" width="9.140625" style="328"/>
    <col min="10240" max="10240" width="6.7109375" style="328" customWidth="1"/>
    <col min="10241" max="10241" width="95.7109375" style="328" customWidth="1"/>
    <col min="10242" max="10242" width="16.28515625" style="328" customWidth="1"/>
    <col min="10243" max="10243" width="12.140625" style="328" customWidth="1"/>
    <col min="10244" max="10244" width="15.7109375" style="328" customWidth="1"/>
    <col min="10245" max="10245" width="16.28515625" style="328" customWidth="1"/>
    <col min="10246" max="10246" width="16" style="328" customWidth="1"/>
    <col min="10247" max="10247" width="14.85546875" style="328" customWidth="1"/>
    <col min="10248" max="10248" width="12.7109375" style="328" bestFit="1" customWidth="1"/>
    <col min="10249" max="10249" width="11.85546875" style="328" customWidth="1"/>
    <col min="10250" max="10250" width="19.5703125" style="328" customWidth="1"/>
    <col min="10251" max="10495" width="9.140625" style="328"/>
    <col min="10496" max="10496" width="6.7109375" style="328" customWidth="1"/>
    <col min="10497" max="10497" width="95.7109375" style="328" customWidth="1"/>
    <col min="10498" max="10498" width="16.28515625" style="328" customWidth="1"/>
    <col min="10499" max="10499" width="12.140625" style="328" customWidth="1"/>
    <col min="10500" max="10500" width="15.7109375" style="328" customWidth="1"/>
    <col min="10501" max="10501" width="16.28515625" style="328" customWidth="1"/>
    <col min="10502" max="10502" width="16" style="328" customWidth="1"/>
    <col min="10503" max="10503" width="14.85546875" style="328" customWidth="1"/>
    <col min="10504" max="10504" width="12.7109375" style="328" bestFit="1" customWidth="1"/>
    <col min="10505" max="10505" width="11.85546875" style="328" customWidth="1"/>
    <col min="10506" max="10506" width="19.5703125" style="328" customWidth="1"/>
    <col min="10507" max="10751" width="9.140625" style="328"/>
    <col min="10752" max="10752" width="6.7109375" style="328" customWidth="1"/>
    <col min="10753" max="10753" width="95.7109375" style="328" customWidth="1"/>
    <col min="10754" max="10754" width="16.28515625" style="328" customWidth="1"/>
    <col min="10755" max="10755" width="12.140625" style="328" customWidth="1"/>
    <col min="10756" max="10756" width="15.7109375" style="328" customWidth="1"/>
    <col min="10757" max="10757" width="16.28515625" style="328" customWidth="1"/>
    <col min="10758" max="10758" width="16" style="328" customWidth="1"/>
    <col min="10759" max="10759" width="14.85546875" style="328" customWidth="1"/>
    <col min="10760" max="10760" width="12.7109375" style="328" bestFit="1" customWidth="1"/>
    <col min="10761" max="10761" width="11.85546875" style="328" customWidth="1"/>
    <col min="10762" max="10762" width="19.5703125" style="328" customWidth="1"/>
    <col min="10763" max="11007" width="9.140625" style="328"/>
    <col min="11008" max="11008" width="6.7109375" style="328" customWidth="1"/>
    <col min="11009" max="11009" width="95.7109375" style="328" customWidth="1"/>
    <col min="11010" max="11010" width="16.28515625" style="328" customWidth="1"/>
    <col min="11011" max="11011" width="12.140625" style="328" customWidth="1"/>
    <col min="11012" max="11012" width="15.7109375" style="328" customWidth="1"/>
    <col min="11013" max="11013" width="16.28515625" style="328" customWidth="1"/>
    <col min="11014" max="11014" width="16" style="328" customWidth="1"/>
    <col min="11015" max="11015" width="14.85546875" style="328" customWidth="1"/>
    <col min="11016" max="11016" width="12.7109375" style="328" bestFit="1" customWidth="1"/>
    <col min="11017" max="11017" width="11.85546875" style="328" customWidth="1"/>
    <col min="11018" max="11018" width="19.5703125" style="328" customWidth="1"/>
    <col min="11019" max="11263" width="9.140625" style="328"/>
    <col min="11264" max="11264" width="6.7109375" style="328" customWidth="1"/>
    <col min="11265" max="11265" width="95.7109375" style="328" customWidth="1"/>
    <col min="11266" max="11266" width="16.28515625" style="328" customWidth="1"/>
    <col min="11267" max="11267" width="12.140625" style="328" customWidth="1"/>
    <col min="11268" max="11268" width="15.7109375" style="328" customWidth="1"/>
    <col min="11269" max="11269" width="16.28515625" style="328" customWidth="1"/>
    <col min="11270" max="11270" width="16" style="328" customWidth="1"/>
    <col min="11271" max="11271" width="14.85546875" style="328" customWidth="1"/>
    <col min="11272" max="11272" width="12.7109375" style="328" bestFit="1" customWidth="1"/>
    <col min="11273" max="11273" width="11.85546875" style="328" customWidth="1"/>
    <col min="11274" max="11274" width="19.5703125" style="328" customWidth="1"/>
    <col min="11275" max="11519" width="9.140625" style="328"/>
    <col min="11520" max="11520" width="6.7109375" style="328" customWidth="1"/>
    <col min="11521" max="11521" width="95.7109375" style="328" customWidth="1"/>
    <col min="11522" max="11522" width="16.28515625" style="328" customWidth="1"/>
    <col min="11523" max="11523" width="12.140625" style="328" customWidth="1"/>
    <col min="11524" max="11524" width="15.7109375" style="328" customWidth="1"/>
    <col min="11525" max="11525" width="16.28515625" style="328" customWidth="1"/>
    <col min="11526" max="11526" width="16" style="328" customWidth="1"/>
    <col min="11527" max="11527" width="14.85546875" style="328" customWidth="1"/>
    <col min="11528" max="11528" width="12.7109375" style="328" bestFit="1" customWidth="1"/>
    <col min="11529" max="11529" width="11.85546875" style="328" customWidth="1"/>
    <col min="11530" max="11530" width="19.5703125" style="328" customWidth="1"/>
    <col min="11531" max="11775" width="9.140625" style="328"/>
    <col min="11776" max="11776" width="6.7109375" style="328" customWidth="1"/>
    <col min="11777" max="11777" width="95.7109375" style="328" customWidth="1"/>
    <col min="11778" max="11778" width="16.28515625" style="328" customWidth="1"/>
    <col min="11779" max="11779" width="12.140625" style="328" customWidth="1"/>
    <col min="11780" max="11780" width="15.7109375" style="328" customWidth="1"/>
    <col min="11781" max="11781" width="16.28515625" style="328" customWidth="1"/>
    <col min="11782" max="11782" width="16" style="328" customWidth="1"/>
    <col min="11783" max="11783" width="14.85546875" style="328" customWidth="1"/>
    <col min="11784" max="11784" width="12.7109375" style="328" bestFit="1" customWidth="1"/>
    <col min="11785" max="11785" width="11.85546875" style="328" customWidth="1"/>
    <col min="11786" max="11786" width="19.5703125" style="328" customWidth="1"/>
    <col min="11787" max="12031" width="9.140625" style="328"/>
    <col min="12032" max="12032" width="6.7109375" style="328" customWidth="1"/>
    <col min="12033" max="12033" width="95.7109375" style="328" customWidth="1"/>
    <col min="12034" max="12034" width="16.28515625" style="328" customWidth="1"/>
    <col min="12035" max="12035" width="12.140625" style="328" customWidth="1"/>
    <col min="12036" max="12036" width="15.7109375" style="328" customWidth="1"/>
    <col min="12037" max="12037" width="16.28515625" style="328" customWidth="1"/>
    <col min="12038" max="12038" width="16" style="328" customWidth="1"/>
    <col min="12039" max="12039" width="14.85546875" style="328" customWidth="1"/>
    <col min="12040" max="12040" width="12.7109375" style="328" bestFit="1" customWidth="1"/>
    <col min="12041" max="12041" width="11.85546875" style="328" customWidth="1"/>
    <col min="12042" max="12042" width="19.5703125" style="328" customWidth="1"/>
    <col min="12043" max="12287" width="9.140625" style="328"/>
    <col min="12288" max="12288" width="6.7109375" style="328" customWidth="1"/>
    <col min="12289" max="12289" width="95.7109375" style="328" customWidth="1"/>
    <col min="12290" max="12290" width="16.28515625" style="328" customWidth="1"/>
    <col min="12291" max="12291" width="12.140625" style="328" customWidth="1"/>
    <col min="12292" max="12292" width="15.7109375" style="328" customWidth="1"/>
    <col min="12293" max="12293" width="16.28515625" style="328" customWidth="1"/>
    <col min="12294" max="12294" width="16" style="328" customWidth="1"/>
    <col min="12295" max="12295" width="14.85546875" style="328" customWidth="1"/>
    <col min="12296" max="12296" width="12.7109375" style="328" bestFit="1" customWidth="1"/>
    <col min="12297" max="12297" width="11.85546875" style="328" customWidth="1"/>
    <col min="12298" max="12298" width="19.5703125" style="328" customWidth="1"/>
    <col min="12299" max="12543" width="9.140625" style="328"/>
    <col min="12544" max="12544" width="6.7109375" style="328" customWidth="1"/>
    <col min="12545" max="12545" width="95.7109375" style="328" customWidth="1"/>
    <col min="12546" max="12546" width="16.28515625" style="328" customWidth="1"/>
    <col min="12547" max="12547" width="12.140625" style="328" customWidth="1"/>
    <col min="12548" max="12548" width="15.7109375" style="328" customWidth="1"/>
    <col min="12549" max="12549" width="16.28515625" style="328" customWidth="1"/>
    <col min="12550" max="12550" width="16" style="328" customWidth="1"/>
    <col min="12551" max="12551" width="14.85546875" style="328" customWidth="1"/>
    <col min="12552" max="12552" width="12.7109375" style="328" bestFit="1" customWidth="1"/>
    <col min="12553" max="12553" width="11.85546875" style="328" customWidth="1"/>
    <col min="12554" max="12554" width="19.5703125" style="328" customWidth="1"/>
    <col min="12555" max="12799" width="9.140625" style="328"/>
    <col min="12800" max="12800" width="6.7109375" style="328" customWidth="1"/>
    <col min="12801" max="12801" width="95.7109375" style="328" customWidth="1"/>
    <col min="12802" max="12802" width="16.28515625" style="328" customWidth="1"/>
    <col min="12803" max="12803" width="12.140625" style="328" customWidth="1"/>
    <col min="12804" max="12804" width="15.7109375" style="328" customWidth="1"/>
    <col min="12805" max="12805" width="16.28515625" style="328" customWidth="1"/>
    <col min="12806" max="12806" width="16" style="328" customWidth="1"/>
    <col min="12807" max="12807" width="14.85546875" style="328" customWidth="1"/>
    <col min="12808" max="12808" width="12.7109375" style="328" bestFit="1" customWidth="1"/>
    <col min="12809" max="12809" width="11.85546875" style="328" customWidth="1"/>
    <col min="12810" max="12810" width="19.5703125" style="328" customWidth="1"/>
    <col min="12811" max="13055" width="9.140625" style="328"/>
    <col min="13056" max="13056" width="6.7109375" style="328" customWidth="1"/>
    <col min="13057" max="13057" width="95.7109375" style="328" customWidth="1"/>
    <col min="13058" max="13058" width="16.28515625" style="328" customWidth="1"/>
    <col min="13059" max="13059" width="12.140625" style="328" customWidth="1"/>
    <col min="13060" max="13060" width="15.7109375" style="328" customWidth="1"/>
    <col min="13061" max="13061" width="16.28515625" style="328" customWidth="1"/>
    <col min="13062" max="13062" width="16" style="328" customWidth="1"/>
    <col min="13063" max="13063" width="14.85546875" style="328" customWidth="1"/>
    <col min="13064" max="13064" width="12.7109375" style="328" bestFit="1" customWidth="1"/>
    <col min="13065" max="13065" width="11.85546875" style="328" customWidth="1"/>
    <col min="13066" max="13066" width="19.5703125" style="328" customWidth="1"/>
    <col min="13067" max="13311" width="9.140625" style="328"/>
    <col min="13312" max="13312" width="6.7109375" style="328" customWidth="1"/>
    <col min="13313" max="13313" width="95.7109375" style="328" customWidth="1"/>
    <col min="13314" max="13314" width="16.28515625" style="328" customWidth="1"/>
    <col min="13315" max="13315" width="12.140625" style="328" customWidth="1"/>
    <col min="13316" max="13316" width="15.7109375" style="328" customWidth="1"/>
    <col min="13317" max="13317" width="16.28515625" style="328" customWidth="1"/>
    <col min="13318" max="13318" width="16" style="328" customWidth="1"/>
    <col min="13319" max="13319" width="14.85546875" style="328" customWidth="1"/>
    <col min="13320" max="13320" width="12.7109375" style="328" bestFit="1" customWidth="1"/>
    <col min="13321" max="13321" width="11.85546875" style="328" customWidth="1"/>
    <col min="13322" max="13322" width="19.5703125" style="328" customWidth="1"/>
    <col min="13323" max="13567" width="9.140625" style="328"/>
    <col min="13568" max="13568" width="6.7109375" style="328" customWidth="1"/>
    <col min="13569" max="13569" width="95.7109375" style="328" customWidth="1"/>
    <col min="13570" max="13570" width="16.28515625" style="328" customWidth="1"/>
    <col min="13571" max="13571" width="12.140625" style="328" customWidth="1"/>
    <col min="13572" max="13572" width="15.7109375" style="328" customWidth="1"/>
    <col min="13573" max="13573" width="16.28515625" style="328" customWidth="1"/>
    <col min="13574" max="13574" width="16" style="328" customWidth="1"/>
    <col min="13575" max="13575" width="14.85546875" style="328" customWidth="1"/>
    <col min="13576" max="13576" width="12.7109375" style="328" bestFit="1" customWidth="1"/>
    <col min="13577" max="13577" width="11.85546875" style="328" customWidth="1"/>
    <col min="13578" max="13578" width="19.5703125" style="328" customWidth="1"/>
    <col min="13579" max="13823" width="9.140625" style="328"/>
    <col min="13824" max="13824" width="6.7109375" style="328" customWidth="1"/>
    <col min="13825" max="13825" width="95.7109375" style="328" customWidth="1"/>
    <col min="13826" max="13826" width="16.28515625" style="328" customWidth="1"/>
    <col min="13827" max="13827" width="12.140625" style="328" customWidth="1"/>
    <col min="13828" max="13828" width="15.7109375" style="328" customWidth="1"/>
    <col min="13829" max="13829" width="16.28515625" style="328" customWidth="1"/>
    <col min="13830" max="13830" width="16" style="328" customWidth="1"/>
    <col min="13831" max="13831" width="14.85546875" style="328" customWidth="1"/>
    <col min="13832" max="13832" width="12.7109375" style="328" bestFit="1" customWidth="1"/>
    <col min="13833" max="13833" width="11.85546875" style="328" customWidth="1"/>
    <col min="13834" max="13834" width="19.5703125" style="328" customWidth="1"/>
    <col min="13835" max="14079" width="9.140625" style="328"/>
    <col min="14080" max="14080" width="6.7109375" style="328" customWidth="1"/>
    <col min="14081" max="14081" width="95.7109375" style="328" customWidth="1"/>
    <col min="14082" max="14082" width="16.28515625" style="328" customWidth="1"/>
    <col min="14083" max="14083" width="12.140625" style="328" customWidth="1"/>
    <col min="14084" max="14084" width="15.7109375" style="328" customWidth="1"/>
    <col min="14085" max="14085" width="16.28515625" style="328" customWidth="1"/>
    <col min="14086" max="14086" width="16" style="328" customWidth="1"/>
    <col min="14087" max="14087" width="14.85546875" style="328" customWidth="1"/>
    <col min="14088" max="14088" width="12.7109375" style="328" bestFit="1" customWidth="1"/>
    <col min="14089" max="14089" width="11.85546875" style="328" customWidth="1"/>
    <col min="14090" max="14090" width="19.5703125" style="328" customWidth="1"/>
    <col min="14091" max="14335" width="9.140625" style="328"/>
    <col min="14336" max="14336" width="6.7109375" style="328" customWidth="1"/>
    <col min="14337" max="14337" width="95.7109375" style="328" customWidth="1"/>
    <col min="14338" max="14338" width="16.28515625" style="328" customWidth="1"/>
    <col min="14339" max="14339" width="12.140625" style="328" customWidth="1"/>
    <col min="14340" max="14340" width="15.7109375" style="328" customWidth="1"/>
    <col min="14341" max="14341" width="16.28515625" style="328" customWidth="1"/>
    <col min="14342" max="14342" width="16" style="328" customWidth="1"/>
    <col min="14343" max="14343" width="14.85546875" style="328" customWidth="1"/>
    <col min="14344" max="14344" width="12.7109375" style="328" bestFit="1" customWidth="1"/>
    <col min="14345" max="14345" width="11.85546875" style="328" customWidth="1"/>
    <col min="14346" max="14346" width="19.5703125" style="328" customWidth="1"/>
    <col min="14347" max="14591" width="9.140625" style="328"/>
    <col min="14592" max="14592" width="6.7109375" style="328" customWidth="1"/>
    <col min="14593" max="14593" width="95.7109375" style="328" customWidth="1"/>
    <col min="14594" max="14594" width="16.28515625" style="328" customWidth="1"/>
    <col min="14595" max="14595" width="12.140625" style="328" customWidth="1"/>
    <col min="14596" max="14596" width="15.7109375" style="328" customWidth="1"/>
    <col min="14597" max="14597" width="16.28515625" style="328" customWidth="1"/>
    <col min="14598" max="14598" width="16" style="328" customWidth="1"/>
    <col min="14599" max="14599" width="14.85546875" style="328" customWidth="1"/>
    <col min="14600" max="14600" width="12.7109375" style="328" bestFit="1" customWidth="1"/>
    <col min="14601" max="14601" width="11.85546875" style="328" customWidth="1"/>
    <col min="14602" max="14602" width="19.5703125" style="328" customWidth="1"/>
    <col min="14603" max="14847" width="9.140625" style="328"/>
    <col min="14848" max="14848" width="6.7109375" style="328" customWidth="1"/>
    <col min="14849" max="14849" width="95.7109375" style="328" customWidth="1"/>
    <col min="14850" max="14850" width="16.28515625" style="328" customWidth="1"/>
    <col min="14851" max="14851" width="12.140625" style="328" customWidth="1"/>
    <col min="14852" max="14852" width="15.7109375" style="328" customWidth="1"/>
    <col min="14853" max="14853" width="16.28515625" style="328" customWidth="1"/>
    <col min="14854" max="14854" width="16" style="328" customWidth="1"/>
    <col min="14855" max="14855" width="14.85546875" style="328" customWidth="1"/>
    <col min="14856" max="14856" width="12.7109375" style="328" bestFit="1" customWidth="1"/>
    <col min="14857" max="14857" width="11.85546875" style="328" customWidth="1"/>
    <col min="14858" max="14858" width="19.5703125" style="328" customWidth="1"/>
    <col min="14859" max="15103" width="9.140625" style="328"/>
    <col min="15104" max="15104" width="6.7109375" style="328" customWidth="1"/>
    <col min="15105" max="15105" width="95.7109375" style="328" customWidth="1"/>
    <col min="15106" max="15106" width="16.28515625" style="328" customWidth="1"/>
    <col min="15107" max="15107" width="12.140625" style="328" customWidth="1"/>
    <col min="15108" max="15108" width="15.7109375" style="328" customWidth="1"/>
    <col min="15109" max="15109" width="16.28515625" style="328" customWidth="1"/>
    <col min="15110" max="15110" width="16" style="328" customWidth="1"/>
    <col min="15111" max="15111" width="14.85546875" style="328" customWidth="1"/>
    <col min="15112" max="15112" width="12.7109375" style="328" bestFit="1" customWidth="1"/>
    <col min="15113" max="15113" width="11.85546875" style="328" customWidth="1"/>
    <col min="15114" max="15114" width="19.5703125" style="328" customWidth="1"/>
    <col min="15115" max="15359" width="9.140625" style="328"/>
    <col min="15360" max="15360" width="6.7109375" style="328" customWidth="1"/>
    <col min="15361" max="15361" width="95.7109375" style="328" customWidth="1"/>
    <col min="15362" max="15362" width="16.28515625" style="328" customWidth="1"/>
    <col min="15363" max="15363" width="12.140625" style="328" customWidth="1"/>
    <col min="15364" max="15364" width="15.7109375" style="328" customWidth="1"/>
    <col min="15365" max="15365" width="16.28515625" style="328" customWidth="1"/>
    <col min="15366" max="15366" width="16" style="328" customWidth="1"/>
    <col min="15367" max="15367" width="14.85546875" style="328" customWidth="1"/>
    <col min="15368" max="15368" width="12.7109375" style="328" bestFit="1" customWidth="1"/>
    <col min="15369" max="15369" width="11.85546875" style="328" customWidth="1"/>
    <col min="15370" max="15370" width="19.5703125" style="328" customWidth="1"/>
    <col min="15371" max="15615" width="9.140625" style="328"/>
    <col min="15616" max="15616" width="6.7109375" style="328" customWidth="1"/>
    <col min="15617" max="15617" width="95.7109375" style="328" customWidth="1"/>
    <col min="15618" max="15618" width="16.28515625" style="328" customWidth="1"/>
    <col min="15619" max="15619" width="12.140625" style="328" customWidth="1"/>
    <col min="15620" max="15620" width="15.7109375" style="328" customWidth="1"/>
    <col min="15621" max="15621" width="16.28515625" style="328" customWidth="1"/>
    <col min="15622" max="15622" width="16" style="328" customWidth="1"/>
    <col min="15623" max="15623" width="14.85546875" style="328" customWidth="1"/>
    <col min="15624" max="15624" width="12.7109375" style="328" bestFit="1" customWidth="1"/>
    <col min="15625" max="15625" width="11.85546875" style="328" customWidth="1"/>
    <col min="15626" max="15626" width="19.5703125" style="328" customWidth="1"/>
    <col min="15627" max="15871" width="9.140625" style="328"/>
    <col min="15872" max="15872" width="6.7109375" style="328" customWidth="1"/>
    <col min="15873" max="15873" width="95.7109375" style="328" customWidth="1"/>
    <col min="15874" max="15874" width="16.28515625" style="328" customWidth="1"/>
    <col min="15875" max="15875" width="12.140625" style="328" customWidth="1"/>
    <col min="15876" max="15876" width="15.7109375" style="328" customWidth="1"/>
    <col min="15877" max="15877" width="16.28515625" style="328" customWidth="1"/>
    <col min="15878" max="15878" width="16" style="328" customWidth="1"/>
    <col min="15879" max="15879" width="14.85546875" style="328" customWidth="1"/>
    <col min="15880" max="15880" width="12.7109375" style="328" bestFit="1" customWidth="1"/>
    <col min="15881" max="15881" width="11.85546875" style="328" customWidth="1"/>
    <col min="15882" max="15882" width="19.5703125" style="328" customWidth="1"/>
    <col min="15883" max="16127" width="9.140625" style="328"/>
    <col min="16128" max="16128" width="6.7109375" style="328" customWidth="1"/>
    <col min="16129" max="16129" width="95.7109375" style="328" customWidth="1"/>
    <col min="16130" max="16130" width="16.28515625" style="328" customWidth="1"/>
    <col min="16131" max="16131" width="12.140625" style="328" customWidth="1"/>
    <col min="16132" max="16132" width="15.7109375" style="328" customWidth="1"/>
    <col min="16133" max="16133" width="16.28515625" style="328" customWidth="1"/>
    <col min="16134" max="16134" width="16" style="328" customWidth="1"/>
    <col min="16135" max="16135" width="14.85546875" style="328" customWidth="1"/>
    <col min="16136" max="16136" width="12.7109375" style="328" bestFit="1" customWidth="1"/>
    <col min="16137" max="16137" width="11.85546875" style="328" customWidth="1"/>
    <col min="16138" max="16138" width="19.5703125" style="328" customWidth="1"/>
    <col min="16139" max="16379" width="9.140625" style="328"/>
    <col min="16380" max="16384" width="8.85546875" style="328" customWidth="1"/>
  </cols>
  <sheetData>
    <row r="1" spans="1:11" ht="18">
      <c r="A1" s="784" t="str">
        <f>'[4]Prior Period Error_1'!B1</f>
        <v>Bihar State Power Transmission Company Limited.</v>
      </c>
      <c r="B1" s="784"/>
      <c r="C1" s="784"/>
      <c r="D1" s="784"/>
      <c r="E1" s="784"/>
      <c r="F1" s="784"/>
      <c r="G1" s="784"/>
      <c r="H1" s="428"/>
    </row>
    <row r="2" spans="1:11" ht="15.75">
      <c r="A2" s="785" t="s">
        <v>553</v>
      </c>
      <c r="B2" s="785"/>
      <c r="C2" s="785"/>
      <c r="D2" s="785"/>
      <c r="E2" s="785"/>
      <c r="F2" s="785"/>
      <c r="G2" s="785"/>
      <c r="H2" s="430"/>
    </row>
    <row r="3" spans="1:11" ht="16.5" customHeight="1">
      <c r="A3" s="329"/>
    </row>
    <row r="4" spans="1:11">
      <c r="A4" s="330">
        <f>'[4]Prior Period Error_1'!A4+1</f>
        <v>2</v>
      </c>
      <c r="B4" s="329" t="s">
        <v>425</v>
      </c>
    </row>
    <row r="5" spans="1:11">
      <c r="B5" s="329" t="s">
        <v>426</v>
      </c>
    </row>
    <row r="6" spans="1:11">
      <c r="B6" s="328" t="s">
        <v>427</v>
      </c>
    </row>
    <row r="7" spans="1:11" hidden="1">
      <c r="F7" s="331"/>
    </row>
    <row r="8" spans="1:11" ht="15" thickBot="1">
      <c r="C8" s="332"/>
      <c r="D8" s="332"/>
      <c r="E8" s="332"/>
      <c r="G8" s="525" t="s">
        <v>728</v>
      </c>
    </row>
    <row r="9" spans="1:11" ht="104.25" customHeight="1">
      <c r="A9" s="329"/>
      <c r="B9" s="431" t="s">
        <v>3</v>
      </c>
      <c r="C9" s="432" t="s">
        <v>429</v>
      </c>
      <c r="D9" s="432" t="s">
        <v>430</v>
      </c>
      <c r="E9" s="432" t="s">
        <v>431</v>
      </c>
      <c r="F9" s="432" t="s">
        <v>432</v>
      </c>
      <c r="G9" s="433" t="s">
        <v>433</v>
      </c>
    </row>
    <row r="10" spans="1:11">
      <c r="B10" s="333" t="s">
        <v>434</v>
      </c>
      <c r="C10" s="334"/>
      <c r="D10" s="334"/>
      <c r="E10" s="334"/>
      <c r="F10" s="334"/>
      <c r="G10" s="335"/>
    </row>
    <row r="11" spans="1:11">
      <c r="A11" s="336"/>
      <c r="B11" s="337" t="s">
        <v>27</v>
      </c>
      <c r="C11" s="338">
        <f>+BS!E20</f>
        <v>90828.713730000003</v>
      </c>
      <c r="D11" s="338"/>
      <c r="E11" s="338"/>
      <c r="F11" s="338">
        <f>+C11</f>
        <v>90828.713730000003</v>
      </c>
      <c r="G11" s="339"/>
    </row>
    <row r="12" spans="1:11">
      <c r="A12" s="336"/>
      <c r="B12" s="337" t="s">
        <v>435</v>
      </c>
      <c r="C12" s="338">
        <f>+'BS3-11'!B72+'BS3-11'!B81+1</f>
        <v>177635.232739</v>
      </c>
      <c r="D12" s="338"/>
      <c r="E12" s="338"/>
      <c r="F12" s="338">
        <f t="shared" ref="F12:F15" si="0">+C12</f>
        <v>177635.232739</v>
      </c>
      <c r="G12" s="339"/>
      <c r="I12" s="340">
        <f>G11+G12</f>
        <v>0</v>
      </c>
      <c r="J12" s="340" t="e">
        <f>#REF!</f>
        <v>#REF!</v>
      </c>
      <c r="K12" s="340" t="e">
        <f>I12-J12</f>
        <v>#REF!</v>
      </c>
    </row>
    <row r="13" spans="1:11" ht="28.5">
      <c r="A13" s="336"/>
      <c r="B13" s="337" t="str">
        <f>'[4]Sch BS 7-11'!A31</f>
        <v>Interest accrued on investments</v>
      </c>
      <c r="C13" s="341">
        <f>+'BS3-11'!B91</f>
        <v>0</v>
      </c>
      <c r="D13" s="341"/>
      <c r="E13" s="341"/>
      <c r="F13" s="338">
        <f t="shared" si="0"/>
        <v>0</v>
      </c>
      <c r="G13" s="342"/>
      <c r="I13" s="340">
        <f>G13</f>
        <v>0</v>
      </c>
      <c r="J13" s="328" t="e">
        <f>#REF!</f>
        <v>#REF!</v>
      </c>
      <c r="K13" s="340" t="e">
        <f>I13-J13</f>
        <v>#REF!</v>
      </c>
    </row>
    <row r="14" spans="1:11">
      <c r="A14" s="336"/>
      <c r="B14" s="337" t="str">
        <f>'[4]SCH BS1-6'!A7</f>
        <v>Loans to Staff</v>
      </c>
      <c r="C14" s="341">
        <f>+'BS3-11'!B7</f>
        <v>34.590000000000003</v>
      </c>
      <c r="D14" s="341"/>
      <c r="E14" s="341"/>
      <c r="F14" s="338">
        <f t="shared" si="0"/>
        <v>34.590000000000003</v>
      </c>
      <c r="G14" s="342"/>
      <c r="I14" s="340">
        <f>G14</f>
        <v>0</v>
      </c>
      <c r="J14" s="328" t="e">
        <f>#REF!</f>
        <v>#REF!</v>
      </c>
      <c r="K14" s="340" t="e">
        <f>I14-J14</f>
        <v>#REF!</v>
      </c>
    </row>
    <row r="15" spans="1:11">
      <c r="A15" s="336"/>
      <c r="B15" s="337" t="s">
        <v>436</v>
      </c>
      <c r="C15" s="341">
        <f>+'BS3-11'!B92+'BS3-11'!B93+'BS3-11'!B94</f>
        <v>308.65521799999999</v>
      </c>
      <c r="D15" s="341"/>
      <c r="E15" s="341"/>
      <c r="F15" s="338">
        <f t="shared" si="0"/>
        <v>308.65521799999999</v>
      </c>
      <c r="G15" s="342"/>
      <c r="I15" s="340">
        <f>G15</f>
        <v>0</v>
      </c>
      <c r="J15" s="340" t="e">
        <f>#REF!</f>
        <v>#REF!</v>
      </c>
      <c r="K15" s="340" t="e">
        <f>I15-J15</f>
        <v>#REF!</v>
      </c>
    </row>
    <row r="16" spans="1:11">
      <c r="B16" s="434" t="s">
        <v>437</v>
      </c>
      <c r="C16" s="435">
        <f>SUM(C11:C15)</f>
        <v>268807.19168700004</v>
      </c>
      <c r="D16" s="436"/>
      <c r="E16" s="436"/>
      <c r="F16" s="435">
        <f>SUM(F11:F15)</f>
        <v>268807.19168700004</v>
      </c>
      <c r="G16" s="437"/>
    </row>
    <row r="17" spans="2:11">
      <c r="B17" s="333" t="s">
        <v>438</v>
      </c>
      <c r="C17" s="338"/>
      <c r="D17" s="338"/>
      <c r="E17" s="338"/>
      <c r="F17" s="338"/>
      <c r="G17" s="339"/>
    </row>
    <row r="18" spans="2:11">
      <c r="B18" s="337" t="s">
        <v>439</v>
      </c>
      <c r="C18" s="341">
        <f>+'BS13-20'!B61</f>
        <v>38847.317329999998</v>
      </c>
      <c r="D18" s="341"/>
      <c r="E18" s="341"/>
      <c r="F18" s="341">
        <f>+C18</f>
        <v>38847.317329999998</v>
      </c>
      <c r="G18" s="342"/>
      <c r="H18" s="340"/>
      <c r="I18" s="343" t="e">
        <f>#REF!+#REF!</f>
        <v>#REF!</v>
      </c>
      <c r="J18" s="340">
        <f>G18</f>
        <v>0</v>
      </c>
      <c r="K18" s="340" t="e">
        <f>I18-J18</f>
        <v>#REF!</v>
      </c>
    </row>
    <row r="19" spans="2:11" ht="28.5">
      <c r="B19" s="337" t="str">
        <f>'[4]Sch BS 13-19'!A156</f>
        <v>Interest Accured on borrowing from State Govt. and ADB</v>
      </c>
      <c r="C19" s="341">
        <f>+'BS13-20'!B123</f>
        <v>12144.5751069</v>
      </c>
      <c r="D19" s="341"/>
      <c r="E19" s="341"/>
      <c r="F19" s="341">
        <f t="shared" ref="F19:F25" si="1">+C19</f>
        <v>12144.5751069</v>
      </c>
      <c r="G19" s="342"/>
      <c r="I19" s="340">
        <f>G19</f>
        <v>0</v>
      </c>
      <c r="J19" s="340" t="e">
        <f>#REF!</f>
        <v>#REF!</v>
      </c>
      <c r="K19" s="340" t="e">
        <f>I19-J19</f>
        <v>#REF!</v>
      </c>
    </row>
    <row r="20" spans="2:11" ht="28.5">
      <c r="B20" s="337" t="str">
        <f>'[4]Sch BS 13-19'!A159</f>
        <v>Deposits and Retentions from Suppliers and Customers</v>
      </c>
      <c r="C20" s="341">
        <f>+'BS13-20'!B126</f>
        <v>33417.881619699998</v>
      </c>
      <c r="D20" s="341"/>
      <c r="E20" s="341"/>
      <c r="F20" s="341">
        <f t="shared" si="1"/>
        <v>33417.881619699998</v>
      </c>
      <c r="G20" s="342"/>
      <c r="I20" s="340">
        <f>G20</f>
        <v>0</v>
      </c>
      <c r="J20" s="328" t="e">
        <f>#REF!</f>
        <v>#REF!</v>
      </c>
      <c r="K20" s="340" t="e">
        <f>I20-J20</f>
        <v>#REF!</v>
      </c>
    </row>
    <row r="21" spans="2:11" ht="28.5">
      <c r="B21" s="337" t="str">
        <f>'[4]Sch BS 13-19'!A155</f>
        <v>Interest accrued and due on capital fund</v>
      </c>
      <c r="C21" s="341">
        <f>+'BS13-20'!B122</f>
        <v>0</v>
      </c>
      <c r="D21" s="341"/>
      <c r="E21" s="341"/>
      <c r="F21" s="341">
        <f t="shared" si="1"/>
        <v>0</v>
      </c>
      <c r="G21" s="342"/>
      <c r="H21" s="344"/>
    </row>
    <row r="22" spans="2:11">
      <c r="B22" s="337" t="str">
        <f>'[4]Sch BS 13-19'!A161</f>
        <v>Liability to Supplies/Works</v>
      </c>
      <c r="C22" s="341">
        <f>+'BS13-20'!B128</f>
        <v>4074.8562567000004</v>
      </c>
      <c r="D22" s="341"/>
      <c r="E22" s="341"/>
      <c r="F22" s="341">
        <f t="shared" si="1"/>
        <v>4074.8562567000004</v>
      </c>
      <c r="G22" s="342"/>
      <c r="H22" s="344"/>
    </row>
    <row r="23" spans="2:11">
      <c r="B23" s="337" t="str">
        <f>'[4]Sch BS 13-19'!A158</f>
        <v>Staff Related Liability</v>
      </c>
      <c r="C23" s="341">
        <f>+'BS13-20'!B125+'BS13-20'!B124</f>
        <v>1913.847571</v>
      </c>
      <c r="D23" s="341"/>
      <c r="E23" s="341"/>
      <c r="F23" s="341">
        <f t="shared" si="1"/>
        <v>1913.847571</v>
      </c>
      <c r="G23" s="342"/>
      <c r="H23" s="344"/>
    </row>
    <row r="24" spans="2:11">
      <c r="B24" s="337" t="str">
        <f>'[4]Sch BS 13-19'!A160</f>
        <v>Audit Fee Payable</v>
      </c>
      <c r="C24" s="338">
        <f>+'BS13-20'!B127</f>
        <v>994.88243319999992</v>
      </c>
      <c r="D24" s="338"/>
      <c r="E24" s="338"/>
      <c r="F24" s="341">
        <f t="shared" si="1"/>
        <v>994.88243319999992</v>
      </c>
      <c r="G24" s="339"/>
      <c r="H24" s="344"/>
    </row>
    <row r="25" spans="2:11">
      <c r="B25" s="345" t="str">
        <f>'[4]Sch BS 13-19'!A162</f>
        <v>Other Liability</v>
      </c>
      <c r="C25" s="346">
        <f>+'BS13-20'!B129</f>
        <v>190.81470999999999</v>
      </c>
      <c r="D25" s="346"/>
      <c r="E25" s="346"/>
      <c r="F25" s="341">
        <f t="shared" si="1"/>
        <v>190.81470999999999</v>
      </c>
      <c r="G25" s="347"/>
      <c r="H25" s="344"/>
      <c r="I25" s="340">
        <f>SUM(F21:F25)</f>
        <v>7174.4009708999993</v>
      </c>
      <c r="J25" s="328" t="e">
        <f>#REF!</f>
        <v>#REF!</v>
      </c>
      <c r="K25" s="340" t="e">
        <f>I25-J25</f>
        <v>#REF!</v>
      </c>
    </row>
    <row r="26" spans="2:11" ht="15" thickBot="1">
      <c r="B26" s="438" t="s">
        <v>440</v>
      </c>
      <c r="C26" s="439">
        <f>SUM(C18:C25)</f>
        <v>91584.175027500009</v>
      </c>
      <c r="D26" s="440"/>
      <c r="E26" s="440"/>
      <c r="F26" s="439">
        <f>SUM(F18:F25)</f>
        <v>91584.175027500009</v>
      </c>
      <c r="G26" s="441"/>
    </row>
    <row r="27" spans="2:11" s="16" customFormat="1" ht="18" customHeight="1">
      <c r="C27" s="507"/>
    </row>
    <row r="28" spans="2:11" ht="32.25" customHeight="1" thickBot="1">
      <c r="B28" s="329"/>
      <c r="C28" s="838"/>
      <c r="D28" s="838"/>
      <c r="E28" s="838"/>
      <c r="F28" s="838"/>
      <c r="G28" s="838"/>
      <c r="H28" s="329"/>
    </row>
    <row r="29" spans="2:11" s="348" customFormat="1" ht="105" customHeight="1">
      <c r="B29" s="431" t="s">
        <v>3</v>
      </c>
      <c r="C29" s="442" t="s">
        <v>441</v>
      </c>
      <c r="D29" s="442" t="s">
        <v>442</v>
      </c>
      <c r="E29" s="442" t="s">
        <v>443</v>
      </c>
      <c r="F29" s="442" t="s">
        <v>444</v>
      </c>
      <c r="G29" s="443" t="s">
        <v>445</v>
      </c>
      <c r="H29" s="351"/>
    </row>
    <row r="30" spans="2:11">
      <c r="B30" s="333" t="s">
        <v>434</v>
      </c>
      <c r="C30" s="334"/>
      <c r="D30" s="352"/>
      <c r="E30" s="334"/>
      <c r="F30" s="334"/>
      <c r="G30" s="335"/>
    </row>
    <row r="31" spans="2:11">
      <c r="B31" s="337" t="s">
        <v>27</v>
      </c>
      <c r="C31" s="338">
        <f>+BS!F20</f>
        <v>35469.336940000001</v>
      </c>
      <c r="D31" s="338"/>
      <c r="E31" s="338"/>
      <c r="F31" s="338">
        <f>+C31</f>
        <v>35469.336940000001</v>
      </c>
      <c r="G31" s="339"/>
    </row>
    <row r="32" spans="2:11">
      <c r="B32" s="337" t="s">
        <v>435</v>
      </c>
      <c r="C32" s="341">
        <f>+BS!F21+BS!F22+1</f>
        <v>163606.41195190002</v>
      </c>
      <c r="D32" s="341"/>
      <c r="E32" s="341"/>
      <c r="F32" s="338">
        <f t="shared" ref="F32:F37" si="2">+C32</f>
        <v>163606.41195190002</v>
      </c>
      <c r="G32" s="342"/>
      <c r="I32" s="340">
        <f>G31+G32</f>
        <v>0</v>
      </c>
      <c r="J32" s="340" t="e">
        <f>#REF!</f>
        <v>#REF!</v>
      </c>
      <c r="K32" s="340" t="e">
        <f>I32-J32</f>
        <v>#REF!</v>
      </c>
    </row>
    <row r="33" spans="2:11" ht="15.75" customHeight="1">
      <c r="B33" s="337" t="s">
        <v>407</v>
      </c>
      <c r="C33" s="341">
        <f>+'BS3-11'!C91</f>
        <v>131.76577</v>
      </c>
      <c r="D33" s="341"/>
      <c r="E33" s="341"/>
      <c r="F33" s="338">
        <f t="shared" si="2"/>
        <v>131.76577</v>
      </c>
      <c r="G33" s="342"/>
      <c r="I33" s="340">
        <f>G33</f>
        <v>0</v>
      </c>
      <c r="J33" s="328" t="e">
        <f>#REF!</f>
        <v>#REF!</v>
      </c>
      <c r="K33" s="340" t="e">
        <f>I33-J33</f>
        <v>#REF!</v>
      </c>
    </row>
    <row r="34" spans="2:11">
      <c r="B34" s="337" t="s">
        <v>7</v>
      </c>
      <c r="C34" s="341">
        <f>+'BS3-11'!C7</f>
        <v>61.024999999999999</v>
      </c>
      <c r="D34" s="341"/>
      <c r="E34" s="341"/>
      <c r="F34" s="338">
        <f t="shared" si="2"/>
        <v>61.024999999999999</v>
      </c>
      <c r="G34" s="342"/>
      <c r="I34" s="340">
        <f>G34</f>
        <v>0</v>
      </c>
      <c r="J34" s="328" t="e">
        <f>#REF!</f>
        <v>#REF!</v>
      </c>
      <c r="K34" s="340" t="e">
        <f>I34-J34</f>
        <v>#REF!</v>
      </c>
    </row>
    <row r="35" spans="2:11" hidden="1">
      <c r="B35" s="337" t="s">
        <v>446</v>
      </c>
      <c r="C35" s="341"/>
      <c r="D35" s="341"/>
      <c r="E35" s="341"/>
      <c r="F35" s="338">
        <f t="shared" si="2"/>
        <v>0</v>
      </c>
      <c r="G35" s="342"/>
    </row>
    <row r="36" spans="2:11" hidden="1">
      <c r="B36" s="337" t="s">
        <v>436</v>
      </c>
      <c r="C36" s="341"/>
      <c r="D36" s="341"/>
      <c r="E36" s="341"/>
      <c r="F36" s="338">
        <f t="shared" si="2"/>
        <v>0</v>
      </c>
      <c r="G36" s="342"/>
    </row>
    <row r="37" spans="2:11">
      <c r="B37" s="337" t="s">
        <v>436</v>
      </c>
      <c r="C37" s="341">
        <f>+'BS3-11'!C92+'BS3-11'!C93+'BS3-11'!C94</f>
        <v>57.109248000000001</v>
      </c>
      <c r="D37" s="341"/>
      <c r="E37" s="341"/>
      <c r="F37" s="338">
        <f t="shared" si="2"/>
        <v>57.109248000000001</v>
      </c>
      <c r="G37" s="342"/>
    </row>
    <row r="38" spans="2:11">
      <c r="B38" s="434" t="s">
        <v>437</v>
      </c>
      <c r="C38" s="435">
        <f>SUM(C31:C37)</f>
        <v>199325.64890990002</v>
      </c>
      <c r="D38" s="436"/>
      <c r="E38" s="436"/>
      <c r="F38" s="435">
        <f>SUM(F31:F37)</f>
        <v>199325.64890990002</v>
      </c>
      <c r="G38" s="437"/>
    </row>
    <row r="39" spans="2:11">
      <c r="B39" s="333" t="s">
        <v>438</v>
      </c>
      <c r="C39" s="341"/>
      <c r="D39" s="341"/>
      <c r="E39" s="341"/>
      <c r="F39" s="341"/>
      <c r="G39" s="342"/>
    </row>
    <row r="40" spans="2:11">
      <c r="B40" s="337" t="s">
        <v>439</v>
      </c>
      <c r="C40" s="341">
        <f>+'BS13-20'!C61</f>
        <v>56628.231589999996</v>
      </c>
      <c r="D40" s="341"/>
      <c r="E40" s="341"/>
      <c r="F40" s="338">
        <f>+C40</f>
        <v>56628.231589999996</v>
      </c>
      <c r="G40" s="342"/>
      <c r="I40" s="340">
        <f>G40</f>
        <v>0</v>
      </c>
      <c r="J40" s="340" t="e">
        <f>#REF!+#REF!</f>
        <v>#REF!</v>
      </c>
      <c r="K40" s="340" t="e">
        <f>I40-J40</f>
        <v>#REF!</v>
      </c>
    </row>
    <row r="41" spans="2:11">
      <c r="B41" s="337" t="s">
        <v>447</v>
      </c>
      <c r="C41" s="341">
        <f>+'BS13-20'!C123</f>
        <v>27094.200359999999</v>
      </c>
      <c r="D41" s="341"/>
      <c r="E41" s="341"/>
      <c r="F41" s="338">
        <f t="shared" ref="F41:F47" si="3">+C41</f>
        <v>27094.200359999999</v>
      </c>
      <c r="G41" s="342"/>
      <c r="I41" s="340"/>
      <c r="J41" s="340"/>
      <c r="K41" s="340"/>
    </row>
    <row r="42" spans="2:11" ht="28.5">
      <c r="B42" s="337" t="s">
        <v>157</v>
      </c>
      <c r="C42" s="341">
        <f>+'BS13-20'!C126</f>
        <v>41150.761801500004</v>
      </c>
      <c r="D42" s="341"/>
      <c r="E42" s="341"/>
      <c r="F42" s="338">
        <f t="shared" si="3"/>
        <v>41150.761801500004</v>
      </c>
      <c r="G42" s="342"/>
      <c r="I42" s="340">
        <f>G42</f>
        <v>0</v>
      </c>
      <c r="J42" s="340" t="e">
        <f>#REF!</f>
        <v>#REF!</v>
      </c>
      <c r="K42" s="340" t="e">
        <f>I42-J42</f>
        <v>#REF!</v>
      </c>
    </row>
    <row r="43" spans="2:11" ht="28.5">
      <c r="B43" s="337" t="s">
        <v>154</v>
      </c>
      <c r="C43" s="341">
        <f>+'BS13-20'!C122</f>
        <v>26114.021122400001</v>
      </c>
      <c r="D43" s="341"/>
      <c r="E43" s="341"/>
      <c r="F43" s="338">
        <f t="shared" si="3"/>
        <v>26114.021122400001</v>
      </c>
      <c r="G43" s="342"/>
      <c r="I43" s="340">
        <f>G43</f>
        <v>0</v>
      </c>
      <c r="J43" s="328" t="e">
        <f>#REF!</f>
        <v>#REF!</v>
      </c>
      <c r="K43" s="340" t="e">
        <f>I43-J43</f>
        <v>#REF!</v>
      </c>
    </row>
    <row r="44" spans="2:11">
      <c r="B44" s="337" t="s">
        <v>159</v>
      </c>
      <c r="C44" s="341">
        <f>+'BS13-20'!C128</f>
        <v>3955.7780952999997</v>
      </c>
      <c r="D44" s="341"/>
      <c r="E44" s="341"/>
      <c r="F44" s="338">
        <f t="shared" si="3"/>
        <v>3955.7780952999997</v>
      </c>
      <c r="G44" s="342"/>
      <c r="I44" s="340">
        <f>SUM(G44:G47)</f>
        <v>0</v>
      </c>
      <c r="J44" s="328" t="e">
        <f>#REF!</f>
        <v>#REF!</v>
      </c>
      <c r="K44" s="340" t="e">
        <f>I44-J44</f>
        <v>#REF!</v>
      </c>
    </row>
    <row r="45" spans="2:11">
      <c r="B45" s="337" t="s">
        <v>156</v>
      </c>
      <c r="C45" s="341">
        <f>+'BS13-20'!C125+'BS13-20'!C124</f>
        <v>1661.546781</v>
      </c>
      <c r="D45" s="341"/>
      <c r="E45" s="341"/>
      <c r="F45" s="338">
        <f t="shared" si="3"/>
        <v>1661.546781</v>
      </c>
      <c r="G45" s="342"/>
    </row>
    <row r="46" spans="2:11">
      <c r="B46" s="337" t="s">
        <v>158</v>
      </c>
      <c r="C46" s="338">
        <f>+'BS13-20'!C127</f>
        <v>995.01293319999991</v>
      </c>
      <c r="D46" s="338"/>
      <c r="E46" s="338"/>
      <c r="F46" s="338">
        <f t="shared" si="3"/>
        <v>995.01293319999991</v>
      </c>
      <c r="G46" s="339"/>
    </row>
    <row r="47" spans="2:11">
      <c r="B47" s="337" t="s">
        <v>160</v>
      </c>
      <c r="C47" s="338">
        <f>+'BS13-20'!C129</f>
        <v>46.60322</v>
      </c>
      <c r="D47" s="338"/>
      <c r="E47" s="338"/>
      <c r="F47" s="338">
        <f t="shared" si="3"/>
        <v>46.60322</v>
      </c>
      <c r="G47" s="339"/>
    </row>
    <row r="48" spans="2:11" ht="15" thickBot="1">
      <c r="B48" s="444" t="s">
        <v>440</v>
      </c>
      <c r="C48" s="445">
        <f>SUM(C40:C47)</f>
        <v>157646.15590339998</v>
      </c>
      <c r="D48" s="446"/>
      <c r="E48" s="446"/>
      <c r="F48" s="445">
        <f>SUM(F40:F47)</f>
        <v>157646.15590339998</v>
      </c>
      <c r="G48" s="447"/>
    </row>
    <row r="49" spans="1:9" ht="18" customHeight="1">
      <c r="A49" s="784" t="str">
        <f>+A1</f>
        <v>Bihar State Power Transmission Company Limited.</v>
      </c>
      <c r="B49" s="784"/>
      <c r="C49" s="784"/>
      <c r="D49" s="784"/>
      <c r="E49" s="784"/>
      <c r="F49" s="784"/>
      <c r="G49" s="784"/>
      <c r="H49" s="428"/>
    </row>
    <row r="50" spans="1:9" ht="15.75" customHeight="1">
      <c r="A50" s="785" t="str">
        <f>+A2</f>
        <v>Notes to accounts for year ended March 31, 2019</v>
      </c>
      <c r="B50" s="785"/>
      <c r="C50" s="785"/>
      <c r="D50" s="785"/>
      <c r="E50" s="785"/>
      <c r="F50" s="785"/>
      <c r="G50" s="785"/>
      <c r="H50" s="430"/>
    </row>
    <row r="51" spans="1:9">
      <c r="B51" s="329"/>
      <c r="C51" s="839" t="s">
        <v>728</v>
      </c>
      <c r="D51" s="839"/>
      <c r="E51" s="839"/>
      <c r="F51" s="839"/>
      <c r="G51" s="839"/>
    </row>
    <row r="52" spans="1:9" hidden="1">
      <c r="A52" s="353">
        <f>A4+1</f>
        <v>3</v>
      </c>
      <c r="B52" s="329" t="s">
        <v>448</v>
      </c>
    </row>
    <row r="53" spans="1:9" ht="15.75" hidden="1" customHeight="1">
      <c r="A53" s="354" t="s">
        <v>449</v>
      </c>
      <c r="B53" s="840" t="s">
        <v>450</v>
      </c>
      <c r="C53" s="840"/>
      <c r="D53" s="840"/>
      <c r="E53" s="840"/>
      <c r="F53" s="840"/>
      <c r="G53" s="840"/>
      <c r="H53" s="355"/>
    </row>
    <row r="54" spans="1:9" ht="33.75" hidden="1" customHeight="1">
      <c r="A54" s="354" t="s">
        <v>449</v>
      </c>
      <c r="B54" s="840" t="s">
        <v>451</v>
      </c>
      <c r="C54" s="840"/>
      <c r="D54" s="840"/>
      <c r="E54" s="840"/>
      <c r="F54" s="840"/>
      <c r="G54" s="840"/>
      <c r="H54" s="355"/>
    </row>
    <row r="55" spans="1:9" ht="31.5" hidden="1" customHeight="1">
      <c r="A55" s="354" t="s">
        <v>449</v>
      </c>
      <c r="B55" s="841" t="s">
        <v>452</v>
      </c>
      <c r="C55" s="841"/>
      <c r="D55" s="841"/>
      <c r="E55" s="841"/>
      <c r="F55" s="841"/>
      <c r="G55" s="841"/>
      <c r="H55" s="356"/>
      <c r="I55" s="357"/>
    </row>
    <row r="56" spans="1:9" hidden="1">
      <c r="A56" s="354"/>
      <c r="B56" s="358"/>
      <c r="C56" s="358"/>
      <c r="D56" s="358"/>
      <c r="E56" s="358"/>
      <c r="F56" s="358"/>
      <c r="G56" s="358"/>
      <c r="H56" s="358"/>
    </row>
    <row r="57" spans="1:9" ht="20.25" hidden="1" customHeight="1">
      <c r="B57" s="348" t="s">
        <v>453</v>
      </c>
    </row>
    <row r="58" spans="1:9" hidden="1">
      <c r="B58" s="329"/>
      <c r="C58" s="329"/>
      <c r="D58" s="839" t="s">
        <v>428</v>
      </c>
      <c r="E58" s="839"/>
      <c r="F58" s="839"/>
      <c r="G58" s="839"/>
      <c r="H58" s="839"/>
    </row>
    <row r="59" spans="1:9" ht="57" hidden="1">
      <c r="B59" s="359" t="s">
        <v>3</v>
      </c>
      <c r="C59" s="349" t="s">
        <v>454</v>
      </c>
      <c r="D59" s="349" t="s">
        <v>455</v>
      </c>
      <c r="E59" s="349" t="s">
        <v>456</v>
      </c>
      <c r="F59" s="349" t="s">
        <v>8</v>
      </c>
      <c r="G59" s="349" t="s">
        <v>457</v>
      </c>
      <c r="H59" s="350" t="s">
        <v>458</v>
      </c>
    </row>
    <row r="60" spans="1:9" hidden="1">
      <c r="B60" s="828" t="s">
        <v>459</v>
      </c>
      <c r="C60" s="829"/>
      <c r="D60" s="829"/>
      <c r="E60" s="829"/>
      <c r="F60" s="829"/>
      <c r="G60" s="829"/>
      <c r="H60" s="830"/>
    </row>
    <row r="61" spans="1:9" hidden="1">
      <c r="B61" s="835" t="s">
        <v>460</v>
      </c>
      <c r="C61" s="836"/>
      <c r="D61" s="836"/>
      <c r="E61" s="836"/>
      <c r="F61" s="836"/>
      <c r="G61" s="836"/>
      <c r="H61" s="837"/>
    </row>
    <row r="62" spans="1:9" hidden="1">
      <c r="B62" s="360" t="e">
        <f>#REF!</f>
        <v>#REF!</v>
      </c>
      <c r="C62" s="361"/>
      <c r="D62" s="361"/>
      <c r="E62" s="362">
        <f>F14</f>
        <v>34.590000000000003</v>
      </c>
      <c r="F62" s="362">
        <f>+E62</f>
        <v>34.590000000000003</v>
      </c>
      <c r="G62" s="363" t="s">
        <v>461</v>
      </c>
      <c r="H62" s="364">
        <v>0.105</v>
      </c>
    </row>
    <row r="63" spans="1:9" hidden="1">
      <c r="B63" s="365"/>
      <c r="C63" s="361"/>
      <c r="D63" s="361"/>
      <c r="E63" s="362"/>
      <c r="F63" s="362"/>
      <c r="G63" s="363"/>
      <c r="H63" s="366"/>
    </row>
    <row r="64" spans="1:9" s="344" customFormat="1" hidden="1">
      <c r="B64" s="333" t="s">
        <v>8</v>
      </c>
      <c r="C64" s="367"/>
      <c r="D64" s="367"/>
      <c r="E64" s="368"/>
      <c r="F64" s="368"/>
      <c r="G64" s="352"/>
      <c r="H64" s="369"/>
    </row>
    <row r="65" spans="1:8" hidden="1">
      <c r="B65" s="828" t="s">
        <v>141</v>
      </c>
      <c r="C65" s="829"/>
      <c r="D65" s="829"/>
      <c r="E65" s="829"/>
      <c r="F65" s="829"/>
      <c r="G65" s="829"/>
      <c r="H65" s="830"/>
    </row>
    <row r="66" spans="1:8" hidden="1">
      <c r="B66" s="831" t="s">
        <v>460</v>
      </c>
      <c r="C66" s="832"/>
      <c r="D66" s="832"/>
      <c r="E66" s="832"/>
      <c r="F66" s="832"/>
      <c r="G66" s="832"/>
      <c r="H66" s="833"/>
    </row>
    <row r="67" spans="1:8" hidden="1">
      <c r="B67" s="360" t="e">
        <f>B62</f>
        <v>#REF!</v>
      </c>
      <c r="C67" s="361"/>
      <c r="D67" s="361"/>
      <c r="E67" s="370">
        <f>F34</f>
        <v>61.024999999999999</v>
      </c>
      <c r="F67" s="370">
        <f>+E67</f>
        <v>61.024999999999999</v>
      </c>
      <c r="G67" s="363" t="s">
        <v>461</v>
      </c>
      <c r="H67" s="364">
        <v>0.105</v>
      </c>
    </row>
    <row r="68" spans="1:8" hidden="1">
      <c r="B68" s="333" t="s">
        <v>8</v>
      </c>
      <c r="C68" s="367"/>
      <c r="D68" s="367"/>
      <c r="E68" s="367"/>
      <c r="F68" s="367"/>
      <c r="G68" s="371"/>
      <c r="H68" s="372"/>
    </row>
    <row r="69" spans="1:8" hidden="1">
      <c r="B69" s="828" t="s">
        <v>142</v>
      </c>
      <c r="C69" s="829"/>
      <c r="D69" s="829"/>
      <c r="E69" s="829"/>
      <c r="F69" s="829"/>
      <c r="G69" s="829"/>
      <c r="H69" s="830"/>
    </row>
    <row r="70" spans="1:8" hidden="1">
      <c r="B70" s="831" t="s">
        <v>460</v>
      </c>
      <c r="C70" s="832"/>
      <c r="D70" s="832"/>
      <c r="E70" s="832"/>
      <c r="F70" s="832"/>
      <c r="G70" s="832"/>
      <c r="H70" s="833"/>
    </row>
    <row r="71" spans="1:8" hidden="1">
      <c r="B71" s="360"/>
      <c r="C71" s="361"/>
      <c r="D71" s="361"/>
      <c r="E71" s="361"/>
      <c r="F71" s="361"/>
      <c r="G71" s="373"/>
      <c r="H71" s="374"/>
    </row>
    <row r="72" spans="1:8" ht="15" hidden="1" thickBot="1">
      <c r="B72" s="375" t="s">
        <v>8</v>
      </c>
      <c r="C72" s="376"/>
      <c r="D72" s="376"/>
      <c r="E72" s="376"/>
      <c r="F72" s="376"/>
      <c r="G72" s="377"/>
      <c r="H72" s="378"/>
    </row>
    <row r="73" spans="1:8" hidden="1">
      <c r="B73" s="379"/>
      <c r="C73" s="380"/>
      <c r="D73" s="381"/>
      <c r="E73" s="381"/>
      <c r="F73" s="381"/>
      <c r="G73" s="381"/>
      <c r="H73" s="381"/>
    </row>
    <row r="74" spans="1:8" ht="16.5" customHeight="1">
      <c r="A74" s="330">
        <v>3</v>
      </c>
      <c r="B74" s="329" t="s">
        <v>462</v>
      </c>
      <c r="C74" s="380"/>
      <c r="D74" s="381"/>
      <c r="E74" s="381"/>
      <c r="G74" s="834"/>
      <c r="H74" s="834"/>
    </row>
    <row r="75" spans="1:8">
      <c r="B75" s="817" t="s">
        <v>3</v>
      </c>
      <c r="C75" s="818">
        <v>43555</v>
      </c>
      <c r="D75" s="818"/>
      <c r="E75" s="818">
        <v>43190</v>
      </c>
      <c r="F75" s="818"/>
      <c r="G75" s="448"/>
      <c r="H75" s="448"/>
    </row>
    <row r="76" spans="1:8" ht="28.5">
      <c r="B76" s="817"/>
      <c r="C76" s="449" t="s">
        <v>278</v>
      </c>
      <c r="D76" s="449" t="s">
        <v>463</v>
      </c>
      <c r="E76" s="449" t="s">
        <v>278</v>
      </c>
      <c r="F76" s="449" t="s">
        <v>463</v>
      </c>
      <c r="G76" s="448"/>
      <c r="H76" s="448"/>
    </row>
    <row r="77" spans="1:8">
      <c r="B77" s="371" t="s">
        <v>434</v>
      </c>
      <c r="C77" s="382"/>
      <c r="D77" s="382"/>
      <c r="E77" s="383"/>
      <c r="F77" s="383"/>
      <c r="G77" s="16"/>
      <c r="H77" s="16"/>
    </row>
    <row r="78" spans="1:8">
      <c r="B78" s="373" t="s">
        <v>27</v>
      </c>
      <c r="C78" s="384">
        <f>+C11</f>
        <v>90828.713730000003</v>
      </c>
      <c r="D78" s="384">
        <f>+F11</f>
        <v>90828.713730000003</v>
      </c>
      <c r="E78" s="385">
        <f>+C31</f>
        <v>35469.336940000001</v>
      </c>
      <c r="F78" s="385">
        <f>+F31</f>
        <v>35469.336940000001</v>
      </c>
      <c r="G78" s="16"/>
      <c r="H78" s="16"/>
    </row>
    <row r="79" spans="1:8" ht="16.5" customHeight="1">
      <c r="B79" s="373" t="s">
        <v>435</v>
      </c>
      <c r="C79" s="384">
        <f>+C12</f>
        <v>177635.232739</v>
      </c>
      <c r="D79" s="384">
        <f>+F12</f>
        <v>177635.232739</v>
      </c>
      <c r="E79" s="385">
        <f>+C32</f>
        <v>163606.41195190002</v>
      </c>
      <c r="F79" s="385">
        <f>+F32</f>
        <v>163606.41195190002</v>
      </c>
      <c r="G79" s="16"/>
      <c r="H79" s="16"/>
    </row>
    <row r="80" spans="1:8" ht="18.75" customHeight="1">
      <c r="B80" s="373" t="s">
        <v>407</v>
      </c>
      <c r="C80" s="384">
        <f>+C13</f>
        <v>0</v>
      </c>
      <c r="D80" s="384">
        <f>+F13</f>
        <v>0</v>
      </c>
      <c r="E80" s="385">
        <f>+C33</f>
        <v>131.76577</v>
      </c>
      <c r="F80" s="385">
        <f>+F33</f>
        <v>131.76577</v>
      </c>
      <c r="G80" s="16"/>
      <c r="H80" s="16"/>
    </row>
    <row r="81" spans="1:9">
      <c r="B81" s="373" t="s">
        <v>7</v>
      </c>
      <c r="C81" s="384">
        <f>+C14</f>
        <v>34.590000000000003</v>
      </c>
      <c r="D81" s="384">
        <f>+F14</f>
        <v>34.590000000000003</v>
      </c>
      <c r="E81" s="385">
        <f>+C34</f>
        <v>61.024999999999999</v>
      </c>
      <c r="F81" s="385">
        <f>+F34</f>
        <v>61.024999999999999</v>
      </c>
      <c r="G81" s="16"/>
      <c r="H81" s="16"/>
    </row>
    <row r="82" spans="1:9">
      <c r="B82" s="373" t="s">
        <v>436</v>
      </c>
      <c r="C82" s="384">
        <f>+C15</f>
        <v>308.65521799999999</v>
      </c>
      <c r="D82" s="384">
        <f>+F15</f>
        <v>308.65521799999999</v>
      </c>
      <c r="E82" s="385">
        <f>+C37</f>
        <v>57.109248000000001</v>
      </c>
      <c r="F82" s="385">
        <f>+F37</f>
        <v>57.109248000000001</v>
      </c>
      <c r="G82" s="16"/>
      <c r="H82" s="16"/>
    </row>
    <row r="83" spans="1:9">
      <c r="B83" s="450" t="s">
        <v>437</v>
      </c>
      <c r="C83" s="451">
        <f>SUM(C78:C82)</f>
        <v>268807.19168700004</v>
      </c>
      <c r="D83" s="451">
        <f>SUM(D78:D82)</f>
        <v>268807.19168700004</v>
      </c>
      <c r="E83" s="451">
        <f>SUM(E78:E82)</f>
        <v>199325.64890990002</v>
      </c>
      <c r="F83" s="451">
        <f>SUM(F78:F82)</f>
        <v>199325.64890990002</v>
      </c>
      <c r="G83" s="16"/>
      <c r="H83" s="16"/>
    </row>
    <row r="84" spans="1:9">
      <c r="B84" s="371" t="s">
        <v>438</v>
      </c>
      <c r="C84" s="384"/>
      <c r="D84" s="384"/>
      <c r="E84" s="386"/>
      <c r="F84" s="386"/>
      <c r="G84" s="16"/>
      <c r="H84" s="16"/>
    </row>
    <row r="85" spans="1:9" ht="18" customHeight="1">
      <c r="B85" s="373" t="s">
        <v>439</v>
      </c>
      <c r="C85" s="384">
        <f t="shared" ref="C85:C92" si="4">+C18</f>
        <v>38847.317329999998</v>
      </c>
      <c r="D85" s="384">
        <f t="shared" ref="D85:D92" si="5">+F18</f>
        <v>38847.317329999998</v>
      </c>
      <c r="E85" s="385">
        <f t="shared" ref="E85:E92" si="6">+C40</f>
        <v>56628.231589999996</v>
      </c>
      <c r="F85" s="385">
        <f t="shared" ref="F85:F92" si="7">+F40</f>
        <v>56628.231589999996</v>
      </c>
      <c r="G85" s="16"/>
      <c r="H85" s="16"/>
    </row>
    <row r="86" spans="1:9">
      <c r="B86" s="373" t="s">
        <v>447</v>
      </c>
      <c r="C86" s="384">
        <f t="shared" si="4"/>
        <v>12144.5751069</v>
      </c>
      <c r="D86" s="384">
        <f t="shared" si="5"/>
        <v>12144.5751069</v>
      </c>
      <c r="E86" s="385">
        <f t="shared" si="6"/>
        <v>27094.200359999999</v>
      </c>
      <c r="F86" s="385">
        <f t="shared" si="7"/>
        <v>27094.200359999999</v>
      </c>
      <c r="G86" s="16"/>
      <c r="H86" s="16"/>
    </row>
    <row r="87" spans="1:9" ht="28.5">
      <c r="B87" s="373" t="s">
        <v>157</v>
      </c>
      <c r="C87" s="384">
        <f t="shared" si="4"/>
        <v>33417.881619699998</v>
      </c>
      <c r="D87" s="384">
        <f t="shared" si="5"/>
        <v>33417.881619699998</v>
      </c>
      <c r="E87" s="385">
        <f t="shared" si="6"/>
        <v>41150.761801500004</v>
      </c>
      <c r="F87" s="385">
        <f t="shared" si="7"/>
        <v>41150.761801500004</v>
      </c>
      <c r="G87" s="16"/>
      <c r="H87" s="16"/>
    </row>
    <row r="88" spans="1:9" ht="28.5">
      <c r="B88" s="373" t="s">
        <v>154</v>
      </c>
      <c r="C88" s="384">
        <f t="shared" si="4"/>
        <v>0</v>
      </c>
      <c r="D88" s="384">
        <f t="shared" si="5"/>
        <v>0</v>
      </c>
      <c r="E88" s="385">
        <f t="shared" si="6"/>
        <v>26114.021122400001</v>
      </c>
      <c r="F88" s="385">
        <f t="shared" si="7"/>
        <v>26114.021122400001</v>
      </c>
      <c r="G88" s="16"/>
      <c r="H88" s="16"/>
    </row>
    <row r="89" spans="1:9">
      <c r="B89" s="373" t="s">
        <v>159</v>
      </c>
      <c r="C89" s="384">
        <f t="shared" si="4"/>
        <v>4074.8562567000004</v>
      </c>
      <c r="D89" s="384">
        <f t="shared" si="5"/>
        <v>4074.8562567000004</v>
      </c>
      <c r="E89" s="385">
        <f t="shared" si="6"/>
        <v>3955.7780952999997</v>
      </c>
      <c r="F89" s="385">
        <f t="shared" si="7"/>
        <v>3955.7780952999997</v>
      </c>
      <c r="G89" s="16"/>
      <c r="H89" s="16"/>
    </row>
    <row r="90" spans="1:9">
      <c r="B90" s="373" t="s">
        <v>156</v>
      </c>
      <c r="C90" s="384">
        <f t="shared" si="4"/>
        <v>1913.847571</v>
      </c>
      <c r="D90" s="384">
        <f t="shared" si="5"/>
        <v>1913.847571</v>
      </c>
      <c r="E90" s="385">
        <f t="shared" si="6"/>
        <v>1661.546781</v>
      </c>
      <c r="F90" s="385">
        <f t="shared" si="7"/>
        <v>1661.546781</v>
      </c>
      <c r="G90" s="16"/>
      <c r="H90" s="16"/>
    </row>
    <row r="91" spans="1:9">
      <c r="B91" s="373" t="s">
        <v>158</v>
      </c>
      <c r="C91" s="384">
        <f t="shared" si="4"/>
        <v>994.88243319999992</v>
      </c>
      <c r="D91" s="384">
        <f t="shared" si="5"/>
        <v>994.88243319999992</v>
      </c>
      <c r="E91" s="385">
        <f t="shared" si="6"/>
        <v>995.01293319999991</v>
      </c>
      <c r="F91" s="385">
        <f t="shared" si="7"/>
        <v>995.01293319999991</v>
      </c>
      <c r="G91" s="16"/>
      <c r="H91" s="16"/>
      <c r="I91" s="340"/>
    </row>
    <row r="92" spans="1:9">
      <c r="B92" s="373" t="s">
        <v>160</v>
      </c>
      <c r="C92" s="384">
        <f t="shared" si="4"/>
        <v>190.81470999999999</v>
      </c>
      <c r="D92" s="384">
        <f t="shared" si="5"/>
        <v>190.81470999999999</v>
      </c>
      <c r="E92" s="385">
        <f t="shared" si="6"/>
        <v>46.60322</v>
      </c>
      <c r="F92" s="385">
        <f t="shared" si="7"/>
        <v>46.60322</v>
      </c>
      <c r="G92" s="16"/>
      <c r="H92" s="16"/>
      <c r="I92" s="340"/>
    </row>
    <row r="93" spans="1:9">
      <c r="B93" s="452" t="s">
        <v>440</v>
      </c>
      <c r="C93" s="451">
        <f>SUM(C85:C92)</f>
        <v>91584.175027500009</v>
      </c>
      <c r="D93" s="451">
        <f t="shared" ref="D93:F93" si="8">SUM(D85:D92)</f>
        <v>91584.175027500009</v>
      </c>
      <c r="E93" s="451">
        <f t="shared" si="8"/>
        <v>157646.15590339998</v>
      </c>
      <c r="F93" s="451">
        <f t="shared" si="8"/>
        <v>157646.15590339998</v>
      </c>
      <c r="G93" s="16"/>
      <c r="H93" s="16"/>
    </row>
    <row r="94" spans="1:9" s="16" customFormat="1"/>
    <row r="95" spans="1:9" ht="33.75" customHeight="1">
      <c r="A95" s="387"/>
      <c r="B95" s="797" t="s">
        <v>464</v>
      </c>
      <c r="C95" s="797"/>
      <c r="D95" s="797"/>
      <c r="E95" s="797"/>
      <c r="F95" s="797"/>
      <c r="G95" s="797"/>
      <c r="H95" s="453"/>
    </row>
    <row r="96" spans="1:9" ht="10.5" customHeight="1">
      <c r="B96" s="388"/>
      <c r="C96" s="389"/>
      <c r="D96" s="389"/>
      <c r="E96" s="380"/>
      <c r="F96" s="380"/>
      <c r="G96" s="380"/>
      <c r="H96" s="380"/>
    </row>
    <row r="97" spans="1:15">
      <c r="A97" s="330">
        <f>A74+1</f>
        <v>4</v>
      </c>
      <c r="B97" s="329" t="s">
        <v>465</v>
      </c>
    </row>
    <row r="98" spans="1:15">
      <c r="B98" s="328" t="s">
        <v>466</v>
      </c>
      <c r="C98" s="330"/>
      <c r="D98" s="330"/>
      <c r="E98" s="330"/>
      <c r="F98" s="330"/>
      <c r="G98" s="330"/>
      <c r="H98" s="330"/>
    </row>
    <row r="99" spans="1:15" ht="45.75" customHeight="1">
      <c r="B99" s="797" t="s">
        <v>551</v>
      </c>
      <c r="C99" s="797"/>
      <c r="D99" s="797"/>
      <c r="E99" s="797"/>
      <c r="F99" s="797"/>
      <c r="G99" s="797"/>
      <c r="H99" s="356"/>
    </row>
    <row r="100" spans="1:15" ht="15" thickBot="1">
      <c r="B100" s="390"/>
      <c r="C100" s="390"/>
      <c r="D100" s="390"/>
      <c r="E100" s="390"/>
      <c r="F100" s="390"/>
      <c r="G100" s="390"/>
      <c r="H100" s="390"/>
    </row>
    <row r="101" spans="1:15" ht="37.5" customHeight="1">
      <c r="B101" s="454" t="s">
        <v>467</v>
      </c>
      <c r="C101" s="455" t="s">
        <v>468</v>
      </c>
      <c r="D101" s="455" t="s">
        <v>469</v>
      </c>
      <c r="E101" s="819" t="s">
        <v>470</v>
      </c>
      <c r="F101" s="820"/>
      <c r="G101" s="390"/>
      <c r="H101" s="390"/>
    </row>
    <row r="102" spans="1:15" ht="68.25" customHeight="1">
      <c r="B102" s="391" t="s">
        <v>471</v>
      </c>
      <c r="C102" s="392" t="s">
        <v>472</v>
      </c>
      <c r="D102" s="392" t="s">
        <v>473</v>
      </c>
      <c r="E102" s="821" t="s">
        <v>474</v>
      </c>
      <c r="F102" s="822"/>
      <c r="G102" s="390"/>
      <c r="H102" s="390"/>
    </row>
    <row r="103" spans="1:15" ht="89.25" customHeight="1">
      <c r="B103" s="391" t="s">
        <v>475</v>
      </c>
      <c r="C103" s="392" t="s">
        <v>476</v>
      </c>
      <c r="D103" s="392" t="s">
        <v>477</v>
      </c>
      <c r="E103" s="823" t="s">
        <v>478</v>
      </c>
      <c r="F103" s="824"/>
      <c r="G103" s="390"/>
      <c r="H103" s="390"/>
    </row>
    <row r="104" spans="1:15" ht="50.25" customHeight="1" thickBot="1">
      <c r="B104" s="393" t="s">
        <v>479</v>
      </c>
      <c r="C104" s="394" t="s">
        <v>480</v>
      </c>
      <c r="D104" s="394" t="s">
        <v>481</v>
      </c>
      <c r="E104" s="825" t="s">
        <v>482</v>
      </c>
      <c r="F104" s="826"/>
      <c r="G104" s="390"/>
      <c r="H104" s="390"/>
      <c r="I104" s="357"/>
    </row>
    <row r="105" spans="1:15" ht="11.25" customHeight="1">
      <c r="O105" s="328" t="s">
        <v>483</v>
      </c>
    </row>
    <row r="106" spans="1:15">
      <c r="A106" s="330" t="s">
        <v>484</v>
      </c>
      <c r="B106" s="395" t="s">
        <v>485</v>
      </c>
      <c r="C106" s="396"/>
      <c r="D106" s="396"/>
      <c r="E106" s="396"/>
      <c r="F106" s="396"/>
      <c r="G106" s="396"/>
      <c r="H106" s="396"/>
    </row>
    <row r="107" spans="1:15">
      <c r="B107" s="397" t="s">
        <v>486</v>
      </c>
      <c r="C107" s="396"/>
      <c r="D107" s="396"/>
      <c r="E107" s="396"/>
      <c r="F107" s="396"/>
      <c r="G107" s="396"/>
      <c r="H107" s="396"/>
    </row>
    <row r="108" spans="1:15" ht="38.25" customHeight="1">
      <c r="B108" s="797" t="s">
        <v>487</v>
      </c>
      <c r="C108" s="797"/>
      <c r="D108" s="797"/>
      <c r="E108" s="797"/>
      <c r="F108" s="797"/>
      <c r="G108" s="797"/>
      <c r="H108" s="348"/>
    </row>
    <row r="109" spans="1:15" ht="14.25" customHeight="1">
      <c r="B109" s="827" t="s">
        <v>488</v>
      </c>
      <c r="C109" s="827"/>
      <c r="D109" s="827"/>
      <c r="E109" s="827"/>
      <c r="F109" s="827"/>
      <c r="G109" s="827"/>
      <c r="H109" s="667"/>
    </row>
    <row r="110" spans="1:15">
      <c r="B110" s="398"/>
      <c r="C110" s="398"/>
      <c r="D110" s="399"/>
      <c r="E110" s="399"/>
      <c r="F110" s="398"/>
      <c r="G110" s="398"/>
      <c r="H110" s="398"/>
    </row>
    <row r="111" spans="1:15">
      <c r="B111" s="456" t="s">
        <v>3</v>
      </c>
      <c r="C111" s="457">
        <v>43555</v>
      </c>
      <c r="D111" s="457">
        <v>43190</v>
      </c>
      <c r="E111" s="16"/>
      <c r="F111" s="398"/>
      <c r="G111" s="398"/>
      <c r="H111" s="398"/>
    </row>
    <row r="112" spans="1:15">
      <c r="B112" s="400" t="s">
        <v>489</v>
      </c>
      <c r="C112" s="401"/>
      <c r="D112" s="401"/>
      <c r="E112" s="16"/>
      <c r="F112" s="398"/>
      <c r="G112" s="402"/>
      <c r="H112" s="398"/>
    </row>
    <row r="113" spans="1:9">
      <c r="B113" s="400" t="s">
        <v>490</v>
      </c>
      <c r="C113" s="401">
        <f>+C85</f>
        <v>38847.317329999998</v>
      </c>
      <c r="D113" s="401">
        <f>+E85</f>
        <v>56628.231589999996</v>
      </c>
      <c r="E113" s="16"/>
      <c r="F113" s="402"/>
      <c r="G113" s="402"/>
      <c r="H113" s="402"/>
      <c r="I113" s="402"/>
    </row>
    <row r="114" spans="1:9">
      <c r="B114" s="458" t="s">
        <v>491</v>
      </c>
      <c r="C114" s="459">
        <f>SUM(C112:C113)</f>
        <v>38847.317329999998</v>
      </c>
      <c r="D114" s="459">
        <f>SUM(D112:D113)</f>
        <v>56628.231589999996</v>
      </c>
      <c r="E114" s="16"/>
      <c r="F114" s="402"/>
      <c r="G114" s="402"/>
      <c r="H114" s="402"/>
      <c r="I114" s="403"/>
    </row>
    <row r="115" spans="1:9" ht="18">
      <c r="A115" s="784" t="s">
        <v>492</v>
      </c>
      <c r="B115" s="784"/>
      <c r="C115" s="784"/>
      <c r="D115" s="784"/>
      <c r="E115" s="784"/>
      <c r="F115" s="784"/>
      <c r="G115" s="784"/>
      <c r="H115" s="428"/>
    </row>
    <row r="116" spans="1:9" ht="15.75">
      <c r="A116" s="785" t="s">
        <v>553</v>
      </c>
      <c r="B116" s="785"/>
      <c r="C116" s="785"/>
      <c r="D116" s="785"/>
      <c r="E116" s="785"/>
      <c r="F116" s="785"/>
      <c r="G116" s="785"/>
      <c r="H116" s="430"/>
    </row>
    <row r="117" spans="1:9">
      <c r="B117" s="397" t="s">
        <v>494</v>
      </c>
      <c r="C117" s="396"/>
      <c r="D117" s="396"/>
      <c r="E117" s="396"/>
      <c r="F117" s="396"/>
      <c r="G117" s="396"/>
      <c r="H117" s="396"/>
    </row>
    <row r="118" spans="1:9" ht="33" customHeight="1">
      <c r="B118" s="797" t="s">
        <v>495</v>
      </c>
      <c r="C118" s="797"/>
      <c r="D118" s="797"/>
      <c r="E118" s="797"/>
      <c r="F118" s="797"/>
      <c r="G118" s="797"/>
      <c r="H118" s="348"/>
    </row>
    <row r="119" spans="1:9">
      <c r="B119" s="404"/>
      <c r="C119" s="404"/>
      <c r="E119" s="399"/>
      <c r="F119" s="399"/>
      <c r="H119" s="404"/>
    </row>
    <row r="120" spans="1:9" ht="15.75" customHeight="1">
      <c r="B120" s="801" t="s">
        <v>3</v>
      </c>
      <c r="C120" s="809" t="s">
        <v>497</v>
      </c>
      <c r="D120" s="809"/>
      <c r="E120" s="405"/>
      <c r="F120" s="396"/>
      <c r="G120" s="396"/>
      <c r="H120" s="396"/>
    </row>
    <row r="121" spans="1:9" ht="28.5">
      <c r="B121" s="801"/>
      <c r="C121" s="460" t="s">
        <v>498</v>
      </c>
      <c r="D121" s="460" t="s">
        <v>499</v>
      </c>
      <c r="F121" s="406"/>
      <c r="G121" s="406"/>
      <c r="H121" s="396"/>
    </row>
    <row r="122" spans="1:9" ht="28.5">
      <c r="B122" s="407" t="s">
        <v>500</v>
      </c>
      <c r="C122" s="810" t="s">
        <v>501</v>
      </c>
      <c r="D122" s="811"/>
      <c r="F122" s="408"/>
      <c r="G122" s="408"/>
      <c r="H122" s="396"/>
    </row>
    <row r="123" spans="1:9" ht="28.5">
      <c r="B123" s="407" t="s">
        <v>502</v>
      </c>
      <c r="C123" s="812"/>
      <c r="D123" s="813"/>
      <c r="E123" s="344"/>
      <c r="F123" s="409"/>
      <c r="G123" s="409"/>
      <c r="H123" s="409"/>
    </row>
    <row r="124" spans="1:9" ht="11.25" customHeight="1">
      <c r="B124" s="814"/>
      <c r="C124" s="814"/>
      <c r="D124" s="814"/>
      <c r="E124" s="410"/>
      <c r="F124" s="409"/>
      <c r="G124" s="409"/>
      <c r="H124" s="409"/>
    </row>
    <row r="125" spans="1:9">
      <c r="A125" s="330" t="s">
        <v>318</v>
      </c>
      <c r="B125" s="329" t="s">
        <v>503</v>
      </c>
    </row>
    <row r="126" spans="1:9" ht="60" customHeight="1">
      <c r="B126" s="797" t="s">
        <v>504</v>
      </c>
      <c r="C126" s="797"/>
      <c r="D126" s="797"/>
      <c r="E126" s="797"/>
      <c r="F126" s="797"/>
      <c r="G126" s="797"/>
      <c r="H126" s="348"/>
    </row>
    <row r="127" spans="1:9" ht="7.5" customHeight="1">
      <c r="B127" s="331"/>
    </row>
    <row r="128" spans="1:9">
      <c r="A128" s="330" t="s">
        <v>505</v>
      </c>
      <c r="B128" s="329" t="s">
        <v>27</v>
      </c>
    </row>
    <row r="129" spans="1:8" ht="46.5" customHeight="1">
      <c r="B129" s="797" t="s">
        <v>664</v>
      </c>
      <c r="C129" s="797"/>
      <c r="D129" s="797"/>
      <c r="E129" s="797"/>
      <c r="F129" s="797"/>
      <c r="G129" s="797"/>
      <c r="H129" s="348"/>
    </row>
    <row r="130" spans="1:8" ht="6.75" customHeight="1"/>
    <row r="131" spans="1:8">
      <c r="B131" s="329" t="s">
        <v>506</v>
      </c>
    </row>
    <row r="132" spans="1:8">
      <c r="B132" s="328" t="s">
        <v>507</v>
      </c>
    </row>
    <row r="133" spans="1:8" ht="6" customHeight="1" thickBot="1"/>
    <row r="134" spans="1:8">
      <c r="B134" s="815" t="s">
        <v>3</v>
      </c>
      <c r="C134" s="808" t="s">
        <v>498</v>
      </c>
      <c r="D134" s="808"/>
      <c r="E134" s="808" t="s">
        <v>499</v>
      </c>
      <c r="F134" s="808"/>
      <c r="G134" s="16"/>
      <c r="H134" s="16"/>
    </row>
    <row r="135" spans="1:8" ht="28.5">
      <c r="B135" s="816"/>
      <c r="C135" s="461" t="s">
        <v>508</v>
      </c>
      <c r="D135" s="461" t="s">
        <v>509</v>
      </c>
      <c r="E135" s="461" t="s">
        <v>508</v>
      </c>
      <c r="F135" s="461" t="s">
        <v>509</v>
      </c>
      <c r="G135" s="16"/>
      <c r="H135" s="16"/>
    </row>
    <row r="136" spans="1:8">
      <c r="B136" s="411" t="s">
        <v>510</v>
      </c>
      <c r="C136" s="804" t="s">
        <v>501</v>
      </c>
      <c r="D136" s="804"/>
      <c r="E136" s="804"/>
      <c r="F136" s="804"/>
      <c r="G136" s="16"/>
      <c r="H136" s="16"/>
    </row>
    <row r="137" spans="1:8">
      <c r="B137" s="412" t="s">
        <v>511</v>
      </c>
      <c r="C137" s="804"/>
      <c r="D137" s="804"/>
      <c r="E137" s="804"/>
      <c r="F137" s="804"/>
      <c r="G137" s="16"/>
      <c r="H137" s="16"/>
    </row>
    <row r="138" spans="1:8">
      <c r="B138" s="411" t="s">
        <v>552</v>
      </c>
      <c r="C138" s="804"/>
      <c r="D138" s="804"/>
      <c r="E138" s="804"/>
      <c r="F138" s="804"/>
      <c r="G138" s="16"/>
      <c r="H138" s="16"/>
    </row>
    <row r="139" spans="1:8" ht="15" thickBot="1">
      <c r="B139" s="413" t="s">
        <v>8</v>
      </c>
      <c r="C139" s="414"/>
      <c r="D139" s="414"/>
      <c r="E139" s="414"/>
      <c r="F139" s="414"/>
      <c r="G139" s="16"/>
      <c r="H139" s="16"/>
    </row>
    <row r="140" spans="1:8" ht="9" customHeight="1">
      <c r="C140" s="344"/>
      <c r="D140" s="344"/>
      <c r="E140" s="344"/>
      <c r="F140" s="344"/>
    </row>
    <row r="141" spans="1:8" ht="45" customHeight="1">
      <c r="A141" s="415"/>
      <c r="B141" s="797" t="s">
        <v>512</v>
      </c>
      <c r="C141" s="797"/>
      <c r="D141" s="797"/>
      <c r="E141" s="797"/>
      <c r="F141" s="797"/>
      <c r="G141" s="797"/>
      <c r="H141" s="356"/>
    </row>
    <row r="142" spans="1:8" ht="31.5" customHeight="1">
      <c r="B142" s="797" t="s">
        <v>513</v>
      </c>
      <c r="C142" s="797"/>
      <c r="D142" s="797"/>
      <c r="E142" s="797"/>
      <c r="F142" s="797"/>
      <c r="G142" s="797"/>
      <c r="H142" s="355"/>
    </row>
    <row r="143" spans="1:8" ht="9" customHeight="1"/>
    <row r="144" spans="1:8">
      <c r="A144" s="330" t="s">
        <v>514</v>
      </c>
      <c r="B144" s="329" t="s">
        <v>515</v>
      </c>
    </row>
    <row r="145" spans="1:8" ht="46.5" customHeight="1">
      <c r="B145" s="797" t="s">
        <v>665</v>
      </c>
      <c r="C145" s="797"/>
      <c r="D145" s="797"/>
      <c r="E145" s="797"/>
      <c r="F145" s="797"/>
      <c r="G145" s="797"/>
      <c r="H145" s="356"/>
    </row>
    <row r="146" spans="1:8" hidden="1">
      <c r="A146" s="330" t="s">
        <v>320</v>
      </c>
      <c r="B146" s="329" t="s">
        <v>516</v>
      </c>
    </row>
    <row r="147" spans="1:8" hidden="1">
      <c r="A147" s="330"/>
      <c r="B147" s="416" t="s">
        <v>3</v>
      </c>
      <c r="C147" s="416" t="s">
        <v>517</v>
      </c>
      <c r="D147" s="416" t="s">
        <v>518</v>
      </c>
    </row>
    <row r="148" spans="1:8" hidden="1">
      <c r="B148" s="417" t="s">
        <v>519</v>
      </c>
      <c r="C148" s="417"/>
      <c r="D148" s="417"/>
    </row>
    <row r="149" spans="1:8" hidden="1">
      <c r="B149" s="417" t="s">
        <v>519</v>
      </c>
      <c r="C149" s="417"/>
      <c r="D149" s="417"/>
    </row>
    <row r="150" spans="1:8" hidden="1"/>
    <row r="151" spans="1:8" hidden="1">
      <c r="B151" s="397" t="s">
        <v>494</v>
      </c>
      <c r="C151" s="396"/>
      <c r="D151" s="396"/>
      <c r="E151" s="396"/>
      <c r="F151" s="396"/>
      <c r="G151" s="396"/>
      <c r="H151" s="396"/>
    </row>
    <row r="152" spans="1:8" ht="33" hidden="1" customHeight="1">
      <c r="B152" s="805" t="s">
        <v>520</v>
      </c>
      <c r="C152" s="805"/>
      <c r="D152" s="805"/>
      <c r="E152" s="805"/>
      <c r="F152" s="805"/>
      <c r="G152" s="805"/>
      <c r="H152" s="805"/>
    </row>
    <row r="153" spans="1:8" hidden="1">
      <c r="B153" s="404"/>
      <c r="C153" s="404"/>
      <c r="D153" s="399" t="s">
        <v>496</v>
      </c>
      <c r="E153" s="399"/>
      <c r="F153" s="404"/>
      <c r="G153" s="404"/>
      <c r="H153" s="404"/>
    </row>
    <row r="154" spans="1:8" ht="15.75" hidden="1" customHeight="1">
      <c r="B154" s="806" t="s">
        <v>3</v>
      </c>
      <c r="C154" s="807" t="s">
        <v>497</v>
      </c>
      <c r="D154" s="807"/>
      <c r="E154" s="405"/>
      <c r="F154" s="396"/>
      <c r="G154" s="396"/>
      <c r="H154" s="396"/>
    </row>
    <row r="155" spans="1:8" ht="28.5" hidden="1">
      <c r="B155" s="806"/>
      <c r="C155" s="418" t="s">
        <v>499</v>
      </c>
      <c r="D155" s="418" t="s">
        <v>521</v>
      </c>
      <c r="F155" s="406"/>
      <c r="G155" s="406"/>
      <c r="H155" s="396"/>
    </row>
    <row r="156" spans="1:8" hidden="1">
      <c r="B156" s="407" t="s">
        <v>522</v>
      </c>
      <c r="C156" s="419"/>
      <c r="D156" s="420"/>
      <c r="F156" s="408"/>
      <c r="G156" s="408"/>
      <c r="H156" s="396"/>
    </row>
    <row r="157" spans="1:8" hidden="1">
      <c r="B157" s="407" t="s">
        <v>523</v>
      </c>
      <c r="C157" s="419"/>
      <c r="D157" s="420"/>
      <c r="E157" s="344"/>
      <c r="F157" s="409"/>
      <c r="G157" s="409"/>
      <c r="H157" s="409"/>
    </row>
    <row r="158" spans="1:8">
      <c r="A158" s="330" t="s">
        <v>320</v>
      </c>
      <c r="B158" s="329" t="s">
        <v>524</v>
      </c>
    </row>
    <row r="159" spans="1:8" ht="15.75" customHeight="1">
      <c r="B159" s="797" t="s">
        <v>525</v>
      </c>
      <c r="C159" s="797"/>
      <c r="D159" s="797"/>
      <c r="E159" s="797"/>
      <c r="F159" s="797"/>
      <c r="G159" s="797"/>
      <c r="H159" s="331"/>
    </row>
    <row r="160" spans="1:8" ht="33.75" customHeight="1">
      <c r="B160" s="797" t="s">
        <v>526</v>
      </c>
      <c r="C160" s="797"/>
      <c r="D160" s="797"/>
      <c r="E160" s="797"/>
      <c r="F160" s="797"/>
      <c r="G160" s="797"/>
      <c r="H160" s="356"/>
    </row>
    <row r="161" spans="1:29" ht="45" customHeight="1">
      <c r="B161" s="797" t="s">
        <v>527</v>
      </c>
      <c r="C161" s="797"/>
      <c r="D161" s="797"/>
      <c r="E161" s="797"/>
      <c r="F161" s="797"/>
      <c r="G161" s="797"/>
      <c r="H161" s="356"/>
    </row>
    <row r="162" spans="1:29" ht="15.75" customHeight="1">
      <c r="B162" s="797" t="s">
        <v>528</v>
      </c>
      <c r="C162" s="797"/>
      <c r="D162" s="797"/>
      <c r="E162" s="797"/>
      <c r="F162" s="797"/>
      <c r="G162" s="797"/>
      <c r="H162" s="356"/>
    </row>
    <row r="163" spans="1:29" ht="44.25" customHeight="1">
      <c r="B163" s="797" t="s">
        <v>529</v>
      </c>
      <c r="C163" s="797"/>
      <c r="D163" s="797"/>
      <c r="E163" s="797"/>
      <c r="F163" s="797"/>
      <c r="G163" s="797"/>
      <c r="H163" s="356"/>
    </row>
    <row r="164" spans="1:29" ht="11.25" customHeight="1">
      <c r="B164" s="421"/>
      <c r="C164" s="421"/>
      <c r="D164" s="422"/>
      <c r="E164" s="329"/>
      <c r="F164" s="803" t="s">
        <v>728</v>
      </c>
      <c r="G164" s="803"/>
      <c r="H164" s="803"/>
    </row>
    <row r="165" spans="1:29" ht="28.5">
      <c r="B165" s="465" t="s">
        <v>3</v>
      </c>
      <c r="C165" s="465" t="s">
        <v>530</v>
      </c>
      <c r="D165" s="465" t="s">
        <v>531</v>
      </c>
      <c r="E165" s="465" t="s">
        <v>532</v>
      </c>
      <c r="F165" s="465" t="s">
        <v>533</v>
      </c>
      <c r="G165" s="465" t="s">
        <v>8</v>
      </c>
      <c r="H165"/>
      <c r="K165" s="344"/>
      <c r="L165" s="344"/>
      <c r="M165" s="344"/>
    </row>
    <row r="166" spans="1:29" ht="15">
      <c r="B166" s="462" t="s">
        <v>534</v>
      </c>
      <c r="C166" s="508"/>
      <c r="D166" s="508"/>
      <c r="E166" s="508"/>
      <c r="F166" s="508"/>
      <c r="G166" s="508"/>
      <c r="H166"/>
      <c r="K166" s="344"/>
      <c r="L166" s="344"/>
      <c r="M166" s="344"/>
    </row>
    <row r="167" spans="1:29" ht="15">
      <c r="B167" s="463" t="s">
        <v>535</v>
      </c>
      <c r="C167" s="508">
        <v>0</v>
      </c>
      <c r="D167" s="508">
        <v>0</v>
      </c>
      <c r="E167" s="508">
        <v>0</v>
      </c>
      <c r="F167" s="508">
        <v>0</v>
      </c>
      <c r="G167" s="508">
        <v>0</v>
      </c>
      <c r="H167"/>
      <c r="I167" s="344"/>
      <c r="K167" s="344"/>
      <c r="L167" s="344"/>
      <c r="M167" s="344"/>
      <c r="AC167" s="340"/>
    </row>
    <row r="168" spans="1:29" ht="15">
      <c r="B168" s="463" t="s">
        <v>536</v>
      </c>
      <c r="C168" s="508">
        <v>0</v>
      </c>
      <c r="D168" s="508">
        <v>0</v>
      </c>
      <c r="E168" s="508">
        <v>0</v>
      </c>
      <c r="F168" s="508">
        <f>+C85</f>
        <v>38847.317329999998</v>
      </c>
      <c r="G168" s="508">
        <v>0</v>
      </c>
      <c r="H168"/>
      <c r="I168" s="344"/>
      <c r="J168" s="344"/>
      <c r="AC168" s="343"/>
    </row>
    <row r="169" spans="1:29" ht="15">
      <c r="B169" s="463" t="s">
        <v>537</v>
      </c>
      <c r="C169" s="508">
        <f>+C87</f>
        <v>33417.881619699998</v>
      </c>
      <c r="D169" s="508">
        <v>0</v>
      </c>
      <c r="E169" s="508">
        <v>0</v>
      </c>
      <c r="F169" s="508">
        <v>0</v>
      </c>
      <c r="G169" s="508">
        <v>0</v>
      </c>
      <c r="H169"/>
      <c r="I169" s="344"/>
      <c r="J169" s="344"/>
      <c r="K169" s="344"/>
      <c r="AC169" s="340"/>
    </row>
    <row r="170" spans="1:29" ht="15">
      <c r="B170" s="464" t="s">
        <v>538</v>
      </c>
      <c r="C170" s="508">
        <f>+C93-C85-C87</f>
        <v>19318.976077800013</v>
      </c>
      <c r="D170" s="508">
        <v>0</v>
      </c>
      <c r="E170" s="508">
        <v>0</v>
      </c>
      <c r="F170" s="508">
        <v>0</v>
      </c>
      <c r="G170" s="508">
        <v>0</v>
      </c>
      <c r="H170"/>
      <c r="I170" s="423"/>
    </row>
    <row r="171" spans="1:29" ht="18">
      <c r="A171" s="784" t="s">
        <v>492</v>
      </c>
      <c r="B171" s="784"/>
      <c r="C171" s="784"/>
      <c r="D171" s="784"/>
      <c r="E171" s="784"/>
      <c r="F171" s="784"/>
      <c r="G171" s="784"/>
      <c r="H171" s="428"/>
    </row>
    <row r="172" spans="1:29" ht="15.75">
      <c r="A172" s="785" t="s">
        <v>493</v>
      </c>
      <c r="B172" s="785"/>
      <c r="C172" s="785"/>
      <c r="D172" s="785"/>
      <c r="E172" s="785"/>
      <c r="F172" s="785"/>
      <c r="G172" s="785"/>
      <c r="H172" s="430"/>
    </row>
    <row r="173" spans="1:29" ht="15.75">
      <c r="A173" s="429"/>
      <c r="B173" s="429"/>
      <c r="C173" s="429"/>
      <c r="D173" s="429"/>
      <c r="E173" s="429"/>
      <c r="F173" s="429"/>
      <c r="G173" s="525" t="s">
        <v>728</v>
      </c>
      <c r="H173" s="429"/>
    </row>
    <row r="174" spans="1:29" ht="28.5">
      <c r="B174" s="465" t="s">
        <v>3</v>
      </c>
      <c r="C174" s="465" t="s">
        <v>530</v>
      </c>
      <c r="D174" s="465" t="s">
        <v>531</v>
      </c>
      <c r="E174" s="465" t="s">
        <v>532</v>
      </c>
      <c r="F174" s="465" t="s">
        <v>533</v>
      </c>
      <c r="G174" s="465" t="s">
        <v>8</v>
      </c>
      <c r="H174"/>
      <c r="K174" s="344"/>
      <c r="L174" s="344"/>
      <c r="M174" s="344"/>
    </row>
    <row r="175" spans="1:29" ht="15" customHeight="1">
      <c r="B175" s="462" t="s">
        <v>459</v>
      </c>
      <c r="C175" s="508"/>
      <c r="D175" s="508"/>
      <c r="E175" s="508"/>
      <c r="F175" s="508"/>
      <c r="G175" s="508"/>
      <c r="H175"/>
      <c r="K175" s="344"/>
      <c r="L175" s="344"/>
      <c r="M175" s="344"/>
    </row>
    <row r="176" spans="1:29" ht="15">
      <c r="B176" s="463" t="s">
        <v>535</v>
      </c>
      <c r="C176" s="508"/>
      <c r="D176" s="508"/>
      <c r="E176" s="508"/>
      <c r="F176" s="508"/>
      <c r="G176" s="508"/>
      <c r="H176"/>
      <c r="I176" s="344"/>
      <c r="K176" s="344"/>
      <c r="L176" s="344"/>
      <c r="M176" s="344"/>
      <c r="AC176" s="340"/>
    </row>
    <row r="177" spans="1:29" ht="15">
      <c r="B177" s="463" t="s">
        <v>536</v>
      </c>
      <c r="C177" s="508"/>
      <c r="D177" s="508"/>
      <c r="E177" s="508"/>
      <c r="F177" s="508">
        <f>+E85</f>
        <v>56628.231589999996</v>
      </c>
      <c r="G177" s="508"/>
      <c r="H177"/>
      <c r="I177" s="344"/>
      <c r="J177" s="344"/>
      <c r="AC177" s="343"/>
    </row>
    <row r="178" spans="1:29" ht="15">
      <c r="B178" s="463" t="s">
        <v>537</v>
      </c>
      <c r="C178" s="508">
        <f>+E87</f>
        <v>41150.761801500004</v>
      </c>
      <c r="D178" s="508"/>
      <c r="E178" s="508"/>
      <c r="F178" s="508"/>
      <c r="G178" s="508"/>
      <c r="H178"/>
      <c r="I178" s="344"/>
      <c r="J178" s="344"/>
      <c r="K178" s="344"/>
      <c r="AC178" s="340"/>
    </row>
    <row r="179" spans="1:29" ht="15">
      <c r="B179" s="464" t="s">
        <v>538</v>
      </c>
      <c r="C179" s="508">
        <f>+E93-E85-E87</f>
        <v>59867.16251189998</v>
      </c>
      <c r="D179" s="508"/>
      <c r="E179" s="508"/>
      <c r="F179" s="508"/>
      <c r="G179" s="508"/>
      <c r="H179"/>
      <c r="I179" s="423"/>
    </row>
    <row r="180" spans="1:29" s="16" customFormat="1"/>
    <row r="181" spans="1:29">
      <c r="B181" s="16"/>
      <c r="C181" s="16"/>
      <c r="D181" s="16"/>
      <c r="E181" s="16"/>
      <c r="F181" s="16"/>
      <c r="G181" s="16"/>
      <c r="H181" s="16"/>
      <c r="I181" s="344"/>
      <c r="J181" s="344"/>
      <c r="AC181" s="343"/>
    </row>
    <row r="182" spans="1:29">
      <c r="A182" s="330">
        <f>A97+1</f>
        <v>5</v>
      </c>
      <c r="B182" s="329" t="s">
        <v>539</v>
      </c>
      <c r="C182" s="425"/>
      <c r="D182" s="344"/>
    </row>
    <row r="183" spans="1:29">
      <c r="A183" s="330" t="s">
        <v>302</v>
      </c>
      <c r="B183" s="329" t="s">
        <v>540</v>
      </c>
      <c r="E183" s="344"/>
    </row>
    <row r="184" spans="1:29" ht="63" customHeight="1">
      <c r="B184" s="797" t="s">
        <v>541</v>
      </c>
      <c r="C184" s="797"/>
      <c r="D184" s="797"/>
      <c r="E184" s="797"/>
      <c r="F184" s="797"/>
      <c r="G184" s="797"/>
      <c r="H184" s="466"/>
    </row>
    <row r="185" spans="1:29" ht="6.75" customHeight="1">
      <c r="B185" s="797"/>
      <c r="C185" s="797"/>
      <c r="D185" s="797"/>
      <c r="E185" s="797"/>
      <c r="F185" s="797"/>
      <c r="G185" s="797"/>
      <c r="H185" s="426"/>
    </row>
    <row r="186" spans="1:29" ht="46.5" customHeight="1">
      <c r="B186" s="797" t="s">
        <v>542</v>
      </c>
      <c r="C186" s="797"/>
      <c r="D186" s="797"/>
      <c r="E186" s="797"/>
      <c r="F186" s="797"/>
      <c r="G186" s="797"/>
      <c r="H186" s="356"/>
    </row>
    <row r="188" spans="1:29">
      <c r="B188" s="328" t="s">
        <v>543</v>
      </c>
      <c r="G188" s="525" t="s">
        <v>728</v>
      </c>
      <c r="H188" s="468"/>
    </row>
    <row r="189" spans="1:29" ht="28.5">
      <c r="B189" s="801" t="s">
        <v>3</v>
      </c>
      <c r="C189" s="801"/>
      <c r="D189" s="801"/>
      <c r="E189" s="801"/>
      <c r="F189" s="465" t="s">
        <v>534</v>
      </c>
      <c r="G189" s="465" t="s">
        <v>459</v>
      </c>
      <c r="H189" s="469"/>
      <c r="I189" s="469"/>
      <c r="J189" s="469"/>
      <c r="K189" s="469"/>
      <c r="L189" s="469"/>
      <c r="M189" s="469"/>
      <c r="N189" s="469"/>
      <c r="O189" s="469"/>
      <c r="P189" s="469"/>
      <c r="Q189" s="469"/>
      <c r="R189" s="469"/>
      <c r="S189" s="469"/>
      <c r="T189" s="469"/>
      <c r="U189" s="469"/>
      <c r="V189" s="469"/>
      <c r="W189" s="469"/>
      <c r="X189" s="469"/>
      <c r="Y189" s="469"/>
      <c r="Z189" s="469"/>
      <c r="AA189" s="469"/>
      <c r="AB189" s="469"/>
      <c r="AC189" s="469"/>
    </row>
    <row r="190" spans="1:29">
      <c r="B190" s="467" t="s">
        <v>544</v>
      </c>
      <c r="C190" s="467"/>
      <c r="D190" s="467"/>
      <c r="E190" s="467"/>
      <c r="F190" s="424">
        <f>+F168</f>
        <v>38847.317329999998</v>
      </c>
      <c r="G190" s="424">
        <f>+F177</f>
        <v>56628.231589999996</v>
      </c>
      <c r="H190" s="469"/>
      <c r="I190" s="469"/>
      <c r="J190" s="469"/>
      <c r="K190" s="469"/>
      <c r="L190" s="469"/>
      <c r="M190" s="469"/>
      <c r="N190" s="469"/>
      <c r="O190" s="469"/>
      <c r="P190" s="469"/>
      <c r="Q190" s="469"/>
      <c r="R190" s="469"/>
      <c r="S190" s="469"/>
      <c r="T190" s="469"/>
      <c r="U190" s="469"/>
      <c r="V190" s="469"/>
      <c r="W190" s="469"/>
      <c r="X190" s="469"/>
      <c r="Y190" s="469"/>
      <c r="Z190" s="469"/>
      <c r="AA190" s="469"/>
      <c r="AB190" s="469"/>
      <c r="AC190" s="469"/>
    </row>
    <row r="191" spans="1:29">
      <c r="B191" s="467" t="s">
        <v>545</v>
      </c>
      <c r="C191" s="467"/>
      <c r="D191" s="467"/>
      <c r="E191" s="467"/>
      <c r="F191" s="424">
        <f>+BS!E34</f>
        <v>790684.5536869691</v>
      </c>
      <c r="G191" s="424">
        <f>+BS!F34</f>
        <v>642721.89389696904</v>
      </c>
      <c r="H191" s="469"/>
      <c r="I191" s="469"/>
      <c r="J191" s="469"/>
      <c r="K191" s="469"/>
      <c r="L191" s="469"/>
      <c r="M191" s="469"/>
      <c r="N191" s="469"/>
      <c r="O191" s="469"/>
      <c r="P191" s="469"/>
      <c r="Q191" s="469"/>
      <c r="R191" s="469"/>
      <c r="S191" s="469"/>
      <c r="T191" s="469"/>
      <c r="U191" s="469"/>
      <c r="V191" s="469"/>
      <c r="W191" s="469"/>
      <c r="X191" s="469"/>
      <c r="Y191" s="469"/>
      <c r="Z191" s="469"/>
      <c r="AA191" s="469"/>
      <c r="AB191" s="469"/>
      <c r="AC191" s="469"/>
    </row>
    <row r="192" spans="1:29" hidden="1">
      <c r="B192" s="802"/>
      <c r="C192" s="802"/>
      <c r="D192" s="802"/>
      <c r="E192" s="802"/>
      <c r="F192" s="802"/>
      <c r="G192" s="427"/>
      <c r="H192" s="470"/>
      <c r="I192" s="469"/>
      <c r="J192" s="469"/>
      <c r="K192" s="469"/>
      <c r="L192" s="469"/>
      <c r="M192" s="469"/>
      <c r="N192" s="469"/>
      <c r="O192" s="469"/>
      <c r="P192" s="469"/>
      <c r="Q192" s="469"/>
      <c r="R192" s="469"/>
      <c r="S192" s="469"/>
      <c r="T192" s="469"/>
      <c r="U192" s="469"/>
      <c r="V192" s="469"/>
      <c r="W192" s="469"/>
      <c r="X192" s="469"/>
      <c r="Y192" s="469"/>
      <c r="Z192" s="469"/>
      <c r="AA192" s="469"/>
      <c r="AB192" s="469"/>
      <c r="AC192" s="469"/>
    </row>
    <row r="193" spans="1:29" ht="15.75" customHeight="1">
      <c r="B193" s="800" t="s">
        <v>546</v>
      </c>
      <c r="C193" s="800"/>
      <c r="D193" s="800"/>
      <c r="E193" s="800"/>
      <c r="F193" s="509">
        <f>+F190/F191</f>
        <v>4.9131246018218784E-2</v>
      </c>
      <c r="G193" s="509">
        <f>+G190/G191</f>
        <v>8.8106896820723105E-2</v>
      </c>
      <c r="H193" s="471"/>
      <c r="I193" s="469"/>
      <c r="J193" s="469"/>
      <c r="K193" s="469"/>
      <c r="L193" s="469"/>
      <c r="M193" s="469"/>
      <c r="N193" s="469"/>
      <c r="O193" s="469"/>
      <c r="P193" s="469"/>
      <c r="Q193" s="469"/>
      <c r="R193" s="469"/>
      <c r="S193" s="469"/>
      <c r="T193" s="469"/>
      <c r="U193" s="469"/>
      <c r="V193" s="469"/>
      <c r="W193" s="469"/>
      <c r="X193" s="469"/>
      <c r="Y193" s="469"/>
      <c r="Z193" s="469"/>
      <c r="AA193" s="469"/>
      <c r="AB193" s="469"/>
      <c r="AC193" s="469"/>
    </row>
    <row r="194" spans="1:29">
      <c r="B194" s="469"/>
      <c r="C194" s="469"/>
      <c r="D194" s="469"/>
      <c r="E194" s="469"/>
      <c r="F194" s="469"/>
      <c r="G194" s="469"/>
      <c r="H194" s="469"/>
      <c r="I194" s="469"/>
      <c r="J194" s="469"/>
      <c r="K194" s="469"/>
      <c r="L194" s="469"/>
      <c r="M194" s="469"/>
      <c r="N194" s="469"/>
      <c r="O194" s="469"/>
      <c r="P194" s="469"/>
      <c r="Q194" s="469"/>
      <c r="R194" s="469"/>
      <c r="S194" s="469"/>
      <c r="T194" s="469"/>
      <c r="U194" s="469"/>
      <c r="V194" s="469"/>
      <c r="W194" s="469"/>
      <c r="X194" s="469"/>
      <c r="Y194" s="469"/>
      <c r="Z194" s="469"/>
      <c r="AA194" s="469"/>
      <c r="AB194" s="469"/>
      <c r="AC194" s="469"/>
    </row>
    <row r="195" spans="1:29">
      <c r="A195" s="330" t="s">
        <v>304</v>
      </c>
      <c r="B195" s="329" t="s">
        <v>547</v>
      </c>
    </row>
    <row r="196" spans="1:29">
      <c r="G196" s="525" t="s">
        <v>728</v>
      </c>
      <c r="H196" s="468"/>
    </row>
    <row r="197" spans="1:29" ht="28.5">
      <c r="B197" s="801" t="s">
        <v>3</v>
      </c>
      <c r="C197" s="801"/>
      <c r="D197" s="801"/>
      <c r="E197" s="801"/>
      <c r="F197" s="465" t="s">
        <v>459</v>
      </c>
      <c r="G197" s="465" t="s">
        <v>141</v>
      </c>
    </row>
    <row r="198" spans="1:29">
      <c r="B198" s="467" t="s">
        <v>548</v>
      </c>
      <c r="C198" s="467"/>
      <c r="D198" s="467"/>
      <c r="E198" s="467"/>
      <c r="F198" s="417"/>
      <c r="G198" s="417"/>
    </row>
    <row r="199" spans="1:29">
      <c r="B199" s="467" t="s">
        <v>549</v>
      </c>
      <c r="C199" s="467"/>
      <c r="D199" s="467"/>
      <c r="E199" s="467"/>
      <c r="F199" s="417"/>
      <c r="G199" s="417"/>
    </row>
    <row r="201" spans="1:29" ht="15" hidden="1" thickBot="1">
      <c r="A201" s="330" t="s">
        <v>309</v>
      </c>
      <c r="B201" s="798" t="s">
        <v>550</v>
      </c>
      <c r="C201" s="799"/>
      <c r="D201" s="799"/>
      <c r="E201" s="799"/>
      <c r="F201" s="799"/>
    </row>
    <row r="203" spans="1:29" ht="15.75">
      <c r="A203" s="529">
        <v>6</v>
      </c>
      <c r="B203" s="472" t="s">
        <v>555</v>
      </c>
      <c r="C203" s="473"/>
      <c r="D203" s="473"/>
      <c r="E203" s="473"/>
      <c r="F203" s="473"/>
    </row>
    <row r="204" spans="1:29" ht="44.25" customHeight="1">
      <c r="A204" s="529"/>
      <c r="B204" s="796" t="s">
        <v>729</v>
      </c>
      <c r="C204" s="796"/>
      <c r="D204" s="796"/>
      <c r="E204" s="796"/>
      <c r="F204" s="796"/>
      <c r="G204" s="796"/>
    </row>
    <row r="205" spans="1:29" ht="15.75">
      <c r="A205" s="530"/>
      <c r="B205" s="473"/>
      <c r="C205" s="473"/>
      <c r="D205" s="473"/>
      <c r="E205" s="473"/>
      <c r="F205" s="473"/>
    </row>
    <row r="206" spans="1:29" ht="15.75">
      <c r="A206" s="529">
        <f>A203+1</f>
        <v>7</v>
      </c>
      <c r="B206" s="472" t="s">
        <v>556</v>
      </c>
      <c r="C206" s="473"/>
      <c r="D206" s="473"/>
      <c r="E206" s="473"/>
      <c r="F206" s="473"/>
    </row>
    <row r="207" spans="1:29" ht="41.25" customHeight="1">
      <c r="A207" s="529"/>
      <c r="B207" s="797" t="s">
        <v>557</v>
      </c>
      <c r="C207" s="797"/>
      <c r="D207" s="797"/>
      <c r="E207" s="797"/>
      <c r="F207" s="797"/>
      <c r="G207" s="797"/>
    </row>
  </sheetData>
  <mergeCells count="65">
    <mergeCell ref="A49:G49"/>
    <mergeCell ref="A50:G50"/>
    <mergeCell ref="A1:G1"/>
    <mergeCell ref="A2:G2"/>
    <mergeCell ref="B61:H61"/>
    <mergeCell ref="C28:G28"/>
    <mergeCell ref="C51:G51"/>
    <mergeCell ref="B53:G53"/>
    <mergeCell ref="B54:G54"/>
    <mergeCell ref="B55:G55"/>
    <mergeCell ref="D58:H58"/>
    <mergeCell ref="B60:H60"/>
    <mergeCell ref="B65:H65"/>
    <mergeCell ref="B66:H66"/>
    <mergeCell ref="B69:H69"/>
    <mergeCell ref="B70:H70"/>
    <mergeCell ref="G74:H74"/>
    <mergeCell ref="B75:B76"/>
    <mergeCell ref="C75:D75"/>
    <mergeCell ref="E75:F75"/>
    <mergeCell ref="B108:G108"/>
    <mergeCell ref="B118:G118"/>
    <mergeCell ref="E101:F101"/>
    <mergeCell ref="E102:F102"/>
    <mergeCell ref="E103:F103"/>
    <mergeCell ref="E104:F104"/>
    <mergeCell ref="A115:G115"/>
    <mergeCell ref="A116:G116"/>
    <mergeCell ref="B109:G109"/>
    <mergeCell ref="B95:G95"/>
    <mergeCell ref="B99:G99"/>
    <mergeCell ref="B120:B121"/>
    <mergeCell ref="C120:D120"/>
    <mergeCell ref="C122:D123"/>
    <mergeCell ref="B124:D124"/>
    <mergeCell ref="B134:B135"/>
    <mergeCell ref="C134:D134"/>
    <mergeCell ref="E134:F134"/>
    <mergeCell ref="B126:G126"/>
    <mergeCell ref="B129:G129"/>
    <mergeCell ref="B159:G159"/>
    <mergeCell ref="B160:G160"/>
    <mergeCell ref="B161:G161"/>
    <mergeCell ref="B162:G162"/>
    <mergeCell ref="C136:F138"/>
    <mergeCell ref="B152:H152"/>
    <mergeCell ref="B154:B155"/>
    <mergeCell ref="C154:D154"/>
    <mergeCell ref="B141:G141"/>
    <mergeCell ref="B142:G142"/>
    <mergeCell ref="B145:G145"/>
    <mergeCell ref="B204:G204"/>
    <mergeCell ref="B207:G207"/>
    <mergeCell ref="B163:G163"/>
    <mergeCell ref="B186:G186"/>
    <mergeCell ref="B184:G184"/>
    <mergeCell ref="B185:G185"/>
    <mergeCell ref="B201:F201"/>
    <mergeCell ref="B193:E193"/>
    <mergeCell ref="B197:E197"/>
    <mergeCell ref="B192:F192"/>
    <mergeCell ref="B189:E189"/>
    <mergeCell ref="F164:H164"/>
    <mergeCell ref="A171:G171"/>
    <mergeCell ref="A172:G172"/>
  </mergeCells>
  <pageMargins left="0.70866141732283472" right="0.70866141732283472" top="0.74803149606299213" bottom="0.74803149606299213" header="0.31496062992125984" footer="0.31496062992125984"/>
  <pageSetup paperSize="9" scale="80"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2:AA65"/>
  <sheetViews>
    <sheetView showGridLines="0" view="pageBreakPreview" topLeftCell="C28" zoomScaleSheetLayoutView="100" workbookViewId="0">
      <selection activeCell="D38" sqref="D38:E38"/>
    </sheetView>
  </sheetViews>
  <sheetFormatPr defaultRowHeight="15.75"/>
  <cols>
    <col min="1" max="1" width="4.5703125" style="533" hidden="1" customWidth="1"/>
    <col min="2" max="2" width="4.5703125" style="533" customWidth="1"/>
    <col min="3" max="3" width="5.7109375" style="533" customWidth="1"/>
    <col min="4" max="4" width="31.140625" style="533" customWidth="1"/>
    <col min="5" max="5" width="20.140625" style="533" customWidth="1"/>
    <col min="6" max="7" width="19.85546875" style="533" customWidth="1"/>
    <col min="8" max="8" width="21" style="533" customWidth="1"/>
    <col min="9" max="9" width="18.5703125" style="533" customWidth="1"/>
    <col min="10" max="10" width="18.85546875" style="533" hidden="1" customWidth="1"/>
    <col min="11" max="11" width="20.140625" style="533" hidden="1" customWidth="1"/>
    <col min="12" max="12" width="16.85546875" style="533" hidden="1" customWidth="1"/>
    <col min="13" max="13" width="25" style="533" hidden="1" customWidth="1"/>
    <col min="14" max="23" width="0" style="533" hidden="1" customWidth="1"/>
    <col min="24" max="24" width="17.7109375" style="533" customWidth="1"/>
    <col min="25" max="25" width="16.42578125" style="533" bestFit="1" customWidth="1"/>
    <col min="26" max="26" width="18.28515625" style="533" customWidth="1"/>
    <col min="27" max="27" width="18.140625" style="533" customWidth="1"/>
    <col min="28" max="28" width="13.5703125" style="533" customWidth="1"/>
    <col min="29" max="259" width="9.140625" style="533"/>
    <col min="260" max="260" width="6.7109375" style="533" customWidth="1"/>
    <col min="261" max="261" width="95.7109375" style="533" customWidth="1"/>
    <col min="262" max="262" width="16.28515625" style="533" customWidth="1"/>
    <col min="263" max="263" width="12.140625" style="533" customWidth="1"/>
    <col min="264" max="264" width="15.7109375" style="533" customWidth="1"/>
    <col min="265" max="265" width="16.28515625" style="533" customWidth="1"/>
    <col min="266" max="266" width="16" style="533" customWidth="1"/>
    <col min="267" max="267" width="14.85546875" style="533" customWidth="1"/>
    <col min="268" max="268" width="12.7109375" style="533" bestFit="1" customWidth="1"/>
    <col min="269" max="269" width="11.85546875" style="533" customWidth="1"/>
    <col min="270" max="270" width="19.5703125" style="533" customWidth="1"/>
    <col min="271" max="515" width="9.140625" style="533"/>
    <col min="516" max="516" width="6.7109375" style="533" customWidth="1"/>
    <col min="517" max="517" width="95.7109375" style="533" customWidth="1"/>
    <col min="518" max="518" width="16.28515625" style="533" customWidth="1"/>
    <col min="519" max="519" width="12.140625" style="533" customWidth="1"/>
    <col min="520" max="520" width="15.7109375" style="533" customWidth="1"/>
    <col min="521" max="521" width="16.28515625" style="533" customWidth="1"/>
    <col min="522" max="522" width="16" style="533" customWidth="1"/>
    <col min="523" max="523" width="14.85546875" style="533" customWidth="1"/>
    <col min="524" max="524" width="12.7109375" style="533" bestFit="1" customWidth="1"/>
    <col min="525" max="525" width="11.85546875" style="533" customWidth="1"/>
    <col min="526" max="526" width="19.5703125" style="533" customWidth="1"/>
    <col min="527" max="771" width="9.140625" style="533"/>
    <col min="772" max="772" width="6.7109375" style="533" customWidth="1"/>
    <col min="773" max="773" width="95.7109375" style="533" customWidth="1"/>
    <col min="774" max="774" width="16.28515625" style="533" customWidth="1"/>
    <col min="775" max="775" width="12.140625" style="533" customWidth="1"/>
    <col min="776" max="776" width="15.7109375" style="533" customWidth="1"/>
    <col min="777" max="777" width="16.28515625" style="533" customWidth="1"/>
    <col min="778" max="778" width="16" style="533" customWidth="1"/>
    <col min="779" max="779" width="14.85546875" style="533" customWidth="1"/>
    <col min="780" max="780" width="12.7109375" style="533" bestFit="1" customWidth="1"/>
    <col min="781" max="781" width="11.85546875" style="533" customWidth="1"/>
    <col min="782" max="782" width="19.5703125" style="533" customWidth="1"/>
    <col min="783" max="1027" width="9.140625" style="533"/>
    <col min="1028" max="1028" width="6.7109375" style="533" customWidth="1"/>
    <col min="1029" max="1029" width="95.7109375" style="533" customWidth="1"/>
    <col min="1030" max="1030" width="16.28515625" style="533" customWidth="1"/>
    <col min="1031" max="1031" width="12.140625" style="533" customWidth="1"/>
    <col min="1032" max="1032" width="15.7109375" style="533" customWidth="1"/>
    <col min="1033" max="1033" width="16.28515625" style="533" customWidth="1"/>
    <col min="1034" max="1034" width="16" style="533" customWidth="1"/>
    <col min="1035" max="1035" width="14.85546875" style="533" customWidth="1"/>
    <col min="1036" max="1036" width="12.7109375" style="533" bestFit="1" customWidth="1"/>
    <col min="1037" max="1037" width="11.85546875" style="533" customWidth="1"/>
    <col min="1038" max="1038" width="19.5703125" style="533" customWidth="1"/>
    <col min="1039" max="1283" width="9.140625" style="533"/>
    <col min="1284" max="1284" width="6.7109375" style="533" customWidth="1"/>
    <col min="1285" max="1285" width="95.7109375" style="533" customWidth="1"/>
    <col min="1286" max="1286" width="16.28515625" style="533" customWidth="1"/>
    <col min="1287" max="1287" width="12.140625" style="533" customWidth="1"/>
    <col min="1288" max="1288" width="15.7109375" style="533" customWidth="1"/>
    <col min="1289" max="1289" width="16.28515625" style="533" customWidth="1"/>
    <col min="1290" max="1290" width="16" style="533" customWidth="1"/>
    <col min="1291" max="1291" width="14.85546875" style="533" customWidth="1"/>
    <col min="1292" max="1292" width="12.7109375" style="533" bestFit="1" customWidth="1"/>
    <col min="1293" max="1293" width="11.85546875" style="533" customWidth="1"/>
    <col min="1294" max="1294" width="19.5703125" style="533" customWidth="1"/>
    <col min="1295" max="1539" width="9.140625" style="533"/>
    <col min="1540" max="1540" width="6.7109375" style="533" customWidth="1"/>
    <col min="1541" max="1541" width="95.7109375" style="533" customWidth="1"/>
    <col min="1542" max="1542" width="16.28515625" style="533" customWidth="1"/>
    <col min="1543" max="1543" width="12.140625" style="533" customWidth="1"/>
    <col min="1544" max="1544" width="15.7109375" style="533" customWidth="1"/>
    <col min="1545" max="1545" width="16.28515625" style="533" customWidth="1"/>
    <col min="1546" max="1546" width="16" style="533" customWidth="1"/>
    <col min="1547" max="1547" width="14.85546875" style="533" customWidth="1"/>
    <col min="1548" max="1548" width="12.7109375" style="533" bestFit="1" customWidth="1"/>
    <col min="1549" max="1549" width="11.85546875" style="533" customWidth="1"/>
    <col min="1550" max="1550" width="19.5703125" style="533" customWidth="1"/>
    <col min="1551" max="1795" width="9.140625" style="533"/>
    <col min="1796" max="1796" width="6.7109375" style="533" customWidth="1"/>
    <col min="1797" max="1797" width="95.7109375" style="533" customWidth="1"/>
    <col min="1798" max="1798" width="16.28515625" style="533" customWidth="1"/>
    <col min="1799" max="1799" width="12.140625" style="533" customWidth="1"/>
    <col min="1800" max="1800" width="15.7109375" style="533" customWidth="1"/>
    <col min="1801" max="1801" width="16.28515625" style="533" customWidth="1"/>
    <col min="1802" max="1802" width="16" style="533" customWidth="1"/>
    <col min="1803" max="1803" width="14.85546875" style="533" customWidth="1"/>
    <col min="1804" max="1804" width="12.7109375" style="533" bestFit="1" customWidth="1"/>
    <col min="1805" max="1805" width="11.85546875" style="533" customWidth="1"/>
    <col min="1806" max="1806" width="19.5703125" style="533" customWidth="1"/>
    <col min="1807" max="2051" width="9.140625" style="533"/>
    <col min="2052" max="2052" width="6.7109375" style="533" customWidth="1"/>
    <col min="2053" max="2053" width="95.7109375" style="533" customWidth="1"/>
    <col min="2054" max="2054" width="16.28515625" style="533" customWidth="1"/>
    <col min="2055" max="2055" width="12.140625" style="533" customWidth="1"/>
    <col min="2056" max="2056" width="15.7109375" style="533" customWidth="1"/>
    <col min="2057" max="2057" width="16.28515625" style="533" customWidth="1"/>
    <col min="2058" max="2058" width="16" style="533" customWidth="1"/>
    <col min="2059" max="2059" width="14.85546875" style="533" customWidth="1"/>
    <col min="2060" max="2060" width="12.7109375" style="533" bestFit="1" customWidth="1"/>
    <col min="2061" max="2061" width="11.85546875" style="533" customWidth="1"/>
    <col min="2062" max="2062" width="19.5703125" style="533" customWidth="1"/>
    <col min="2063" max="2307" width="9.140625" style="533"/>
    <col min="2308" max="2308" width="6.7109375" style="533" customWidth="1"/>
    <col min="2309" max="2309" width="95.7109375" style="533" customWidth="1"/>
    <col min="2310" max="2310" width="16.28515625" style="533" customWidth="1"/>
    <col min="2311" max="2311" width="12.140625" style="533" customWidth="1"/>
    <col min="2312" max="2312" width="15.7109375" style="533" customWidth="1"/>
    <col min="2313" max="2313" width="16.28515625" style="533" customWidth="1"/>
    <col min="2314" max="2314" width="16" style="533" customWidth="1"/>
    <col min="2315" max="2315" width="14.85546875" style="533" customWidth="1"/>
    <col min="2316" max="2316" width="12.7109375" style="533" bestFit="1" customWidth="1"/>
    <col min="2317" max="2317" width="11.85546875" style="533" customWidth="1"/>
    <col min="2318" max="2318" width="19.5703125" style="533" customWidth="1"/>
    <col min="2319" max="2563" width="9.140625" style="533"/>
    <col min="2564" max="2564" width="6.7109375" style="533" customWidth="1"/>
    <col min="2565" max="2565" width="95.7109375" style="533" customWidth="1"/>
    <col min="2566" max="2566" width="16.28515625" style="533" customWidth="1"/>
    <col min="2567" max="2567" width="12.140625" style="533" customWidth="1"/>
    <col min="2568" max="2568" width="15.7109375" style="533" customWidth="1"/>
    <col min="2569" max="2569" width="16.28515625" style="533" customWidth="1"/>
    <col min="2570" max="2570" width="16" style="533" customWidth="1"/>
    <col min="2571" max="2571" width="14.85546875" style="533" customWidth="1"/>
    <col min="2572" max="2572" width="12.7109375" style="533" bestFit="1" customWidth="1"/>
    <col min="2573" max="2573" width="11.85546875" style="533" customWidth="1"/>
    <col min="2574" max="2574" width="19.5703125" style="533" customWidth="1"/>
    <col min="2575" max="2819" width="9.140625" style="533"/>
    <col min="2820" max="2820" width="6.7109375" style="533" customWidth="1"/>
    <col min="2821" max="2821" width="95.7109375" style="533" customWidth="1"/>
    <col min="2822" max="2822" width="16.28515625" style="533" customWidth="1"/>
    <col min="2823" max="2823" width="12.140625" style="533" customWidth="1"/>
    <col min="2824" max="2824" width="15.7109375" style="533" customWidth="1"/>
    <col min="2825" max="2825" width="16.28515625" style="533" customWidth="1"/>
    <col min="2826" max="2826" width="16" style="533" customWidth="1"/>
    <col min="2827" max="2827" width="14.85546875" style="533" customWidth="1"/>
    <col min="2828" max="2828" width="12.7109375" style="533" bestFit="1" customWidth="1"/>
    <col min="2829" max="2829" width="11.85546875" style="533" customWidth="1"/>
    <col min="2830" max="2830" width="19.5703125" style="533" customWidth="1"/>
    <col min="2831" max="3075" width="9.140625" style="533"/>
    <col min="3076" max="3076" width="6.7109375" style="533" customWidth="1"/>
    <col min="3077" max="3077" width="95.7109375" style="533" customWidth="1"/>
    <col min="3078" max="3078" width="16.28515625" style="533" customWidth="1"/>
    <col min="3079" max="3079" width="12.140625" style="533" customWidth="1"/>
    <col min="3080" max="3080" width="15.7109375" style="533" customWidth="1"/>
    <col min="3081" max="3081" width="16.28515625" style="533" customWidth="1"/>
    <col min="3082" max="3082" width="16" style="533" customWidth="1"/>
    <col min="3083" max="3083" width="14.85546875" style="533" customWidth="1"/>
    <col min="3084" max="3084" width="12.7109375" style="533" bestFit="1" customWidth="1"/>
    <col min="3085" max="3085" width="11.85546875" style="533" customWidth="1"/>
    <col min="3086" max="3086" width="19.5703125" style="533" customWidth="1"/>
    <col min="3087" max="3331" width="9.140625" style="533"/>
    <col min="3332" max="3332" width="6.7109375" style="533" customWidth="1"/>
    <col min="3333" max="3333" width="95.7109375" style="533" customWidth="1"/>
    <col min="3334" max="3334" width="16.28515625" style="533" customWidth="1"/>
    <col min="3335" max="3335" width="12.140625" style="533" customWidth="1"/>
    <col min="3336" max="3336" width="15.7109375" style="533" customWidth="1"/>
    <col min="3337" max="3337" width="16.28515625" style="533" customWidth="1"/>
    <col min="3338" max="3338" width="16" style="533" customWidth="1"/>
    <col min="3339" max="3339" width="14.85546875" style="533" customWidth="1"/>
    <col min="3340" max="3340" width="12.7109375" style="533" bestFit="1" customWidth="1"/>
    <col min="3341" max="3341" width="11.85546875" style="533" customWidth="1"/>
    <col min="3342" max="3342" width="19.5703125" style="533" customWidth="1"/>
    <col min="3343" max="3587" width="9.140625" style="533"/>
    <col min="3588" max="3588" width="6.7109375" style="533" customWidth="1"/>
    <col min="3589" max="3589" width="95.7109375" style="533" customWidth="1"/>
    <col min="3590" max="3590" width="16.28515625" style="533" customWidth="1"/>
    <col min="3591" max="3591" width="12.140625" style="533" customWidth="1"/>
    <col min="3592" max="3592" width="15.7109375" style="533" customWidth="1"/>
    <col min="3593" max="3593" width="16.28515625" style="533" customWidth="1"/>
    <col min="3594" max="3594" width="16" style="533" customWidth="1"/>
    <col min="3595" max="3595" width="14.85546875" style="533" customWidth="1"/>
    <col min="3596" max="3596" width="12.7109375" style="533" bestFit="1" customWidth="1"/>
    <col min="3597" max="3597" width="11.85546875" style="533" customWidth="1"/>
    <col min="3598" max="3598" width="19.5703125" style="533" customWidth="1"/>
    <col min="3599" max="3843" width="9.140625" style="533"/>
    <col min="3844" max="3844" width="6.7109375" style="533" customWidth="1"/>
    <col min="3845" max="3845" width="95.7109375" style="533" customWidth="1"/>
    <col min="3846" max="3846" width="16.28515625" style="533" customWidth="1"/>
    <col min="3847" max="3847" width="12.140625" style="533" customWidth="1"/>
    <col min="3848" max="3848" width="15.7109375" style="533" customWidth="1"/>
    <col min="3849" max="3849" width="16.28515625" style="533" customWidth="1"/>
    <col min="3850" max="3850" width="16" style="533" customWidth="1"/>
    <col min="3851" max="3851" width="14.85546875" style="533" customWidth="1"/>
    <col min="3852" max="3852" width="12.7109375" style="533" bestFit="1" customWidth="1"/>
    <col min="3853" max="3853" width="11.85546875" style="533" customWidth="1"/>
    <col min="3854" max="3854" width="19.5703125" style="533" customWidth="1"/>
    <col min="3855" max="4099" width="9.140625" style="533"/>
    <col min="4100" max="4100" width="6.7109375" style="533" customWidth="1"/>
    <col min="4101" max="4101" width="95.7109375" style="533" customWidth="1"/>
    <col min="4102" max="4102" width="16.28515625" style="533" customWidth="1"/>
    <col min="4103" max="4103" width="12.140625" style="533" customWidth="1"/>
    <col min="4104" max="4104" width="15.7109375" style="533" customWidth="1"/>
    <col min="4105" max="4105" width="16.28515625" style="533" customWidth="1"/>
    <col min="4106" max="4106" width="16" style="533" customWidth="1"/>
    <col min="4107" max="4107" width="14.85546875" style="533" customWidth="1"/>
    <col min="4108" max="4108" width="12.7109375" style="533" bestFit="1" customWidth="1"/>
    <col min="4109" max="4109" width="11.85546875" style="533" customWidth="1"/>
    <col min="4110" max="4110" width="19.5703125" style="533" customWidth="1"/>
    <col min="4111" max="4355" width="9.140625" style="533"/>
    <col min="4356" max="4356" width="6.7109375" style="533" customWidth="1"/>
    <col min="4357" max="4357" width="95.7109375" style="533" customWidth="1"/>
    <col min="4358" max="4358" width="16.28515625" style="533" customWidth="1"/>
    <col min="4359" max="4359" width="12.140625" style="533" customWidth="1"/>
    <col min="4360" max="4360" width="15.7109375" style="533" customWidth="1"/>
    <col min="4361" max="4361" width="16.28515625" style="533" customWidth="1"/>
    <col min="4362" max="4362" width="16" style="533" customWidth="1"/>
    <col min="4363" max="4363" width="14.85546875" style="533" customWidth="1"/>
    <col min="4364" max="4364" width="12.7109375" style="533" bestFit="1" customWidth="1"/>
    <col min="4365" max="4365" width="11.85546875" style="533" customWidth="1"/>
    <col min="4366" max="4366" width="19.5703125" style="533" customWidth="1"/>
    <col min="4367" max="4611" width="9.140625" style="533"/>
    <col min="4612" max="4612" width="6.7109375" style="533" customWidth="1"/>
    <col min="4613" max="4613" width="95.7109375" style="533" customWidth="1"/>
    <col min="4614" max="4614" width="16.28515625" style="533" customWidth="1"/>
    <col min="4615" max="4615" width="12.140625" style="533" customWidth="1"/>
    <col min="4616" max="4616" width="15.7109375" style="533" customWidth="1"/>
    <col min="4617" max="4617" width="16.28515625" style="533" customWidth="1"/>
    <col min="4618" max="4618" width="16" style="533" customWidth="1"/>
    <col min="4619" max="4619" width="14.85546875" style="533" customWidth="1"/>
    <col min="4620" max="4620" width="12.7109375" style="533" bestFit="1" customWidth="1"/>
    <col min="4621" max="4621" width="11.85546875" style="533" customWidth="1"/>
    <col min="4622" max="4622" width="19.5703125" style="533" customWidth="1"/>
    <col min="4623" max="4867" width="9.140625" style="533"/>
    <col min="4868" max="4868" width="6.7109375" style="533" customWidth="1"/>
    <col min="4869" max="4869" width="95.7109375" style="533" customWidth="1"/>
    <col min="4870" max="4870" width="16.28515625" style="533" customWidth="1"/>
    <col min="4871" max="4871" width="12.140625" style="533" customWidth="1"/>
    <col min="4872" max="4872" width="15.7109375" style="533" customWidth="1"/>
    <col min="4873" max="4873" width="16.28515625" style="533" customWidth="1"/>
    <col min="4874" max="4874" width="16" style="533" customWidth="1"/>
    <col min="4875" max="4875" width="14.85546875" style="533" customWidth="1"/>
    <col min="4876" max="4876" width="12.7109375" style="533" bestFit="1" customWidth="1"/>
    <col min="4877" max="4877" width="11.85546875" style="533" customWidth="1"/>
    <col min="4878" max="4878" width="19.5703125" style="533" customWidth="1"/>
    <col min="4879" max="5123" width="9.140625" style="533"/>
    <col min="5124" max="5124" width="6.7109375" style="533" customWidth="1"/>
    <col min="5125" max="5125" width="95.7109375" style="533" customWidth="1"/>
    <col min="5126" max="5126" width="16.28515625" style="533" customWidth="1"/>
    <col min="5127" max="5127" width="12.140625" style="533" customWidth="1"/>
    <col min="5128" max="5128" width="15.7109375" style="533" customWidth="1"/>
    <col min="5129" max="5129" width="16.28515625" style="533" customWidth="1"/>
    <col min="5130" max="5130" width="16" style="533" customWidth="1"/>
    <col min="5131" max="5131" width="14.85546875" style="533" customWidth="1"/>
    <col min="5132" max="5132" width="12.7109375" style="533" bestFit="1" customWidth="1"/>
    <col min="5133" max="5133" width="11.85546875" style="533" customWidth="1"/>
    <col min="5134" max="5134" width="19.5703125" style="533" customWidth="1"/>
    <col min="5135" max="5379" width="9.140625" style="533"/>
    <col min="5380" max="5380" width="6.7109375" style="533" customWidth="1"/>
    <col min="5381" max="5381" width="95.7109375" style="533" customWidth="1"/>
    <col min="5382" max="5382" width="16.28515625" style="533" customWidth="1"/>
    <col min="5383" max="5383" width="12.140625" style="533" customWidth="1"/>
    <col min="5384" max="5384" width="15.7109375" style="533" customWidth="1"/>
    <col min="5385" max="5385" width="16.28515625" style="533" customWidth="1"/>
    <col min="5386" max="5386" width="16" style="533" customWidth="1"/>
    <col min="5387" max="5387" width="14.85546875" style="533" customWidth="1"/>
    <col min="5388" max="5388" width="12.7109375" style="533" bestFit="1" customWidth="1"/>
    <col min="5389" max="5389" width="11.85546875" style="533" customWidth="1"/>
    <col min="5390" max="5390" width="19.5703125" style="533" customWidth="1"/>
    <col min="5391" max="5635" width="9.140625" style="533"/>
    <col min="5636" max="5636" width="6.7109375" style="533" customWidth="1"/>
    <col min="5637" max="5637" width="95.7109375" style="533" customWidth="1"/>
    <col min="5638" max="5638" width="16.28515625" style="533" customWidth="1"/>
    <col min="5639" max="5639" width="12.140625" style="533" customWidth="1"/>
    <col min="5640" max="5640" width="15.7109375" style="533" customWidth="1"/>
    <col min="5641" max="5641" width="16.28515625" style="533" customWidth="1"/>
    <col min="5642" max="5642" width="16" style="533" customWidth="1"/>
    <col min="5643" max="5643" width="14.85546875" style="533" customWidth="1"/>
    <col min="5644" max="5644" width="12.7109375" style="533" bestFit="1" customWidth="1"/>
    <col min="5645" max="5645" width="11.85546875" style="533" customWidth="1"/>
    <col min="5646" max="5646" width="19.5703125" style="533" customWidth="1"/>
    <col min="5647" max="5891" width="9.140625" style="533"/>
    <col min="5892" max="5892" width="6.7109375" style="533" customWidth="1"/>
    <col min="5893" max="5893" width="95.7109375" style="533" customWidth="1"/>
    <col min="5894" max="5894" width="16.28515625" style="533" customWidth="1"/>
    <col min="5895" max="5895" width="12.140625" style="533" customWidth="1"/>
    <col min="5896" max="5896" width="15.7109375" style="533" customWidth="1"/>
    <col min="5897" max="5897" width="16.28515625" style="533" customWidth="1"/>
    <col min="5898" max="5898" width="16" style="533" customWidth="1"/>
    <col min="5899" max="5899" width="14.85546875" style="533" customWidth="1"/>
    <col min="5900" max="5900" width="12.7109375" style="533" bestFit="1" customWidth="1"/>
    <col min="5901" max="5901" width="11.85546875" style="533" customWidth="1"/>
    <col min="5902" max="5902" width="19.5703125" style="533" customWidth="1"/>
    <col min="5903" max="6147" width="9.140625" style="533"/>
    <col min="6148" max="6148" width="6.7109375" style="533" customWidth="1"/>
    <col min="6149" max="6149" width="95.7109375" style="533" customWidth="1"/>
    <col min="6150" max="6150" width="16.28515625" style="533" customWidth="1"/>
    <col min="6151" max="6151" width="12.140625" style="533" customWidth="1"/>
    <col min="6152" max="6152" width="15.7109375" style="533" customWidth="1"/>
    <col min="6153" max="6153" width="16.28515625" style="533" customWidth="1"/>
    <col min="6154" max="6154" width="16" style="533" customWidth="1"/>
    <col min="6155" max="6155" width="14.85546875" style="533" customWidth="1"/>
    <col min="6156" max="6156" width="12.7109375" style="533" bestFit="1" customWidth="1"/>
    <col min="6157" max="6157" width="11.85546875" style="533" customWidth="1"/>
    <col min="6158" max="6158" width="19.5703125" style="533" customWidth="1"/>
    <col min="6159" max="6403" width="9.140625" style="533"/>
    <col min="6404" max="6404" width="6.7109375" style="533" customWidth="1"/>
    <col min="6405" max="6405" width="95.7109375" style="533" customWidth="1"/>
    <col min="6406" max="6406" width="16.28515625" style="533" customWidth="1"/>
    <col min="6407" max="6407" width="12.140625" style="533" customWidth="1"/>
    <col min="6408" max="6408" width="15.7109375" style="533" customWidth="1"/>
    <col min="6409" max="6409" width="16.28515625" style="533" customWidth="1"/>
    <col min="6410" max="6410" width="16" style="533" customWidth="1"/>
    <col min="6411" max="6411" width="14.85546875" style="533" customWidth="1"/>
    <col min="6412" max="6412" width="12.7109375" style="533" bestFit="1" customWidth="1"/>
    <col min="6413" max="6413" width="11.85546875" style="533" customWidth="1"/>
    <col min="6414" max="6414" width="19.5703125" style="533" customWidth="1"/>
    <col min="6415" max="6659" width="9.140625" style="533"/>
    <col min="6660" max="6660" width="6.7109375" style="533" customWidth="1"/>
    <col min="6661" max="6661" width="95.7109375" style="533" customWidth="1"/>
    <col min="6662" max="6662" width="16.28515625" style="533" customWidth="1"/>
    <col min="6663" max="6663" width="12.140625" style="533" customWidth="1"/>
    <col min="6664" max="6664" width="15.7109375" style="533" customWidth="1"/>
    <col min="6665" max="6665" width="16.28515625" style="533" customWidth="1"/>
    <col min="6666" max="6666" width="16" style="533" customWidth="1"/>
    <col min="6667" max="6667" width="14.85546875" style="533" customWidth="1"/>
    <col min="6668" max="6668" width="12.7109375" style="533" bestFit="1" customWidth="1"/>
    <col min="6669" max="6669" width="11.85546875" style="533" customWidth="1"/>
    <col min="6670" max="6670" width="19.5703125" style="533" customWidth="1"/>
    <col min="6671" max="6915" width="9.140625" style="533"/>
    <col min="6916" max="6916" width="6.7109375" style="533" customWidth="1"/>
    <col min="6917" max="6917" width="95.7109375" style="533" customWidth="1"/>
    <col min="6918" max="6918" width="16.28515625" style="533" customWidth="1"/>
    <col min="6919" max="6919" width="12.140625" style="533" customWidth="1"/>
    <col min="6920" max="6920" width="15.7109375" style="533" customWidth="1"/>
    <col min="6921" max="6921" width="16.28515625" style="533" customWidth="1"/>
    <col min="6922" max="6922" width="16" style="533" customWidth="1"/>
    <col min="6923" max="6923" width="14.85546875" style="533" customWidth="1"/>
    <col min="6924" max="6924" width="12.7109375" style="533" bestFit="1" customWidth="1"/>
    <col min="6925" max="6925" width="11.85546875" style="533" customWidth="1"/>
    <col min="6926" max="6926" width="19.5703125" style="533" customWidth="1"/>
    <col min="6927" max="7171" width="9.140625" style="533"/>
    <col min="7172" max="7172" width="6.7109375" style="533" customWidth="1"/>
    <col min="7173" max="7173" width="95.7109375" style="533" customWidth="1"/>
    <col min="7174" max="7174" width="16.28515625" style="533" customWidth="1"/>
    <col min="7175" max="7175" width="12.140625" style="533" customWidth="1"/>
    <col min="7176" max="7176" width="15.7109375" style="533" customWidth="1"/>
    <col min="7177" max="7177" width="16.28515625" style="533" customWidth="1"/>
    <col min="7178" max="7178" width="16" style="533" customWidth="1"/>
    <col min="7179" max="7179" width="14.85546875" style="533" customWidth="1"/>
    <col min="7180" max="7180" width="12.7109375" style="533" bestFit="1" customWidth="1"/>
    <col min="7181" max="7181" width="11.85546875" style="533" customWidth="1"/>
    <col min="7182" max="7182" width="19.5703125" style="533" customWidth="1"/>
    <col min="7183" max="7427" width="9.140625" style="533"/>
    <col min="7428" max="7428" width="6.7109375" style="533" customWidth="1"/>
    <col min="7429" max="7429" width="95.7109375" style="533" customWidth="1"/>
    <col min="7430" max="7430" width="16.28515625" style="533" customWidth="1"/>
    <col min="7431" max="7431" width="12.140625" style="533" customWidth="1"/>
    <col min="7432" max="7432" width="15.7109375" style="533" customWidth="1"/>
    <col min="7433" max="7433" width="16.28515625" style="533" customWidth="1"/>
    <col min="7434" max="7434" width="16" style="533" customWidth="1"/>
    <col min="7435" max="7435" width="14.85546875" style="533" customWidth="1"/>
    <col min="7436" max="7436" width="12.7109375" style="533" bestFit="1" customWidth="1"/>
    <col min="7437" max="7437" width="11.85546875" style="533" customWidth="1"/>
    <col min="7438" max="7438" width="19.5703125" style="533" customWidth="1"/>
    <col min="7439" max="7683" width="9.140625" style="533"/>
    <col min="7684" max="7684" width="6.7109375" style="533" customWidth="1"/>
    <col min="7685" max="7685" width="95.7109375" style="533" customWidth="1"/>
    <col min="7686" max="7686" width="16.28515625" style="533" customWidth="1"/>
    <col min="7687" max="7687" width="12.140625" style="533" customWidth="1"/>
    <col min="7688" max="7688" width="15.7109375" style="533" customWidth="1"/>
    <col min="7689" max="7689" width="16.28515625" style="533" customWidth="1"/>
    <col min="7690" max="7690" width="16" style="533" customWidth="1"/>
    <col min="7691" max="7691" width="14.85546875" style="533" customWidth="1"/>
    <col min="7692" max="7692" width="12.7109375" style="533" bestFit="1" customWidth="1"/>
    <col min="7693" max="7693" width="11.85546875" style="533" customWidth="1"/>
    <col min="7694" max="7694" width="19.5703125" style="533" customWidth="1"/>
    <col min="7695" max="7939" width="9.140625" style="533"/>
    <col min="7940" max="7940" width="6.7109375" style="533" customWidth="1"/>
    <col min="7941" max="7941" width="95.7109375" style="533" customWidth="1"/>
    <col min="7942" max="7942" width="16.28515625" style="533" customWidth="1"/>
    <col min="7943" max="7943" width="12.140625" style="533" customWidth="1"/>
    <col min="7944" max="7944" width="15.7109375" style="533" customWidth="1"/>
    <col min="7945" max="7945" width="16.28515625" style="533" customWidth="1"/>
    <col min="7946" max="7946" width="16" style="533" customWidth="1"/>
    <col min="7947" max="7947" width="14.85546875" style="533" customWidth="1"/>
    <col min="7948" max="7948" width="12.7109375" style="533" bestFit="1" customWidth="1"/>
    <col min="7949" max="7949" width="11.85546875" style="533" customWidth="1"/>
    <col min="7950" max="7950" width="19.5703125" style="533" customWidth="1"/>
    <col min="7951" max="8195" width="9.140625" style="533"/>
    <col min="8196" max="8196" width="6.7109375" style="533" customWidth="1"/>
    <col min="8197" max="8197" width="95.7109375" style="533" customWidth="1"/>
    <col min="8198" max="8198" width="16.28515625" style="533" customWidth="1"/>
    <col min="8199" max="8199" width="12.140625" style="533" customWidth="1"/>
    <col min="8200" max="8200" width="15.7109375" style="533" customWidth="1"/>
    <col min="8201" max="8201" width="16.28515625" style="533" customWidth="1"/>
    <col min="8202" max="8202" width="16" style="533" customWidth="1"/>
    <col min="8203" max="8203" width="14.85546875" style="533" customWidth="1"/>
    <col min="8204" max="8204" width="12.7109375" style="533" bestFit="1" customWidth="1"/>
    <col min="8205" max="8205" width="11.85546875" style="533" customWidth="1"/>
    <col min="8206" max="8206" width="19.5703125" style="533" customWidth="1"/>
    <col min="8207" max="8451" width="9.140625" style="533"/>
    <col min="8452" max="8452" width="6.7109375" style="533" customWidth="1"/>
    <col min="8453" max="8453" width="95.7109375" style="533" customWidth="1"/>
    <col min="8454" max="8454" width="16.28515625" style="533" customWidth="1"/>
    <col min="8455" max="8455" width="12.140625" style="533" customWidth="1"/>
    <col min="8456" max="8456" width="15.7109375" style="533" customWidth="1"/>
    <col min="8457" max="8457" width="16.28515625" style="533" customWidth="1"/>
    <col min="8458" max="8458" width="16" style="533" customWidth="1"/>
    <col min="8459" max="8459" width="14.85546875" style="533" customWidth="1"/>
    <col min="8460" max="8460" width="12.7109375" style="533" bestFit="1" customWidth="1"/>
    <col min="8461" max="8461" width="11.85546875" style="533" customWidth="1"/>
    <col min="8462" max="8462" width="19.5703125" style="533" customWidth="1"/>
    <col min="8463" max="8707" width="9.140625" style="533"/>
    <col min="8708" max="8708" width="6.7109375" style="533" customWidth="1"/>
    <col min="8709" max="8709" width="95.7109375" style="533" customWidth="1"/>
    <col min="8710" max="8710" width="16.28515625" style="533" customWidth="1"/>
    <col min="8711" max="8711" width="12.140625" style="533" customWidth="1"/>
    <col min="8712" max="8712" width="15.7109375" style="533" customWidth="1"/>
    <col min="8713" max="8713" width="16.28515625" style="533" customWidth="1"/>
    <col min="8714" max="8714" width="16" style="533" customWidth="1"/>
    <col min="8715" max="8715" width="14.85546875" style="533" customWidth="1"/>
    <col min="8716" max="8716" width="12.7109375" style="533" bestFit="1" customWidth="1"/>
    <col min="8717" max="8717" width="11.85546875" style="533" customWidth="1"/>
    <col min="8718" max="8718" width="19.5703125" style="533" customWidth="1"/>
    <col min="8719" max="8963" width="9.140625" style="533"/>
    <col min="8964" max="8964" width="6.7109375" style="533" customWidth="1"/>
    <col min="8965" max="8965" width="95.7109375" style="533" customWidth="1"/>
    <col min="8966" max="8966" width="16.28515625" style="533" customWidth="1"/>
    <col min="8967" max="8967" width="12.140625" style="533" customWidth="1"/>
    <col min="8968" max="8968" width="15.7109375" style="533" customWidth="1"/>
    <col min="8969" max="8969" width="16.28515625" style="533" customWidth="1"/>
    <col min="8970" max="8970" width="16" style="533" customWidth="1"/>
    <col min="8971" max="8971" width="14.85546875" style="533" customWidth="1"/>
    <col min="8972" max="8972" width="12.7109375" style="533" bestFit="1" customWidth="1"/>
    <col min="8973" max="8973" width="11.85546875" style="533" customWidth="1"/>
    <col min="8974" max="8974" width="19.5703125" style="533" customWidth="1"/>
    <col min="8975" max="9219" width="9.140625" style="533"/>
    <col min="9220" max="9220" width="6.7109375" style="533" customWidth="1"/>
    <col min="9221" max="9221" width="95.7109375" style="533" customWidth="1"/>
    <col min="9222" max="9222" width="16.28515625" style="533" customWidth="1"/>
    <col min="9223" max="9223" width="12.140625" style="533" customWidth="1"/>
    <col min="9224" max="9224" width="15.7109375" style="533" customWidth="1"/>
    <col min="9225" max="9225" width="16.28515625" style="533" customWidth="1"/>
    <col min="9226" max="9226" width="16" style="533" customWidth="1"/>
    <col min="9227" max="9227" width="14.85546875" style="533" customWidth="1"/>
    <col min="9228" max="9228" width="12.7109375" style="533" bestFit="1" customWidth="1"/>
    <col min="9229" max="9229" width="11.85546875" style="533" customWidth="1"/>
    <col min="9230" max="9230" width="19.5703125" style="533" customWidth="1"/>
    <col min="9231" max="9475" width="9.140625" style="533"/>
    <col min="9476" max="9476" width="6.7109375" style="533" customWidth="1"/>
    <col min="9477" max="9477" width="95.7109375" style="533" customWidth="1"/>
    <col min="9478" max="9478" width="16.28515625" style="533" customWidth="1"/>
    <col min="9479" max="9479" width="12.140625" style="533" customWidth="1"/>
    <col min="9480" max="9480" width="15.7109375" style="533" customWidth="1"/>
    <col min="9481" max="9481" width="16.28515625" style="533" customWidth="1"/>
    <col min="9482" max="9482" width="16" style="533" customWidth="1"/>
    <col min="9483" max="9483" width="14.85546875" style="533" customWidth="1"/>
    <col min="9484" max="9484" width="12.7109375" style="533" bestFit="1" customWidth="1"/>
    <col min="9485" max="9485" width="11.85546875" style="533" customWidth="1"/>
    <col min="9486" max="9486" width="19.5703125" style="533" customWidth="1"/>
    <col min="9487" max="9731" width="9.140625" style="533"/>
    <col min="9732" max="9732" width="6.7109375" style="533" customWidth="1"/>
    <col min="9733" max="9733" width="95.7109375" style="533" customWidth="1"/>
    <col min="9734" max="9734" width="16.28515625" style="533" customWidth="1"/>
    <col min="9735" max="9735" width="12.140625" style="533" customWidth="1"/>
    <col min="9736" max="9736" width="15.7109375" style="533" customWidth="1"/>
    <col min="9737" max="9737" width="16.28515625" style="533" customWidth="1"/>
    <col min="9738" max="9738" width="16" style="533" customWidth="1"/>
    <col min="9739" max="9739" width="14.85546875" style="533" customWidth="1"/>
    <col min="9740" max="9740" width="12.7109375" style="533" bestFit="1" customWidth="1"/>
    <col min="9741" max="9741" width="11.85546875" style="533" customWidth="1"/>
    <col min="9742" max="9742" width="19.5703125" style="533" customWidth="1"/>
    <col min="9743" max="9987" width="9.140625" style="533"/>
    <col min="9988" max="9988" width="6.7109375" style="533" customWidth="1"/>
    <col min="9989" max="9989" width="95.7109375" style="533" customWidth="1"/>
    <col min="9990" max="9990" width="16.28515625" style="533" customWidth="1"/>
    <col min="9991" max="9991" width="12.140625" style="533" customWidth="1"/>
    <col min="9992" max="9992" width="15.7109375" style="533" customWidth="1"/>
    <col min="9993" max="9993" width="16.28515625" style="533" customWidth="1"/>
    <col min="9994" max="9994" width="16" style="533" customWidth="1"/>
    <col min="9995" max="9995" width="14.85546875" style="533" customWidth="1"/>
    <col min="9996" max="9996" width="12.7109375" style="533" bestFit="1" customWidth="1"/>
    <col min="9997" max="9997" width="11.85546875" style="533" customWidth="1"/>
    <col min="9998" max="9998" width="19.5703125" style="533" customWidth="1"/>
    <col min="9999" max="10243" width="9.140625" style="533"/>
    <col min="10244" max="10244" width="6.7109375" style="533" customWidth="1"/>
    <col min="10245" max="10245" width="95.7109375" style="533" customWidth="1"/>
    <col min="10246" max="10246" width="16.28515625" style="533" customWidth="1"/>
    <col min="10247" max="10247" width="12.140625" style="533" customWidth="1"/>
    <col min="10248" max="10248" width="15.7109375" style="533" customWidth="1"/>
    <col min="10249" max="10249" width="16.28515625" style="533" customWidth="1"/>
    <col min="10250" max="10250" width="16" style="533" customWidth="1"/>
    <col min="10251" max="10251" width="14.85546875" style="533" customWidth="1"/>
    <col min="10252" max="10252" width="12.7109375" style="533" bestFit="1" customWidth="1"/>
    <col min="10253" max="10253" width="11.85546875" style="533" customWidth="1"/>
    <col min="10254" max="10254" width="19.5703125" style="533" customWidth="1"/>
    <col min="10255" max="10499" width="9.140625" style="533"/>
    <col min="10500" max="10500" width="6.7109375" style="533" customWidth="1"/>
    <col min="10501" max="10501" width="95.7109375" style="533" customWidth="1"/>
    <col min="10502" max="10502" width="16.28515625" style="533" customWidth="1"/>
    <col min="10503" max="10503" width="12.140625" style="533" customWidth="1"/>
    <col min="10504" max="10504" width="15.7109375" style="533" customWidth="1"/>
    <col min="10505" max="10505" width="16.28515625" style="533" customWidth="1"/>
    <col min="10506" max="10506" width="16" style="533" customWidth="1"/>
    <col min="10507" max="10507" width="14.85546875" style="533" customWidth="1"/>
    <col min="10508" max="10508" width="12.7109375" style="533" bestFit="1" customWidth="1"/>
    <col min="10509" max="10509" width="11.85546875" style="533" customWidth="1"/>
    <col min="10510" max="10510" width="19.5703125" style="533" customWidth="1"/>
    <col min="10511" max="10755" width="9.140625" style="533"/>
    <col min="10756" max="10756" width="6.7109375" style="533" customWidth="1"/>
    <col min="10757" max="10757" width="95.7109375" style="533" customWidth="1"/>
    <col min="10758" max="10758" width="16.28515625" style="533" customWidth="1"/>
    <col min="10759" max="10759" width="12.140625" style="533" customWidth="1"/>
    <col min="10760" max="10760" width="15.7109375" style="533" customWidth="1"/>
    <col min="10761" max="10761" width="16.28515625" style="533" customWidth="1"/>
    <col min="10762" max="10762" width="16" style="533" customWidth="1"/>
    <col min="10763" max="10763" width="14.85546875" style="533" customWidth="1"/>
    <col min="10764" max="10764" width="12.7109375" style="533" bestFit="1" customWidth="1"/>
    <col min="10765" max="10765" width="11.85546875" style="533" customWidth="1"/>
    <col min="10766" max="10766" width="19.5703125" style="533" customWidth="1"/>
    <col min="10767" max="11011" width="9.140625" style="533"/>
    <col min="11012" max="11012" width="6.7109375" style="533" customWidth="1"/>
    <col min="11013" max="11013" width="95.7109375" style="533" customWidth="1"/>
    <col min="11014" max="11014" width="16.28515625" style="533" customWidth="1"/>
    <col min="11015" max="11015" width="12.140625" style="533" customWidth="1"/>
    <col min="11016" max="11016" width="15.7109375" style="533" customWidth="1"/>
    <col min="11017" max="11017" width="16.28515625" style="533" customWidth="1"/>
    <col min="11018" max="11018" width="16" style="533" customWidth="1"/>
    <col min="11019" max="11019" width="14.85546875" style="533" customWidth="1"/>
    <col min="11020" max="11020" width="12.7109375" style="533" bestFit="1" customWidth="1"/>
    <col min="11021" max="11021" width="11.85546875" style="533" customWidth="1"/>
    <col min="11022" max="11022" width="19.5703125" style="533" customWidth="1"/>
    <col min="11023" max="11267" width="9.140625" style="533"/>
    <col min="11268" max="11268" width="6.7109375" style="533" customWidth="1"/>
    <col min="11269" max="11269" width="95.7109375" style="533" customWidth="1"/>
    <col min="11270" max="11270" width="16.28515625" style="533" customWidth="1"/>
    <col min="11271" max="11271" width="12.140625" style="533" customWidth="1"/>
    <col min="11272" max="11272" width="15.7109375" style="533" customWidth="1"/>
    <col min="11273" max="11273" width="16.28515625" style="533" customWidth="1"/>
    <col min="11274" max="11274" width="16" style="533" customWidth="1"/>
    <col min="11275" max="11275" width="14.85546875" style="533" customWidth="1"/>
    <col min="11276" max="11276" width="12.7109375" style="533" bestFit="1" customWidth="1"/>
    <col min="11277" max="11277" width="11.85546875" style="533" customWidth="1"/>
    <col min="11278" max="11278" width="19.5703125" style="533" customWidth="1"/>
    <col min="11279" max="11523" width="9.140625" style="533"/>
    <col min="11524" max="11524" width="6.7109375" style="533" customWidth="1"/>
    <col min="11525" max="11525" width="95.7109375" style="533" customWidth="1"/>
    <col min="11526" max="11526" width="16.28515625" style="533" customWidth="1"/>
    <col min="11527" max="11527" width="12.140625" style="533" customWidth="1"/>
    <col min="11528" max="11528" width="15.7109375" style="533" customWidth="1"/>
    <col min="11529" max="11529" width="16.28515625" style="533" customWidth="1"/>
    <col min="11530" max="11530" width="16" style="533" customWidth="1"/>
    <col min="11531" max="11531" width="14.85546875" style="533" customWidth="1"/>
    <col min="11532" max="11532" width="12.7109375" style="533" bestFit="1" customWidth="1"/>
    <col min="11533" max="11533" width="11.85546875" style="533" customWidth="1"/>
    <col min="11534" max="11534" width="19.5703125" style="533" customWidth="1"/>
    <col min="11535" max="11779" width="9.140625" style="533"/>
    <col min="11780" max="11780" width="6.7109375" style="533" customWidth="1"/>
    <col min="11781" max="11781" width="95.7109375" style="533" customWidth="1"/>
    <col min="11782" max="11782" width="16.28515625" style="533" customWidth="1"/>
    <col min="11783" max="11783" width="12.140625" style="533" customWidth="1"/>
    <col min="11784" max="11784" width="15.7109375" style="533" customWidth="1"/>
    <col min="11785" max="11785" width="16.28515625" style="533" customWidth="1"/>
    <col min="11786" max="11786" width="16" style="533" customWidth="1"/>
    <col min="11787" max="11787" width="14.85546875" style="533" customWidth="1"/>
    <col min="11788" max="11788" width="12.7109375" style="533" bestFit="1" customWidth="1"/>
    <col min="11789" max="11789" width="11.85546875" style="533" customWidth="1"/>
    <col min="11790" max="11790" width="19.5703125" style="533" customWidth="1"/>
    <col min="11791" max="12035" width="9.140625" style="533"/>
    <col min="12036" max="12036" width="6.7109375" style="533" customWidth="1"/>
    <col min="12037" max="12037" width="95.7109375" style="533" customWidth="1"/>
    <col min="12038" max="12038" width="16.28515625" style="533" customWidth="1"/>
    <col min="12039" max="12039" width="12.140625" style="533" customWidth="1"/>
    <col min="12040" max="12040" width="15.7109375" style="533" customWidth="1"/>
    <col min="12041" max="12041" width="16.28515625" style="533" customWidth="1"/>
    <col min="12042" max="12042" width="16" style="533" customWidth="1"/>
    <col min="12043" max="12043" width="14.85546875" style="533" customWidth="1"/>
    <col min="12044" max="12044" width="12.7109375" style="533" bestFit="1" customWidth="1"/>
    <col min="12045" max="12045" width="11.85546875" style="533" customWidth="1"/>
    <col min="12046" max="12046" width="19.5703125" style="533" customWidth="1"/>
    <col min="12047" max="12291" width="9.140625" style="533"/>
    <col min="12292" max="12292" width="6.7109375" style="533" customWidth="1"/>
    <col min="12293" max="12293" width="95.7109375" style="533" customWidth="1"/>
    <col min="12294" max="12294" width="16.28515625" style="533" customWidth="1"/>
    <col min="12295" max="12295" width="12.140625" style="533" customWidth="1"/>
    <col min="12296" max="12296" width="15.7109375" style="533" customWidth="1"/>
    <col min="12297" max="12297" width="16.28515625" style="533" customWidth="1"/>
    <col min="12298" max="12298" width="16" style="533" customWidth="1"/>
    <col min="12299" max="12299" width="14.85546875" style="533" customWidth="1"/>
    <col min="12300" max="12300" width="12.7109375" style="533" bestFit="1" customWidth="1"/>
    <col min="12301" max="12301" width="11.85546875" style="533" customWidth="1"/>
    <col min="12302" max="12302" width="19.5703125" style="533" customWidth="1"/>
    <col min="12303" max="12547" width="9.140625" style="533"/>
    <col min="12548" max="12548" width="6.7109375" style="533" customWidth="1"/>
    <col min="12549" max="12549" width="95.7109375" style="533" customWidth="1"/>
    <col min="12550" max="12550" width="16.28515625" style="533" customWidth="1"/>
    <col min="12551" max="12551" width="12.140625" style="533" customWidth="1"/>
    <col min="12552" max="12552" width="15.7109375" style="533" customWidth="1"/>
    <col min="12553" max="12553" width="16.28515625" style="533" customWidth="1"/>
    <col min="12554" max="12554" width="16" style="533" customWidth="1"/>
    <col min="12555" max="12555" width="14.85546875" style="533" customWidth="1"/>
    <col min="12556" max="12556" width="12.7109375" style="533" bestFit="1" customWidth="1"/>
    <col min="12557" max="12557" width="11.85546875" style="533" customWidth="1"/>
    <col min="12558" max="12558" width="19.5703125" style="533" customWidth="1"/>
    <col min="12559" max="12803" width="9.140625" style="533"/>
    <col min="12804" max="12804" width="6.7109375" style="533" customWidth="1"/>
    <col min="12805" max="12805" width="95.7109375" style="533" customWidth="1"/>
    <col min="12806" max="12806" width="16.28515625" style="533" customWidth="1"/>
    <col min="12807" max="12807" width="12.140625" style="533" customWidth="1"/>
    <col min="12808" max="12808" width="15.7109375" style="533" customWidth="1"/>
    <col min="12809" max="12809" width="16.28515625" style="533" customWidth="1"/>
    <col min="12810" max="12810" width="16" style="533" customWidth="1"/>
    <col min="12811" max="12811" width="14.85546875" style="533" customWidth="1"/>
    <col min="12812" max="12812" width="12.7109375" style="533" bestFit="1" customWidth="1"/>
    <col min="12813" max="12813" width="11.85546875" style="533" customWidth="1"/>
    <col min="12814" max="12814" width="19.5703125" style="533" customWidth="1"/>
    <col min="12815" max="13059" width="9.140625" style="533"/>
    <col min="13060" max="13060" width="6.7109375" style="533" customWidth="1"/>
    <col min="13061" max="13061" width="95.7109375" style="533" customWidth="1"/>
    <col min="13062" max="13062" width="16.28515625" style="533" customWidth="1"/>
    <col min="13063" max="13063" width="12.140625" style="533" customWidth="1"/>
    <col min="13064" max="13064" width="15.7109375" style="533" customWidth="1"/>
    <col min="13065" max="13065" width="16.28515625" style="533" customWidth="1"/>
    <col min="13066" max="13066" width="16" style="533" customWidth="1"/>
    <col min="13067" max="13067" width="14.85546875" style="533" customWidth="1"/>
    <col min="13068" max="13068" width="12.7109375" style="533" bestFit="1" customWidth="1"/>
    <col min="13069" max="13069" width="11.85546875" style="533" customWidth="1"/>
    <col min="13070" max="13070" width="19.5703125" style="533" customWidth="1"/>
    <col min="13071" max="13315" width="9.140625" style="533"/>
    <col min="13316" max="13316" width="6.7109375" style="533" customWidth="1"/>
    <col min="13317" max="13317" width="95.7109375" style="533" customWidth="1"/>
    <col min="13318" max="13318" width="16.28515625" style="533" customWidth="1"/>
    <col min="13319" max="13319" width="12.140625" style="533" customWidth="1"/>
    <col min="13320" max="13320" width="15.7109375" style="533" customWidth="1"/>
    <col min="13321" max="13321" width="16.28515625" style="533" customWidth="1"/>
    <col min="13322" max="13322" width="16" style="533" customWidth="1"/>
    <col min="13323" max="13323" width="14.85546875" style="533" customWidth="1"/>
    <col min="13324" max="13324" width="12.7109375" style="533" bestFit="1" customWidth="1"/>
    <col min="13325" max="13325" width="11.85546875" style="533" customWidth="1"/>
    <col min="13326" max="13326" width="19.5703125" style="533" customWidth="1"/>
    <col min="13327" max="13571" width="9.140625" style="533"/>
    <col min="13572" max="13572" width="6.7109375" style="533" customWidth="1"/>
    <col min="13573" max="13573" width="95.7109375" style="533" customWidth="1"/>
    <col min="13574" max="13574" width="16.28515625" style="533" customWidth="1"/>
    <col min="13575" max="13575" width="12.140625" style="533" customWidth="1"/>
    <col min="13576" max="13576" width="15.7109375" style="533" customWidth="1"/>
    <col min="13577" max="13577" width="16.28515625" style="533" customWidth="1"/>
    <col min="13578" max="13578" width="16" style="533" customWidth="1"/>
    <col min="13579" max="13579" width="14.85546875" style="533" customWidth="1"/>
    <col min="13580" max="13580" width="12.7109375" style="533" bestFit="1" customWidth="1"/>
    <col min="13581" max="13581" width="11.85546875" style="533" customWidth="1"/>
    <col min="13582" max="13582" width="19.5703125" style="533" customWidth="1"/>
    <col min="13583" max="13827" width="9.140625" style="533"/>
    <col min="13828" max="13828" width="6.7109375" style="533" customWidth="1"/>
    <col min="13829" max="13829" width="95.7109375" style="533" customWidth="1"/>
    <col min="13830" max="13830" width="16.28515625" style="533" customWidth="1"/>
    <col min="13831" max="13831" width="12.140625" style="533" customWidth="1"/>
    <col min="13832" max="13832" width="15.7109375" style="533" customWidth="1"/>
    <col min="13833" max="13833" width="16.28515625" style="533" customWidth="1"/>
    <col min="13834" max="13834" width="16" style="533" customWidth="1"/>
    <col min="13835" max="13835" width="14.85546875" style="533" customWidth="1"/>
    <col min="13836" max="13836" width="12.7109375" style="533" bestFit="1" customWidth="1"/>
    <col min="13837" max="13837" width="11.85546875" style="533" customWidth="1"/>
    <col min="13838" max="13838" width="19.5703125" style="533" customWidth="1"/>
    <col min="13839" max="14083" width="9.140625" style="533"/>
    <col min="14084" max="14084" width="6.7109375" style="533" customWidth="1"/>
    <col min="14085" max="14085" width="95.7109375" style="533" customWidth="1"/>
    <col min="14086" max="14086" width="16.28515625" style="533" customWidth="1"/>
    <col min="14087" max="14087" width="12.140625" style="533" customWidth="1"/>
    <col min="14088" max="14088" width="15.7109375" style="533" customWidth="1"/>
    <col min="14089" max="14089" width="16.28515625" style="533" customWidth="1"/>
    <col min="14090" max="14090" width="16" style="533" customWidth="1"/>
    <col min="14091" max="14091" width="14.85546875" style="533" customWidth="1"/>
    <col min="14092" max="14092" width="12.7109375" style="533" bestFit="1" customWidth="1"/>
    <col min="14093" max="14093" width="11.85546875" style="533" customWidth="1"/>
    <col min="14094" max="14094" width="19.5703125" style="533" customWidth="1"/>
    <col min="14095" max="14339" width="9.140625" style="533"/>
    <col min="14340" max="14340" width="6.7109375" style="533" customWidth="1"/>
    <col min="14341" max="14341" width="95.7109375" style="533" customWidth="1"/>
    <col min="14342" max="14342" width="16.28515625" style="533" customWidth="1"/>
    <col min="14343" max="14343" width="12.140625" style="533" customWidth="1"/>
    <col min="14344" max="14344" width="15.7109375" style="533" customWidth="1"/>
    <col min="14345" max="14345" width="16.28515625" style="533" customWidth="1"/>
    <col min="14346" max="14346" width="16" style="533" customWidth="1"/>
    <col min="14347" max="14347" width="14.85546875" style="533" customWidth="1"/>
    <col min="14348" max="14348" width="12.7109375" style="533" bestFit="1" customWidth="1"/>
    <col min="14349" max="14349" width="11.85546875" style="533" customWidth="1"/>
    <col min="14350" max="14350" width="19.5703125" style="533" customWidth="1"/>
    <col min="14351" max="14595" width="9.140625" style="533"/>
    <col min="14596" max="14596" width="6.7109375" style="533" customWidth="1"/>
    <col min="14597" max="14597" width="95.7109375" style="533" customWidth="1"/>
    <col min="14598" max="14598" width="16.28515625" style="533" customWidth="1"/>
    <col min="14599" max="14599" width="12.140625" style="533" customWidth="1"/>
    <col min="14600" max="14600" width="15.7109375" style="533" customWidth="1"/>
    <col min="14601" max="14601" width="16.28515625" style="533" customWidth="1"/>
    <col min="14602" max="14602" width="16" style="533" customWidth="1"/>
    <col min="14603" max="14603" width="14.85546875" style="533" customWidth="1"/>
    <col min="14604" max="14604" width="12.7109375" style="533" bestFit="1" customWidth="1"/>
    <col min="14605" max="14605" width="11.85546875" style="533" customWidth="1"/>
    <col min="14606" max="14606" width="19.5703125" style="533" customWidth="1"/>
    <col min="14607" max="14851" width="9.140625" style="533"/>
    <col min="14852" max="14852" width="6.7109375" style="533" customWidth="1"/>
    <col min="14853" max="14853" width="95.7109375" style="533" customWidth="1"/>
    <col min="14854" max="14854" width="16.28515625" style="533" customWidth="1"/>
    <col min="14855" max="14855" width="12.140625" style="533" customWidth="1"/>
    <col min="14856" max="14856" width="15.7109375" style="533" customWidth="1"/>
    <col min="14857" max="14857" width="16.28515625" style="533" customWidth="1"/>
    <col min="14858" max="14858" width="16" style="533" customWidth="1"/>
    <col min="14859" max="14859" width="14.85546875" style="533" customWidth="1"/>
    <col min="14860" max="14860" width="12.7109375" style="533" bestFit="1" customWidth="1"/>
    <col min="14861" max="14861" width="11.85546875" style="533" customWidth="1"/>
    <col min="14862" max="14862" width="19.5703125" style="533" customWidth="1"/>
    <col min="14863" max="15107" width="9.140625" style="533"/>
    <col min="15108" max="15108" width="6.7109375" style="533" customWidth="1"/>
    <col min="15109" max="15109" width="95.7109375" style="533" customWidth="1"/>
    <col min="15110" max="15110" width="16.28515625" style="533" customWidth="1"/>
    <col min="15111" max="15111" width="12.140625" style="533" customWidth="1"/>
    <col min="15112" max="15112" width="15.7109375" style="533" customWidth="1"/>
    <col min="15113" max="15113" width="16.28515625" style="533" customWidth="1"/>
    <col min="15114" max="15114" width="16" style="533" customWidth="1"/>
    <col min="15115" max="15115" width="14.85546875" style="533" customWidth="1"/>
    <col min="15116" max="15116" width="12.7109375" style="533" bestFit="1" customWidth="1"/>
    <col min="15117" max="15117" width="11.85546875" style="533" customWidth="1"/>
    <col min="15118" max="15118" width="19.5703125" style="533" customWidth="1"/>
    <col min="15119" max="15363" width="9.140625" style="533"/>
    <col min="15364" max="15364" width="6.7109375" style="533" customWidth="1"/>
    <col min="15365" max="15365" width="95.7109375" style="533" customWidth="1"/>
    <col min="15366" max="15366" width="16.28515625" style="533" customWidth="1"/>
    <col min="15367" max="15367" width="12.140625" style="533" customWidth="1"/>
    <col min="15368" max="15368" width="15.7109375" style="533" customWidth="1"/>
    <col min="15369" max="15369" width="16.28515625" style="533" customWidth="1"/>
    <col min="15370" max="15370" width="16" style="533" customWidth="1"/>
    <col min="15371" max="15371" width="14.85546875" style="533" customWidth="1"/>
    <col min="15372" max="15372" width="12.7109375" style="533" bestFit="1" customWidth="1"/>
    <col min="15373" max="15373" width="11.85546875" style="533" customWidth="1"/>
    <col min="15374" max="15374" width="19.5703125" style="533" customWidth="1"/>
    <col min="15375" max="15619" width="9.140625" style="533"/>
    <col min="15620" max="15620" width="6.7109375" style="533" customWidth="1"/>
    <col min="15621" max="15621" width="95.7109375" style="533" customWidth="1"/>
    <col min="15622" max="15622" width="16.28515625" style="533" customWidth="1"/>
    <col min="15623" max="15623" width="12.140625" style="533" customWidth="1"/>
    <col min="15624" max="15624" width="15.7109375" style="533" customWidth="1"/>
    <col min="15625" max="15625" width="16.28515625" style="533" customWidth="1"/>
    <col min="15626" max="15626" width="16" style="533" customWidth="1"/>
    <col min="15627" max="15627" width="14.85546875" style="533" customWidth="1"/>
    <col min="15628" max="15628" width="12.7109375" style="533" bestFit="1" customWidth="1"/>
    <col min="15629" max="15629" width="11.85546875" style="533" customWidth="1"/>
    <col min="15630" max="15630" width="19.5703125" style="533" customWidth="1"/>
    <col min="15631" max="15875" width="9.140625" style="533"/>
    <col min="15876" max="15876" width="6.7109375" style="533" customWidth="1"/>
    <col min="15877" max="15877" width="95.7109375" style="533" customWidth="1"/>
    <col min="15878" max="15878" width="16.28515625" style="533" customWidth="1"/>
    <col min="15879" max="15879" width="12.140625" style="533" customWidth="1"/>
    <col min="15880" max="15880" width="15.7109375" style="533" customWidth="1"/>
    <col min="15881" max="15881" width="16.28515625" style="533" customWidth="1"/>
    <col min="15882" max="15882" width="16" style="533" customWidth="1"/>
    <col min="15883" max="15883" width="14.85546875" style="533" customWidth="1"/>
    <col min="15884" max="15884" width="12.7109375" style="533" bestFit="1" customWidth="1"/>
    <col min="15885" max="15885" width="11.85546875" style="533" customWidth="1"/>
    <col min="15886" max="15886" width="19.5703125" style="533" customWidth="1"/>
    <col min="15887" max="16131" width="9.140625" style="533"/>
    <col min="16132" max="16132" width="6.7109375" style="533" customWidth="1"/>
    <col min="16133" max="16133" width="95.7109375" style="533" customWidth="1"/>
    <col min="16134" max="16134" width="16.28515625" style="533" customWidth="1"/>
    <col min="16135" max="16135" width="12.140625" style="533" customWidth="1"/>
    <col min="16136" max="16136" width="15.7109375" style="533" customWidth="1"/>
    <col min="16137" max="16137" width="16.28515625" style="533" customWidth="1"/>
    <col min="16138" max="16138" width="16" style="533" customWidth="1"/>
    <col min="16139" max="16139" width="14.85546875" style="533" customWidth="1"/>
    <col min="16140" max="16140" width="12.7109375" style="533" bestFit="1" customWidth="1"/>
    <col min="16141" max="16141" width="11.85546875" style="533" customWidth="1"/>
    <col min="16142" max="16142" width="19.5703125" style="533" customWidth="1"/>
    <col min="16143" max="16383" width="9.140625" style="533"/>
    <col min="16384" max="16384" width="8.85546875" style="533" customWidth="1"/>
  </cols>
  <sheetData>
    <row r="2" spans="3:26" ht="18">
      <c r="C2" s="843" t="s">
        <v>738</v>
      </c>
      <c r="D2" s="843"/>
      <c r="E2" s="843"/>
      <c r="F2" s="843"/>
      <c r="G2" s="843"/>
      <c r="H2" s="843"/>
      <c r="I2" s="843"/>
      <c r="Y2" s="533">
        <v>100000</v>
      </c>
    </row>
    <row r="3" spans="3:26">
      <c r="C3" s="844" t="s">
        <v>739</v>
      </c>
      <c r="D3" s="844"/>
      <c r="E3" s="844"/>
      <c r="F3" s="844"/>
      <c r="G3" s="844"/>
      <c r="H3" s="844"/>
      <c r="I3" s="844"/>
    </row>
    <row r="4" spans="3:26">
      <c r="C4" s="534"/>
    </row>
    <row r="5" spans="3:26">
      <c r="C5" s="535">
        <v>8</v>
      </c>
      <c r="D5" s="534" t="s">
        <v>740</v>
      </c>
    </row>
    <row r="6" spans="3:26">
      <c r="D6" s="845" t="s">
        <v>741</v>
      </c>
      <c r="E6" s="845"/>
      <c r="F6" s="845"/>
      <c r="G6" s="845"/>
      <c r="H6" s="845"/>
      <c r="I6" s="845"/>
    </row>
    <row r="8" spans="3:26">
      <c r="D8" s="534" t="s">
        <v>742</v>
      </c>
    </row>
    <row r="9" spans="3:26">
      <c r="D9" s="846" t="s">
        <v>743</v>
      </c>
      <c r="E9" s="846"/>
      <c r="F9" s="846"/>
      <c r="G9" s="846"/>
      <c r="H9" s="846"/>
      <c r="I9" s="846"/>
      <c r="J9" s="536"/>
      <c r="K9" s="536"/>
      <c r="L9" s="536"/>
      <c r="M9" s="536"/>
      <c r="N9" s="536"/>
      <c r="O9" s="536"/>
      <c r="P9" s="536"/>
      <c r="Q9" s="536"/>
      <c r="R9" s="536"/>
      <c r="S9" s="536"/>
      <c r="T9" s="536"/>
      <c r="U9" s="536"/>
      <c r="V9" s="536"/>
      <c r="W9" s="536"/>
      <c r="X9" s="536"/>
      <c r="Y9" s="536"/>
      <c r="Z9" s="536"/>
    </row>
    <row r="10" spans="3:26">
      <c r="D10" s="534" t="s">
        <v>744</v>
      </c>
    </row>
    <row r="11" spans="3:26">
      <c r="D11" s="847" t="s">
        <v>745</v>
      </c>
      <c r="E11" s="847"/>
      <c r="F11" s="847"/>
      <c r="G11" s="847"/>
      <c r="H11" s="847"/>
      <c r="I11" s="847"/>
      <c r="J11" s="536"/>
      <c r="K11" s="536"/>
      <c r="L11" s="536"/>
      <c r="M11" s="536"/>
      <c r="N11" s="536"/>
      <c r="O11" s="536"/>
      <c r="P11" s="536"/>
      <c r="Q11" s="536"/>
      <c r="R11" s="536"/>
      <c r="S11" s="536"/>
      <c r="T11" s="536"/>
      <c r="U11" s="536"/>
      <c r="V11" s="536"/>
      <c r="W11" s="536"/>
      <c r="X11" s="536"/>
      <c r="Y11" s="536"/>
      <c r="Z11" s="536"/>
    </row>
    <row r="12" spans="3:26">
      <c r="D12" s="534" t="s">
        <v>746</v>
      </c>
      <c r="E12" s="536"/>
      <c r="F12" s="536"/>
      <c r="G12" s="536"/>
      <c r="H12" s="536"/>
      <c r="I12" s="536"/>
      <c r="J12" s="536"/>
      <c r="K12" s="536"/>
      <c r="L12" s="536"/>
      <c r="M12" s="536"/>
      <c r="N12" s="536"/>
      <c r="O12" s="536"/>
      <c r="P12" s="536"/>
      <c r="Q12" s="536"/>
      <c r="R12" s="536"/>
      <c r="S12" s="536"/>
      <c r="T12" s="536"/>
      <c r="U12" s="536"/>
      <c r="V12" s="536"/>
      <c r="W12" s="536"/>
      <c r="X12" s="536">
        <v>100000</v>
      </c>
      <c r="Y12" s="536"/>
      <c r="Z12" s="536"/>
    </row>
    <row r="13" spans="3:26">
      <c r="D13" s="848" t="s">
        <v>747</v>
      </c>
      <c r="E13" s="848"/>
      <c r="F13" s="848"/>
      <c r="G13" s="848"/>
      <c r="H13" s="848"/>
      <c r="I13" s="848"/>
      <c r="J13" s="537"/>
      <c r="K13" s="537"/>
      <c r="L13" s="537"/>
      <c r="M13" s="537"/>
      <c r="N13" s="537"/>
      <c r="O13" s="537"/>
      <c r="P13" s="537"/>
      <c r="Q13" s="537"/>
      <c r="R13" s="537"/>
      <c r="S13" s="537"/>
      <c r="T13" s="537"/>
      <c r="U13" s="537"/>
      <c r="V13" s="537"/>
      <c r="W13" s="537"/>
      <c r="X13" s="537"/>
      <c r="Y13" s="536"/>
      <c r="Z13" s="536"/>
    </row>
    <row r="14" spans="3:26">
      <c r="D14" s="536"/>
      <c r="E14" s="536"/>
      <c r="F14" s="536"/>
      <c r="G14" s="536"/>
      <c r="H14" s="536"/>
      <c r="I14" s="536"/>
      <c r="J14" s="536"/>
      <c r="K14" s="536"/>
      <c r="L14" s="536"/>
      <c r="M14" s="536"/>
      <c r="N14" s="536"/>
      <c r="O14" s="536"/>
      <c r="P14" s="536"/>
      <c r="Q14" s="536"/>
      <c r="R14" s="536"/>
      <c r="S14" s="536"/>
      <c r="T14" s="536"/>
      <c r="U14" s="536"/>
      <c r="V14" s="536"/>
      <c r="W14" s="536"/>
      <c r="X14" s="536"/>
      <c r="Y14" s="536"/>
      <c r="Z14" s="536"/>
    </row>
    <row r="15" spans="3:26">
      <c r="C15" s="535"/>
      <c r="D15" s="849" t="s">
        <v>748</v>
      </c>
      <c r="E15" s="849"/>
      <c r="F15" s="536"/>
      <c r="G15" s="536"/>
      <c r="H15" s="536"/>
      <c r="I15" s="536"/>
      <c r="J15" s="536"/>
      <c r="K15" s="536"/>
      <c r="L15" s="536"/>
      <c r="M15" s="536"/>
      <c r="N15" s="536"/>
      <c r="O15" s="536"/>
      <c r="P15" s="536"/>
      <c r="Q15" s="536"/>
      <c r="R15" s="536"/>
      <c r="S15" s="536"/>
      <c r="T15" s="536"/>
      <c r="U15" s="536"/>
      <c r="V15" s="536"/>
      <c r="W15" s="536"/>
      <c r="X15" s="536"/>
      <c r="Y15" s="536"/>
      <c r="Z15" s="536"/>
    </row>
    <row r="16" spans="3:26">
      <c r="D16" s="850" t="s">
        <v>3</v>
      </c>
      <c r="E16" s="850"/>
      <c r="F16" s="851" t="s">
        <v>17</v>
      </c>
      <c r="G16" s="851"/>
      <c r="H16" s="851" t="s">
        <v>18</v>
      </c>
      <c r="I16" s="851"/>
      <c r="J16" s="538"/>
      <c r="K16" s="539"/>
      <c r="L16" s="539"/>
      <c r="M16" s="539"/>
      <c r="N16" s="539"/>
      <c r="O16" s="539"/>
      <c r="P16" s="539"/>
      <c r="Q16" s="539"/>
      <c r="R16" s="539"/>
      <c r="S16" s="539"/>
      <c r="T16" s="539"/>
      <c r="U16" s="539"/>
      <c r="V16" s="539"/>
      <c r="W16" s="539"/>
      <c r="Z16" s="536"/>
    </row>
    <row r="17" spans="4:26" ht="47.25">
      <c r="D17" s="850"/>
      <c r="E17" s="850"/>
      <c r="F17" s="540" t="s">
        <v>749</v>
      </c>
      <c r="G17" s="540" t="s">
        <v>750</v>
      </c>
      <c r="H17" s="540" t="s">
        <v>749</v>
      </c>
      <c r="I17" s="540" t="s">
        <v>750</v>
      </c>
      <c r="J17" s="541" t="s">
        <v>750</v>
      </c>
      <c r="K17" s="542" t="s">
        <v>751</v>
      </c>
      <c r="L17" s="543" t="s">
        <v>750</v>
      </c>
      <c r="M17" s="542" t="s">
        <v>751</v>
      </c>
      <c r="N17" s="543" t="s">
        <v>750</v>
      </c>
      <c r="O17" s="542" t="s">
        <v>751</v>
      </c>
      <c r="P17" s="543" t="s">
        <v>750</v>
      </c>
      <c r="Q17" s="542" t="s">
        <v>751</v>
      </c>
      <c r="R17" s="543" t="s">
        <v>750</v>
      </c>
      <c r="S17" s="542" t="s">
        <v>751</v>
      </c>
      <c r="T17" s="543" t="s">
        <v>750</v>
      </c>
      <c r="U17" s="542" t="s">
        <v>751</v>
      </c>
      <c r="V17" s="543" t="s">
        <v>750</v>
      </c>
      <c r="W17" s="542" t="s">
        <v>751</v>
      </c>
      <c r="Z17" s="536"/>
    </row>
    <row r="18" spans="4:26">
      <c r="D18" s="842" t="s">
        <v>752</v>
      </c>
      <c r="E18" s="842"/>
      <c r="F18" s="544">
        <v>1781</v>
      </c>
      <c r="G18" s="544">
        <v>1763</v>
      </c>
      <c r="H18" s="544">
        <v>1781</v>
      </c>
      <c r="I18" s="544">
        <v>1763</v>
      </c>
      <c r="J18" s="545"/>
      <c r="K18" s="546"/>
      <c r="L18" s="546"/>
      <c r="M18" s="546"/>
      <c r="N18" s="546"/>
      <c r="O18" s="546"/>
      <c r="P18" s="546"/>
      <c r="Q18" s="546"/>
      <c r="R18" s="546"/>
      <c r="S18" s="546"/>
      <c r="T18" s="546"/>
      <c r="U18" s="546"/>
      <c r="V18" s="546"/>
      <c r="W18" s="546"/>
      <c r="Z18" s="536"/>
    </row>
    <row r="19" spans="4:26">
      <c r="D19" s="842" t="s">
        <v>753</v>
      </c>
      <c r="E19" s="842"/>
      <c r="F19" s="547">
        <f>93733996/X12</f>
        <v>937.33996000000002</v>
      </c>
      <c r="G19" s="544">
        <f>85851000/X12</f>
        <v>858.51</v>
      </c>
      <c r="H19" s="547">
        <f>93733996/X12</f>
        <v>937.33996000000002</v>
      </c>
      <c r="I19" s="544">
        <f>85851000/X12</f>
        <v>858.51</v>
      </c>
      <c r="J19" s="548"/>
      <c r="K19" s="546"/>
      <c r="L19" s="546"/>
      <c r="M19" s="546"/>
      <c r="N19" s="546"/>
      <c r="O19" s="546"/>
      <c r="P19" s="546"/>
      <c r="Q19" s="546"/>
      <c r="R19" s="546"/>
      <c r="S19" s="546"/>
      <c r="T19" s="546"/>
      <c r="U19" s="546"/>
      <c r="V19" s="546"/>
      <c r="W19" s="546"/>
      <c r="Z19" s="536"/>
    </row>
    <row r="20" spans="4:26">
      <c r="D20" s="842" t="s">
        <v>754</v>
      </c>
      <c r="E20" s="842"/>
      <c r="F20" s="544">
        <v>11</v>
      </c>
      <c r="G20" s="544">
        <v>11</v>
      </c>
      <c r="H20" s="547">
        <v>11.26</v>
      </c>
      <c r="I20" s="549">
        <v>11.4</v>
      </c>
      <c r="J20" s="550"/>
      <c r="K20" s="546"/>
      <c r="L20" s="546"/>
      <c r="M20" s="546"/>
      <c r="N20" s="546"/>
      <c r="O20" s="546"/>
      <c r="P20" s="546"/>
      <c r="Q20" s="546"/>
      <c r="R20" s="546"/>
      <c r="S20" s="546"/>
      <c r="T20" s="546"/>
      <c r="U20" s="546"/>
      <c r="V20" s="546"/>
      <c r="W20" s="546"/>
      <c r="Z20" s="536"/>
    </row>
    <row r="21" spans="4:26">
      <c r="D21" s="842" t="s">
        <v>755</v>
      </c>
      <c r="E21" s="842"/>
      <c r="F21" s="544">
        <v>38</v>
      </c>
      <c r="G21" s="544">
        <v>38</v>
      </c>
      <c r="H21" s="547">
        <v>37.44</v>
      </c>
      <c r="I21" s="549">
        <v>37.71</v>
      </c>
      <c r="J21" s="550"/>
      <c r="K21" s="546"/>
      <c r="L21" s="546"/>
      <c r="M21" s="546"/>
      <c r="N21" s="546"/>
      <c r="O21" s="546"/>
      <c r="P21" s="546"/>
      <c r="Q21" s="546"/>
      <c r="R21" s="546"/>
      <c r="S21" s="546"/>
      <c r="T21" s="546"/>
      <c r="U21" s="546"/>
      <c r="V21" s="546"/>
      <c r="W21" s="546"/>
      <c r="Z21" s="536"/>
    </row>
    <row r="22" spans="4:26" s="551" customFormat="1">
      <c r="D22" s="852" t="s">
        <v>756</v>
      </c>
      <c r="E22" s="852"/>
      <c r="F22" s="552">
        <f>60-F21</f>
        <v>22</v>
      </c>
      <c r="G22" s="552">
        <f>60-G21</f>
        <v>22</v>
      </c>
      <c r="H22" s="553">
        <f>60-H21</f>
        <v>22.560000000000002</v>
      </c>
      <c r="I22" s="553">
        <f>60-I21</f>
        <v>22.29</v>
      </c>
      <c r="J22" s="554"/>
      <c r="K22" s="555"/>
      <c r="L22" s="555"/>
      <c r="M22" s="555"/>
      <c r="N22" s="555"/>
      <c r="O22" s="555"/>
      <c r="P22" s="555"/>
      <c r="Q22" s="555"/>
      <c r="R22" s="555"/>
      <c r="S22" s="555"/>
      <c r="T22" s="555"/>
      <c r="U22" s="555"/>
      <c r="V22" s="555"/>
      <c r="W22" s="555"/>
      <c r="Z22" s="537"/>
    </row>
    <row r="23" spans="4:26" s="551" customFormat="1">
      <c r="D23" s="852" t="s">
        <v>757</v>
      </c>
      <c r="E23" s="852"/>
      <c r="F23" s="552"/>
      <c r="G23" s="552"/>
      <c r="H23" s="553"/>
      <c r="I23" s="556"/>
      <c r="J23" s="554"/>
      <c r="K23" s="555"/>
      <c r="L23" s="555"/>
      <c r="M23" s="555"/>
      <c r="N23" s="555"/>
      <c r="O23" s="555"/>
      <c r="P23" s="555"/>
      <c r="Q23" s="555"/>
      <c r="R23" s="555"/>
      <c r="S23" s="555"/>
      <c r="T23" s="555"/>
      <c r="U23" s="555"/>
      <c r="V23" s="555"/>
      <c r="W23" s="555"/>
      <c r="Z23" s="537"/>
    </row>
    <row r="24" spans="4:26">
      <c r="D24" s="842" t="s">
        <v>758</v>
      </c>
      <c r="E24" s="842"/>
      <c r="F24" s="544"/>
      <c r="G24" s="544"/>
      <c r="H24" s="547">
        <v>125831</v>
      </c>
      <c r="I24" s="549">
        <v>282999</v>
      </c>
      <c r="J24" s="536"/>
      <c r="K24" s="536"/>
      <c r="L24" s="536"/>
      <c r="M24" s="536"/>
      <c r="N24" s="536"/>
      <c r="O24" s="536"/>
      <c r="P24" s="536"/>
      <c r="Q24" s="536"/>
      <c r="R24" s="536"/>
      <c r="S24" s="536"/>
      <c r="T24" s="536"/>
      <c r="U24" s="536"/>
      <c r="V24" s="536"/>
      <c r="W24" s="536"/>
      <c r="Z24" s="536"/>
    </row>
    <row r="25" spans="4:26">
      <c r="D25" s="557"/>
      <c r="E25" s="557"/>
      <c r="F25" s="558"/>
      <c r="G25" s="558"/>
      <c r="I25" s="536"/>
      <c r="J25" s="536"/>
      <c r="K25" s="536"/>
      <c r="L25" s="536"/>
      <c r="M25" s="536"/>
      <c r="N25" s="536"/>
      <c r="O25" s="536"/>
      <c r="P25" s="536"/>
      <c r="Q25" s="536"/>
      <c r="R25" s="536"/>
      <c r="S25" s="536"/>
      <c r="T25" s="536"/>
      <c r="U25" s="536"/>
      <c r="V25" s="536"/>
      <c r="W25" s="536"/>
      <c r="X25" s="536"/>
      <c r="Y25" s="536"/>
      <c r="Z25" s="536"/>
    </row>
    <row r="26" spans="4:26">
      <c r="D26" s="849" t="s">
        <v>748</v>
      </c>
      <c r="E26" s="849"/>
      <c r="F26" s="558"/>
      <c r="G26" s="558"/>
      <c r="I26" s="536"/>
      <c r="J26" s="536"/>
      <c r="K26" s="536"/>
      <c r="L26" s="536"/>
      <c r="M26" s="536"/>
      <c r="N26" s="536"/>
      <c r="O26" s="536"/>
      <c r="P26" s="536"/>
      <c r="Q26" s="536"/>
      <c r="R26" s="536"/>
      <c r="S26" s="536"/>
      <c r="T26" s="536"/>
      <c r="U26" s="536"/>
      <c r="V26" s="536"/>
      <c r="W26" s="536"/>
      <c r="X26" s="536"/>
      <c r="Y26" s="536"/>
      <c r="Z26" s="536"/>
    </row>
    <row r="27" spans="4:26">
      <c r="D27" s="850" t="s">
        <v>3</v>
      </c>
      <c r="E27" s="850"/>
      <c r="F27" s="850" t="s">
        <v>16</v>
      </c>
      <c r="G27" s="850"/>
      <c r="I27" s="536"/>
      <c r="J27" s="536"/>
      <c r="K27" s="536"/>
      <c r="L27" s="536"/>
      <c r="M27" s="536"/>
      <c r="N27" s="536"/>
      <c r="O27" s="536"/>
      <c r="P27" s="536"/>
      <c r="Q27" s="536"/>
      <c r="R27" s="536"/>
      <c r="S27" s="536"/>
      <c r="T27" s="536"/>
      <c r="U27" s="536"/>
      <c r="V27" s="536"/>
      <c r="W27" s="536"/>
      <c r="X27" s="536"/>
      <c r="Y27" s="536"/>
      <c r="Z27" s="536"/>
    </row>
    <row r="28" spans="4:26">
      <c r="D28" s="850"/>
      <c r="E28" s="850"/>
      <c r="F28" s="540" t="s">
        <v>749</v>
      </c>
      <c r="G28" s="540" t="s">
        <v>750</v>
      </c>
      <c r="I28" s="536"/>
      <c r="J28" s="536"/>
      <c r="K28" s="536"/>
      <c r="L28" s="536"/>
      <c r="M28" s="536"/>
      <c r="N28" s="536"/>
      <c r="O28" s="536"/>
      <c r="P28" s="536"/>
      <c r="Q28" s="536"/>
      <c r="R28" s="536"/>
      <c r="S28" s="536"/>
      <c r="T28" s="536"/>
      <c r="U28" s="536"/>
      <c r="V28" s="536"/>
      <c r="W28" s="536"/>
      <c r="X28" s="536"/>
      <c r="Y28" s="536"/>
      <c r="Z28" s="536"/>
    </row>
    <row r="29" spans="4:26">
      <c r="D29" s="853" t="s">
        <v>759</v>
      </c>
      <c r="E29" s="853"/>
      <c r="F29" s="549"/>
      <c r="G29" s="549"/>
      <c r="I29" s="536"/>
      <c r="J29" s="536"/>
      <c r="K29" s="536"/>
      <c r="L29" s="536"/>
      <c r="M29" s="536"/>
      <c r="N29" s="536"/>
      <c r="O29" s="536"/>
      <c r="P29" s="536"/>
      <c r="Q29" s="536"/>
      <c r="R29" s="536"/>
      <c r="S29" s="536"/>
      <c r="T29" s="536"/>
      <c r="U29" s="536"/>
      <c r="V29" s="536"/>
      <c r="W29" s="536"/>
      <c r="X29" s="536"/>
      <c r="Y29" s="536"/>
      <c r="Z29" s="536"/>
    </row>
    <row r="30" spans="4:26">
      <c r="D30" s="842" t="s">
        <v>760</v>
      </c>
      <c r="E30" s="842"/>
      <c r="F30" s="549">
        <v>555</v>
      </c>
      <c r="G30" s="549">
        <v>594</v>
      </c>
      <c r="I30" s="536"/>
      <c r="J30" s="536"/>
      <c r="K30" s="536"/>
      <c r="L30" s="536"/>
      <c r="M30" s="536"/>
      <c r="N30" s="536"/>
      <c r="O30" s="536"/>
      <c r="P30" s="536"/>
      <c r="Q30" s="536"/>
      <c r="R30" s="536"/>
      <c r="S30" s="536"/>
      <c r="T30" s="536"/>
      <c r="U30" s="536"/>
      <c r="V30" s="536"/>
      <c r="W30" s="536"/>
      <c r="X30" s="536"/>
      <c r="Y30" s="536"/>
      <c r="Z30" s="536"/>
    </row>
    <row r="31" spans="4:26">
      <c r="D31" s="842" t="s">
        <v>754</v>
      </c>
      <c r="E31" s="842"/>
      <c r="F31" s="549">
        <v>26.34</v>
      </c>
      <c r="G31" s="549">
        <v>26.63</v>
      </c>
      <c r="I31" s="536"/>
      <c r="J31" s="536"/>
      <c r="K31" s="536"/>
      <c r="L31" s="536"/>
      <c r="M31" s="536"/>
      <c r="N31" s="536"/>
      <c r="O31" s="536"/>
      <c r="P31" s="536"/>
      <c r="Q31" s="536"/>
      <c r="R31" s="536"/>
      <c r="S31" s="536"/>
      <c r="T31" s="536"/>
      <c r="U31" s="536"/>
      <c r="V31" s="536"/>
      <c r="W31" s="536"/>
      <c r="X31" s="536"/>
      <c r="Y31" s="536"/>
      <c r="Z31" s="536"/>
    </row>
    <row r="32" spans="4:26">
      <c r="D32" s="842" t="s">
        <v>755</v>
      </c>
      <c r="E32" s="842"/>
      <c r="F32" s="549">
        <v>50.89</v>
      </c>
      <c r="G32" s="549">
        <v>51.3</v>
      </c>
      <c r="I32" s="536"/>
      <c r="J32" s="536"/>
      <c r="K32" s="536"/>
      <c r="L32" s="536"/>
      <c r="M32" s="536"/>
      <c r="N32" s="536"/>
      <c r="O32" s="536"/>
      <c r="P32" s="536"/>
      <c r="Q32" s="536"/>
      <c r="R32" s="536"/>
      <c r="S32" s="536"/>
      <c r="T32" s="536"/>
      <c r="U32" s="536"/>
      <c r="V32" s="536"/>
      <c r="W32" s="536"/>
      <c r="X32" s="536"/>
      <c r="Y32" s="536"/>
      <c r="Z32" s="536"/>
    </row>
    <row r="33" spans="4:27">
      <c r="D33" s="842" t="s">
        <v>756</v>
      </c>
      <c r="E33" s="842"/>
      <c r="F33" s="556">
        <f>60-F32</f>
        <v>9.11</v>
      </c>
      <c r="G33" s="556">
        <f>60-G32</f>
        <v>8.7000000000000028</v>
      </c>
      <c r="I33" s="536"/>
      <c r="J33" s="536"/>
      <c r="K33" s="536"/>
      <c r="L33" s="536"/>
      <c r="M33" s="536"/>
      <c r="N33" s="536"/>
      <c r="O33" s="536"/>
      <c r="P33" s="536"/>
      <c r="Q33" s="536"/>
      <c r="R33" s="536"/>
      <c r="S33" s="536"/>
      <c r="T33" s="536"/>
      <c r="U33" s="536"/>
      <c r="V33" s="536"/>
      <c r="W33" s="536"/>
      <c r="X33" s="536"/>
      <c r="Y33" s="536"/>
      <c r="Z33" s="536"/>
    </row>
    <row r="34" spans="4:27">
      <c r="D34" s="842" t="s">
        <v>761</v>
      </c>
      <c r="E34" s="842"/>
      <c r="F34" s="556"/>
      <c r="G34" s="549"/>
      <c r="I34" s="536"/>
      <c r="J34" s="536"/>
      <c r="K34" s="536"/>
      <c r="L34" s="536"/>
      <c r="M34" s="536"/>
      <c r="N34" s="536"/>
      <c r="O34" s="536"/>
      <c r="P34" s="536"/>
      <c r="Q34" s="536"/>
      <c r="R34" s="536"/>
      <c r="S34" s="536"/>
      <c r="T34" s="536"/>
      <c r="U34" s="536"/>
      <c r="V34" s="536"/>
      <c r="W34" s="536"/>
      <c r="X34" s="536"/>
      <c r="Y34" s="536"/>
      <c r="Z34" s="536"/>
    </row>
    <row r="35" spans="4:27" s="534" customFormat="1">
      <c r="D35" s="853" t="s">
        <v>762</v>
      </c>
      <c r="E35" s="853"/>
      <c r="F35" s="559"/>
      <c r="G35" s="559"/>
      <c r="I35" s="560"/>
      <c r="J35" s="560"/>
      <c r="K35" s="560"/>
      <c r="L35" s="560"/>
      <c r="M35" s="560"/>
      <c r="N35" s="560"/>
      <c r="O35" s="560"/>
      <c r="P35" s="560"/>
      <c r="Q35" s="560"/>
      <c r="R35" s="560"/>
      <c r="S35" s="560"/>
      <c r="T35" s="560"/>
      <c r="U35" s="560"/>
      <c r="V35" s="560"/>
      <c r="W35" s="560"/>
      <c r="X35" s="560"/>
      <c r="Y35" s="560"/>
      <c r="Z35" s="560"/>
    </row>
    <row r="36" spans="4:27">
      <c r="D36" s="842" t="s">
        <v>763</v>
      </c>
      <c r="E36" s="842"/>
      <c r="F36" s="549">
        <v>1107</v>
      </c>
      <c r="G36" s="549">
        <v>1101</v>
      </c>
      <c r="I36" s="536"/>
      <c r="J36" s="536"/>
      <c r="K36" s="536"/>
      <c r="L36" s="536"/>
      <c r="M36" s="536"/>
      <c r="N36" s="536"/>
      <c r="O36" s="536"/>
      <c r="P36" s="536"/>
      <c r="Q36" s="536"/>
      <c r="R36" s="536"/>
      <c r="S36" s="536"/>
      <c r="T36" s="536"/>
      <c r="U36" s="536"/>
      <c r="V36" s="536"/>
      <c r="W36" s="536"/>
      <c r="X36" s="536"/>
      <c r="Y36" s="536"/>
      <c r="Z36" s="536"/>
    </row>
    <row r="37" spans="4:27">
      <c r="D37" s="842" t="s">
        <v>755</v>
      </c>
      <c r="E37" s="842"/>
      <c r="F37" s="549">
        <v>68.37</v>
      </c>
      <c r="G37" s="549">
        <v>68.11</v>
      </c>
      <c r="I37" s="536"/>
      <c r="J37" s="536"/>
      <c r="K37" s="536"/>
      <c r="L37" s="536"/>
      <c r="M37" s="536"/>
      <c r="N37" s="536"/>
      <c r="O37" s="536"/>
      <c r="P37" s="536"/>
      <c r="Q37" s="536"/>
      <c r="R37" s="536"/>
      <c r="S37" s="536"/>
      <c r="T37" s="536"/>
      <c r="U37" s="536"/>
      <c r="V37" s="536"/>
      <c r="W37" s="536"/>
      <c r="X37" s="536"/>
      <c r="Y37" s="536"/>
      <c r="Z37" s="536"/>
    </row>
    <row r="38" spans="4:27" s="534" customFormat="1">
      <c r="D38" s="853" t="s">
        <v>764</v>
      </c>
      <c r="E38" s="853"/>
      <c r="F38" s="559"/>
      <c r="G38" s="559"/>
      <c r="I38" s="560"/>
      <c r="J38" s="560"/>
      <c r="K38" s="560"/>
      <c r="L38" s="560"/>
      <c r="M38" s="560"/>
      <c r="N38" s="560"/>
      <c r="O38" s="560"/>
      <c r="P38" s="560"/>
      <c r="Q38" s="560"/>
      <c r="R38" s="560"/>
      <c r="S38" s="560"/>
      <c r="T38" s="560"/>
      <c r="U38" s="560"/>
      <c r="V38" s="560"/>
      <c r="W38" s="560"/>
      <c r="X38" s="560"/>
      <c r="Y38" s="560"/>
      <c r="Z38" s="560"/>
    </row>
    <row r="39" spans="4:27">
      <c r="D39" s="842" t="s">
        <v>765</v>
      </c>
      <c r="E39" s="842"/>
      <c r="F39" s="549">
        <v>419</v>
      </c>
      <c r="G39" s="549">
        <v>382</v>
      </c>
      <c r="I39" s="536"/>
      <c r="J39" s="536"/>
      <c r="K39" s="536"/>
      <c r="L39" s="536"/>
      <c r="M39" s="536"/>
      <c r="N39" s="536"/>
      <c r="O39" s="536"/>
      <c r="P39" s="536"/>
      <c r="Q39" s="536"/>
      <c r="R39" s="536"/>
      <c r="S39" s="536"/>
      <c r="T39" s="536"/>
      <c r="U39" s="536"/>
      <c r="V39" s="536"/>
      <c r="W39" s="536"/>
      <c r="X39" s="536"/>
      <c r="Y39" s="536"/>
      <c r="Z39" s="536"/>
    </row>
    <row r="40" spans="4:27">
      <c r="D40" s="842" t="s">
        <v>755</v>
      </c>
      <c r="E40" s="842"/>
      <c r="F40" s="544">
        <v>66.11</v>
      </c>
      <c r="G40" s="544">
        <v>65.849999999999994</v>
      </c>
      <c r="I40" s="536"/>
      <c r="J40" s="536"/>
      <c r="K40" s="536"/>
      <c r="L40" s="536"/>
      <c r="M40" s="536"/>
      <c r="N40" s="536"/>
      <c r="O40" s="536"/>
      <c r="P40" s="536"/>
      <c r="Q40" s="536"/>
      <c r="R40" s="536"/>
      <c r="S40" s="536"/>
      <c r="T40" s="536"/>
      <c r="U40" s="536"/>
      <c r="V40" s="536"/>
      <c r="W40" s="536"/>
      <c r="X40" s="536"/>
      <c r="Y40" s="536"/>
      <c r="Z40" s="536"/>
    </row>
    <row r="41" spans="4:27">
      <c r="D41" s="536"/>
      <c r="E41" s="536"/>
      <c r="F41" s="536"/>
      <c r="G41" s="536"/>
      <c r="H41" s="536"/>
      <c r="I41" s="536"/>
      <c r="J41" s="536"/>
      <c r="K41" s="536"/>
      <c r="L41" s="536"/>
      <c r="M41" s="536"/>
      <c r="N41" s="536"/>
      <c r="O41" s="536"/>
      <c r="P41" s="536"/>
      <c r="Q41" s="536"/>
      <c r="R41" s="536"/>
      <c r="S41" s="536"/>
      <c r="T41" s="536"/>
      <c r="U41" s="536"/>
      <c r="V41" s="536"/>
      <c r="W41" s="536"/>
      <c r="X41" s="536"/>
      <c r="Y41" s="536"/>
      <c r="Z41" s="536"/>
    </row>
    <row r="42" spans="4:27">
      <c r="D42" s="534" t="s">
        <v>766</v>
      </c>
      <c r="H42" s="535"/>
      <c r="I42" s="535"/>
      <c r="J42" s="535"/>
      <c r="K42" s="535"/>
      <c r="L42" s="535"/>
      <c r="M42" s="535"/>
      <c r="N42" s="535"/>
      <c r="O42" s="535"/>
      <c r="P42" s="535"/>
      <c r="Q42" s="535"/>
      <c r="R42" s="535"/>
      <c r="S42" s="535"/>
      <c r="T42" s="535"/>
      <c r="U42" s="535"/>
      <c r="V42" s="535"/>
      <c r="W42" s="535"/>
      <c r="X42" s="535"/>
      <c r="Y42" s="535"/>
      <c r="Z42" s="535"/>
      <c r="AA42" s="535"/>
    </row>
    <row r="43" spans="4:27">
      <c r="D43" s="561" t="s">
        <v>3</v>
      </c>
      <c r="E43" s="540" t="s">
        <v>749</v>
      </c>
      <c r="F43" s="540" t="s">
        <v>750</v>
      </c>
      <c r="G43" s="562"/>
      <c r="H43" s="563"/>
      <c r="I43" s="563"/>
      <c r="J43" s="536"/>
      <c r="K43" s="536"/>
      <c r="L43" s="536"/>
      <c r="M43" s="536"/>
      <c r="N43" s="536"/>
      <c r="O43" s="536"/>
      <c r="P43" s="536"/>
      <c r="Q43" s="536"/>
      <c r="R43" s="536"/>
      <c r="S43" s="536"/>
      <c r="T43" s="536"/>
      <c r="U43" s="536"/>
      <c r="V43" s="536"/>
      <c r="W43" s="536"/>
      <c r="X43" s="563"/>
      <c r="Y43" s="563"/>
      <c r="Z43" s="563"/>
      <c r="AA43" s="563"/>
    </row>
    <row r="44" spans="4:27" ht="47.25">
      <c r="D44" s="564" t="s">
        <v>767</v>
      </c>
      <c r="E44" s="565" t="s">
        <v>768</v>
      </c>
      <c r="F44" s="565" t="s">
        <v>768</v>
      </c>
      <c r="G44" s="566"/>
      <c r="I44" s="536"/>
      <c r="J44" s="536"/>
      <c r="K44" s="536"/>
      <c r="L44" s="536"/>
      <c r="M44" s="536"/>
      <c r="N44" s="536"/>
      <c r="O44" s="536"/>
      <c r="P44" s="536"/>
      <c r="Q44" s="536"/>
      <c r="R44" s="536"/>
      <c r="S44" s="536"/>
      <c r="T44" s="536"/>
      <c r="U44" s="536"/>
      <c r="V44" s="536"/>
      <c r="W44" s="536"/>
      <c r="X44" s="536"/>
      <c r="Y44" s="536"/>
      <c r="Z44" s="536"/>
    </row>
    <row r="45" spans="4:27">
      <c r="D45" s="567" t="s">
        <v>769</v>
      </c>
      <c r="E45" s="568">
        <v>7.7700000000000005E-2</v>
      </c>
      <c r="F45" s="568">
        <v>7.7299999999999994E-2</v>
      </c>
      <c r="G45" s="569"/>
      <c r="I45" s="536"/>
      <c r="J45" s="536"/>
      <c r="K45" s="536"/>
      <c r="L45" s="536"/>
      <c r="M45" s="536"/>
      <c r="N45" s="536"/>
      <c r="O45" s="536"/>
      <c r="P45" s="536"/>
      <c r="Q45" s="536"/>
      <c r="R45" s="536"/>
      <c r="S45" s="536"/>
      <c r="T45" s="536"/>
      <c r="U45" s="536"/>
      <c r="V45" s="536"/>
      <c r="W45" s="536"/>
      <c r="X45" s="536"/>
      <c r="Y45" s="536"/>
      <c r="Z45" s="536"/>
    </row>
    <row r="46" spans="4:27" ht="47.25">
      <c r="D46" s="567" t="s">
        <v>770</v>
      </c>
      <c r="E46" s="570" t="s">
        <v>771</v>
      </c>
      <c r="F46" s="570" t="s">
        <v>771</v>
      </c>
      <c r="G46" s="571"/>
      <c r="I46" s="536"/>
      <c r="J46" s="536"/>
      <c r="K46" s="536"/>
      <c r="L46" s="536"/>
      <c r="M46" s="536"/>
      <c r="N46" s="536"/>
      <c r="O46" s="536"/>
      <c r="P46" s="536"/>
      <c r="Q46" s="536"/>
      <c r="R46" s="536"/>
      <c r="S46" s="536"/>
      <c r="T46" s="536"/>
      <c r="U46" s="536"/>
      <c r="V46" s="536"/>
      <c r="W46" s="536"/>
      <c r="X46" s="536"/>
      <c r="Y46" s="536"/>
      <c r="Z46" s="536"/>
    </row>
    <row r="47" spans="4:27" ht="63">
      <c r="D47" s="546" t="s">
        <v>772</v>
      </c>
      <c r="E47" s="572" t="s">
        <v>773</v>
      </c>
      <c r="F47" s="572" t="s">
        <v>773</v>
      </c>
      <c r="G47" s="536"/>
      <c r="I47" s="536"/>
      <c r="J47" s="536"/>
      <c r="K47" s="536"/>
      <c r="L47" s="536"/>
      <c r="M47" s="536"/>
      <c r="N47" s="536"/>
      <c r="O47" s="536"/>
      <c r="P47" s="536"/>
      <c r="Q47" s="536"/>
      <c r="R47" s="536"/>
      <c r="S47" s="536"/>
      <c r="T47" s="536"/>
      <c r="U47" s="536"/>
      <c r="V47" s="536"/>
      <c r="W47" s="536"/>
      <c r="X47" s="536"/>
      <c r="Y47" s="536"/>
      <c r="Z47" s="536"/>
    </row>
    <row r="48" spans="4:27">
      <c r="D48" s="536"/>
      <c r="E48" s="536"/>
      <c r="F48" s="536"/>
      <c r="G48" s="536"/>
      <c r="H48" s="536"/>
      <c r="I48" s="536"/>
      <c r="J48" s="536"/>
      <c r="K48" s="536"/>
      <c r="L48" s="536"/>
      <c r="M48" s="536"/>
      <c r="N48" s="536"/>
      <c r="O48" s="536"/>
      <c r="P48" s="536"/>
      <c r="Q48" s="536"/>
      <c r="R48" s="536"/>
      <c r="S48" s="536"/>
      <c r="T48" s="536"/>
      <c r="U48" s="536"/>
      <c r="V48" s="536"/>
      <c r="W48" s="536"/>
      <c r="X48" s="536"/>
      <c r="Y48" s="536"/>
      <c r="Z48" s="536"/>
    </row>
    <row r="65" spans="3:7">
      <c r="C65" s="573"/>
      <c r="D65" s="573"/>
      <c r="E65" s="573"/>
      <c r="F65" s="573"/>
      <c r="G65" s="573"/>
    </row>
  </sheetData>
  <mergeCells count="32">
    <mergeCell ref="D30:E30"/>
    <mergeCell ref="D31:E31"/>
    <mergeCell ref="D39:E39"/>
    <mergeCell ref="D32:E32"/>
    <mergeCell ref="D40:E40"/>
    <mergeCell ref="D33:E33"/>
    <mergeCell ref="D34:E34"/>
    <mergeCell ref="D35:E35"/>
    <mergeCell ref="D36:E36"/>
    <mergeCell ref="D37:E37"/>
    <mergeCell ref="D38:E38"/>
    <mergeCell ref="D22:E22"/>
    <mergeCell ref="D23:E23"/>
    <mergeCell ref="D24:E24"/>
    <mergeCell ref="F27:G27"/>
    <mergeCell ref="D29:E29"/>
    <mergeCell ref="D26:E26"/>
    <mergeCell ref="D27:E28"/>
    <mergeCell ref="D20:E20"/>
    <mergeCell ref="D21:E21"/>
    <mergeCell ref="D19:E19"/>
    <mergeCell ref="C2:I2"/>
    <mergeCell ref="C3:I3"/>
    <mergeCell ref="D6:I6"/>
    <mergeCell ref="D9:I9"/>
    <mergeCell ref="D11:I11"/>
    <mergeCell ref="D13:I13"/>
    <mergeCell ref="D15:E15"/>
    <mergeCell ref="D16:E17"/>
    <mergeCell ref="F16:G16"/>
    <mergeCell ref="H16:I16"/>
    <mergeCell ref="D18:E18"/>
  </mergeCell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2:Y45"/>
  <sheetViews>
    <sheetView showGridLines="0" view="pageBreakPreview" topLeftCell="B16" zoomScaleSheetLayoutView="100" workbookViewId="0">
      <selection activeCell="G44" sqref="G44"/>
    </sheetView>
  </sheetViews>
  <sheetFormatPr defaultRowHeight="15.75"/>
  <cols>
    <col min="1" max="1" width="4.5703125" style="533" hidden="1" customWidth="1"/>
    <col min="2" max="2" width="4.5703125" style="533" customWidth="1"/>
    <col min="3" max="3" width="5.7109375" style="533" customWidth="1"/>
    <col min="4" max="4" width="31.140625" style="533" customWidth="1"/>
    <col min="5" max="5" width="20.140625" style="533" customWidth="1"/>
    <col min="6" max="7" width="19.85546875" style="533" customWidth="1"/>
    <col min="8" max="8" width="20" style="533" customWidth="1"/>
    <col min="9" max="9" width="18.5703125" style="533" customWidth="1"/>
    <col min="10" max="10" width="18.85546875" style="533" hidden="1" customWidth="1"/>
    <col min="11" max="11" width="20.140625" style="533" hidden="1" customWidth="1"/>
    <col min="12" max="12" width="16.85546875" style="533" hidden="1" customWidth="1"/>
    <col min="13" max="13" width="25" style="533" hidden="1" customWidth="1"/>
    <col min="14" max="23" width="0" style="533" hidden="1" customWidth="1"/>
    <col min="24" max="24" width="17.7109375" style="533" customWidth="1"/>
    <col min="25" max="25" width="13.5703125" style="533" customWidth="1"/>
    <col min="26" max="256" width="9.140625" style="533"/>
    <col min="257" max="257" width="6.7109375" style="533" customWidth="1"/>
    <col min="258" max="258" width="95.7109375" style="533" customWidth="1"/>
    <col min="259" max="259" width="16.28515625" style="533" customWidth="1"/>
    <col min="260" max="260" width="12.140625" style="533" customWidth="1"/>
    <col min="261" max="261" width="15.7109375" style="533" customWidth="1"/>
    <col min="262" max="262" width="16.28515625" style="533" customWidth="1"/>
    <col min="263" max="263" width="16" style="533" customWidth="1"/>
    <col min="264" max="264" width="14.85546875" style="533" customWidth="1"/>
    <col min="265" max="265" width="12.7109375" style="533" bestFit="1" customWidth="1"/>
    <col min="266" max="266" width="11.85546875" style="533" customWidth="1"/>
    <col min="267" max="267" width="19.5703125" style="533" customWidth="1"/>
    <col min="268" max="512" width="9.140625" style="533"/>
    <col min="513" max="513" width="6.7109375" style="533" customWidth="1"/>
    <col min="514" max="514" width="95.7109375" style="533" customWidth="1"/>
    <col min="515" max="515" width="16.28515625" style="533" customWidth="1"/>
    <col min="516" max="516" width="12.140625" style="533" customWidth="1"/>
    <col min="517" max="517" width="15.7109375" style="533" customWidth="1"/>
    <col min="518" max="518" width="16.28515625" style="533" customWidth="1"/>
    <col min="519" max="519" width="16" style="533" customWidth="1"/>
    <col min="520" max="520" width="14.85546875" style="533" customWidth="1"/>
    <col min="521" max="521" width="12.7109375" style="533" bestFit="1" customWidth="1"/>
    <col min="522" max="522" width="11.85546875" style="533" customWidth="1"/>
    <col min="523" max="523" width="19.5703125" style="533" customWidth="1"/>
    <col min="524" max="768" width="9.140625" style="533"/>
    <col min="769" max="769" width="6.7109375" style="533" customWidth="1"/>
    <col min="770" max="770" width="95.7109375" style="533" customWidth="1"/>
    <col min="771" max="771" width="16.28515625" style="533" customWidth="1"/>
    <col min="772" max="772" width="12.140625" style="533" customWidth="1"/>
    <col min="773" max="773" width="15.7109375" style="533" customWidth="1"/>
    <col min="774" max="774" width="16.28515625" style="533" customWidth="1"/>
    <col min="775" max="775" width="16" style="533" customWidth="1"/>
    <col min="776" max="776" width="14.85546875" style="533" customWidth="1"/>
    <col min="777" max="777" width="12.7109375" style="533" bestFit="1" customWidth="1"/>
    <col min="778" max="778" width="11.85546875" style="533" customWidth="1"/>
    <col min="779" max="779" width="19.5703125" style="533" customWidth="1"/>
    <col min="780" max="1024" width="9.140625" style="533"/>
    <col min="1025" max="1025" width="6.7109375" style="533" customWidth="1"/>
    <col min="1026" max="1026" width="95.7109375" style="533" customWidth="1"/>
    <col min="1027" max="1027" width="16.28515625" style="533" customWidth="1"/>
    <col min="1028" max="1028" width="12.140625" style="533" customWidth="1"/>
    <col min="1029" max="1029" width="15.7109375" style="533" customWidth="1"/>
    <col min="1030" max="1030" width="16.28515625" style="533" customWidth="1"/>
    <col min="1031" max="1031" width="16" style="533" customWidth="1"/>
    <col min="1032" max="1032" width="14.85546875" style="533" customWidth="1"/>
    <col min="1033" max="1033" width="12.7109375" style="533" bestFit="1" customWidth="1"/>
    <col min="1034" max="1034" width="11.85546875" style="533" customWidth="1"/>
    <col min="1035" max="1035" width="19.5703125" style="533" customWidth="1"/>
    <col min="1036" max="1280" width="9.140625" style="533"/>
    <col min="1281" max="1281" width="6.7109375" style="533" customWidth="1"/>
    <col min="1282" max="1282" width="95.7109375" style="533" customWidth="1"/>
    <col min="1283" max="1283" width="16.28515625" style="533" customWidth="1"/>
    <col min="1284" max="1284" width="12.140625" style="533" customWidth="1"/>
    <col min="1285" max="1285" width="15.7109375" style="533" customWidth="1"/>
    <col min="1286" max="1286" width="16.28515625" style="533" customWidth="1"/>
    <col min="1287" max="1287" width="16" style="533" customWidth="1"/>
    <col min="1288" max="1288" width="14.85546875" style="533" customWidth="1"/>
    <col min="1289" max="1289" width="12.7109375" style="533" bestFit="1" customWidth="1"/>
    <col min="1290" max="1290" width="11.85546875" style="533" customWidth="1"/>
    <col min="1291" max="1291" width="19.5703125" style="533" customWidth="1"/>
    <col min="1292" max="1536" width="9.140625" style="533"/>
    <col min="1537" max="1537" width="6.7109375" style="533" customWidth="1"/>
    <col min="1538" max="1538" width="95.7109375" style="533" customWidth="1"/>
    <col min="1539" max="1539" width="16.28515625" style="533" customWidth="1"/>
    <col min="1540" max="1540" width="12.140625" style="533" customWidth="1"/>
    <col min="1541" max="1541" width="15.7109375" style="533" customWidth="1"/>
    <col min="1542" max="1542" width="16.28515625" style="533" customWidth="1"/>
    <col min="1543" max="1543" width="16" style="533" customWidth="1"/>
    <col min="1544" max="1544" width="14.85546875" style="533" customWidth="1"/>
    <col min="1545" max="1545" width="12.7109375" style="533" bestFit="1" customWidth="1"/>
    <col min="1546" max="1546" width="11.85546875" style="533" customWidth="1"/>
    <col min="1547" max="1547" width="19.5703125" style="533" customWidth="1"/>
    <col min="1548" max="1792" width="9.140625" style="533"/>
    <col min="1793" max="1793" width="6.7109375" style="533" customWidth="1"/>
    <col min="1794" max="1794" width="95.7109375" style="533" customWidth="1"/>
    <col min="1795" max="1795" width="16.28515625" style="533" customWidth="1"/>
    <col min="1796" max="1796" width="12.140625" style="533" customWidth="1"/>
    <col min="1797" max="1797" width="15.7109375" style="533" customWidth="1"/>
    <col min="1798" max="1798" width="16.28515625" style="533" customWidth="1"/>
    <col min="1799" max="1799" width="16" style="533" customWidth="1"/>
    <col min="1800" max="1800" width="14.85546875" style="533" customWidth="1"/>
    <col min="1801" max="1801" width="12.7109375" style="533" bestFit="1" customWidth="1"/>
    <col min="1802" max="1802" width="11.85546875" style="533" customWidth="1"/>
    <col min="1803" max="1803" width="19.5703125" style="533" customWidth="1"/>
    <col min="1804" max="2048" width="9.140625" style="533"/>
    <col min="2049" max="2049" width="6.7109375" style="533" customWidth="1"/>
    <col min="2050" max="2050" width="95.7109375" style="533" customWidth="1"/>
    <col min="2051" max="2051" width="16.28515625" style="533" customWidth="1"/>
    <col min="2052" max="2052" width="12.140625" style="533" customWidth="1"/>
    <col min="2053" max="2053" width="15.7109375" style="533" customWidth="1"/>
    <col min="2054" max="2054" width="16.28515625" style="533" customWidth="1"/>
    <col min="2055" max="2055" width="16" style="533" customWidth="1"/>
    <col min="2056" max="2056" width="14.85546875" style="533" customWidth="1"/>
    <col min="2057" max="2057" width="12.7109375" style="533" bestFit="1" customWidth="1"/>
    <col min="2058" max="2058" width="11.85546875" style="533" customWidth="1"/>
    <col min="2059" max="2059" width="19.5703125" style="533" customWidth="1"/>
    <col min="2060" max="2304" width="9.140625" style="533"/>
    <col min="2305" max="2305" width="6.7109375" style="533" customWidth="1"/>
    <col min="2306" max="2306" width="95.7109375" style="533" customWidth="1"/>
    <col min="2307" max="2307" width="16.28515625" style="533" customWidth="1"/>
    <col min="2308" max="2308" width="12.140625" style="533" customWidth="1"/>
    <col min="2309" max="2309" width="15.7109375" style="533" customWidth="1"/>
    <col min="2310" max="2310" width="16.28515625" style="533" customWidth="1"/>
    <col min="2311" max="2311" width="16" style="533" customWidth="1"/>
    <col min="2312" max="2312" width="14.85546875" style="533" customWidth="1"/>
    <col min="2313" max="2313" width="12.7109375" style="533" bestFit="1" customWidth="1"/>
    <col min="2314" max="2314" width="11.85546875" style="533" customWidth="1"/>
    <col min="2315" max="2315" width="19.5703125" style="533" customWidth="1"/>
    <col min="2316" max="2560" width="9.140625" style="533"/>
    <col min="2561" max="2561" width="6.7109375" style="533" customWidth="1"/>
    <col min="2562" max="2562" width="95.7109375" style="533" customWidth="1"/>
    <col min="2563" max="2563" width="16.28515625" style="533" customWidth="1"/>
    <col min="2564" max="2564" width="12.140625" style="533" customWidth="1"/>
    <col min="2565" max="2565" width="15.7109375" style="533" customWidth="1"/>
    <col min="2566" max="2566" width="16.28515625" style="533" customWidth="1"/>
    <col min="2567" max="2567" width="16" style="533" customWidth="1"/>
    <col min="2568" max="2568" width="14.85546875" style="533" customWidth="1"/>
    <col min="2569" max="2569" width="12.7109375" style="533" bestFit="1" customWidth="1"/>
    <col min="2570" max="2570" width="11.85546875" style="533" customWidth="1"/>
    <col min="2571" max="2571" width="19.5703125" style="533" customWidth="1"/>
    <col min="2572" max="2816" width="9.140625" style="533"/>
    <col min="2817" max="2817" width="6.7109375" style="533" customWidth="1"/>
    <col min="2818" max="2818" width="95.7109375" style="533" customWidth="1"/>
    <col min="2819" max="2819" width="16.28515625" style="533" customWidth="1"/>
    <col min="2820" max="2820" width="12.140625" style="533" customWidth="1"/>
    <col min="2821" max="2821" width="15.7109375" style="533" customWidth="1"/>
    <col min="2822" max="2822" width="16.28515625" style="533" customWidth="1"/>
    <col min="2823" max="2823" width="16" style="533" customWidth="1"/>
    <col min="2824" max="2824" width="14.85546875" style="533" customWidth="1"/>
    <col min="2825" max="2825" width="12.7109375" style="533" bestFit="1" customWidth="1"/>
    <col min="2826" max="2826" width="11.85546875" style="533" customWidth="1"/>
    <col min="2827" max="2827" width="19.5703125" style="533" customWidth="1"/>
    <col min="2828" max="3072" width="9.140625" style="533"/>
    <col min="3073" max="3073" width="6.7109375" style="533" customWidth="1"/>
    <col min="3074" max="3074" width="95.7109375" style="533" customWidth="1"/>
    <col min="3075" max="3075" width="16.28515625" style="533" customWidth="1"/>
    <col min="3076" max="3076" width="12.140625" style="533" customWidth="1"/>
    <col min="3077" max="3077" width="15.7109375" style="533" customWidth="1"/>
    <col min="3078" max="3078" width="16.28515625" style="533" customWidth="1"/>
    <col min="3079" max="3079" width="16" style="533" customWidth="1"/>
    <col min="3080" max="3080" width="14.85546875" style="533" customWidth="1"/>
    <col min="3081" max="3081" width="12.7109375" style="533" bestFit="1" customWidth="1"/>
    <col min="3082" max="3082" width="11.85546875" style="533" customWidth="1"/>
    <col min="3083" max="3083" width="19.5703125" style="533" customWidth="1"/>
    <col min="3084" max="3328" width="9.140625" style="533"/>
    <col min="3329" max="3329" width="6.7109375" style="533" customWidth="1"/>
    <col min="3330" max="3330" width="95.7109375" style="533" customWidth="1"/>
    <col min="3331" max="3331" width="16.28515625" style="533" customWidth="1"/>
    <col min="3332" max="3332" width="12.140625" style="533" customWidth="1"/>
    <col min="3333" max="3333" width="15.7109375" style="533" customWidth="1"/>
    <col min="3334" max="3334" width="16.28515625" style="533" customWidth="1"/>
    <col min="3335" max="3335" width="16" style="533" customWidth="1"/>
    <col min="3336" max="3336" width="14.85546875" style="533" customWidth="1"/>
    <col min="3337" max="3337" width="12.7109375" style="533" bestFit="1" customWidth="1"/>
    <col min="3338" max="3338" width="11.85546875" style="533" customWidth="1"/>
    <col min="3339" max="3339" width="19.5703125" style="533" customWidth="1"/>
    <col min="3340" max="3584" width="9.140625" style="533"/>
    <col min="3585" max="3585" width="6.7109375" style="533" customWidth="1"/>
    <col min="3586" max="3586" width="95.7109375" style="533" customWidth="1"/>
    <col min="3587" max="3587" width="16.28515625" style="533" customWidth="1"/>
    <col min="3588" max="3588" width="12.140625" style="533" customWidth="1"/>
    <col min="3589" max="3589" width="15.7109375" style="533" customWidth="1"/>
    <col min="3590" max="3590" width="16.28515625" style="533" customWidth="1"/>
    <col min="3591" max="3591" width="16" style="533" customWidth="1"/>
    <col min="3592" max="3592" width="14.85546875" style="533" customWidth="1"/>
    <col min="3593" max="3593" width="12.7109375" style="533" bestFit="1" customWidth="1"/>
    <col min="3594" max="3594" width="11.85546875" style="533" customWidth="1"/>
    <col min="3595" max="3595" width="19.5703125" style="533" customWidth="1"/>
    <col min="3596" max="3840" width="9.140625" style="533"/>
    <col min="3841" max="3841" width="6.7109375" style="533" customWidth="1"/>
    <col min="3842" max="3842" width="95.7109375" style="533" customWidth="1"/>
    <col min="3843" max="3843" width="16.28515625" style="533" customWidth="1"/>
    <col min="3844" max="3844" width="12.140625" style="533" customWidth="1"/>
    <col min="3845" max="3845" width="15.7109375" style="533" customWidth="1"/>
    <col min="3846" max="3846" width="16.28515625" style="533" customWidth="1"/>
    <col min="3847" max="3847" width="16" style="533" customWidth="1"/>
    <col min="3848" max="3848" width="14.85546875" style="533" customWidth="1"/>
    <col min="3849" max="3849" width="12.7109375" style="533" bestFit="1" customWidth="1"/>
    <col min="3850" max="3850" width="11.85546875" style="533" customWidth="1"/>
    <col min="3851" max="3851" width="19.5703125" style="533" customWidth="1"/>
    <col min="3852" max="4096" width="9.140625" style="533"/>
    <col min="4097" max="4097" width="6.7109375" style="533" customWidth="1"/>
    <col min="4098" max="4098" width="95.7109375" style="533" customWidth="1"/>
    <col min="4099" max="4099" width="16.28515625" style="533" customWidth="1"/>
    <col min="4100" max="4100" width="12.140625" style="533" customWidth="1"/>
    <col min="4101" max="4101" width="15.7109375" style="533" customWidth="1"/>
    <col min="4102" max="4102" width="16.28515625" style="533" customWidth="1"/>
    <col min="4103" max="4103" width="16" style="533" customWidth="1"/>
    <col min="4104" max="4104" width="14.85546875" style="533" customWidth="1"/>
    <col min="4105" max="4105" width="12.7109375" style="533" bestFit="1" customWidth="1"/>
    <col min="4106" max="4106" width="11.85546875" style="533" customWidth="1"/>
    <col min="4107" max="4107" width="19.5703125" style="533" customWidth="1"/>
    <col min="4108" max="4352" width="9.140625" style="533"/>
    <col min="4353" max="4353" width="6.7109375" style="533" customWidth="1"/>
    <col min="4354" max="4354" width="95.7109375" style="533" customWidth="1"/>
    <col min="4355" max="4355" width="16.28515625" style="533" customWidth="1"/>
    <col min="4356" max="4356" width="12.140625" style="533" customWidth="1"/>
    <col min="4357" max="4357" width="15.7109375" style="533" customWidth="1"/>
    <col min="4358" max="4358" width="16.28515625" style="533" customWidth="1"/>
    <col min="4359" max="4359" width="16" style="533" customWidth="1"/>
    <col min="4360" max="4360" width="14.85546875" style="533" customWidth="1"/>
    <col min="4361" max="4361" width="12.7109375" style="533" bestFit="1" customWidth="1"/>
    <col min="4362" max="4362" width="11.85546875" style="533" customWidth="1"/>
    <col min="4363" max="4363" width="19.5703125" style="533" customWidth="1"/>
    <col min="4364" max="4608" width="9.140625" style="533"/>
    <col min="4609" max="4609" width="6.7109375" style="533" customWidth="1"/>
    <col min="4610" max="4610" width="95.7109375" style="533" customWidth="1"/>
    <col min="4611" max="4611" width="16.28515625" style="533" customWidth="1"/>
    <col min="4612" max="4612" width="12.140625" style="533" customWidth="1"/>
    <col min="4613" max="4613" width="15.7109375" style="533" customWidth="1"/>
    <col min="4614" max="4614" width="16.28515625" style="533" customWidth="1"/>
    <col min="4615" max="4615" width="16" style="533" customWidth="1"/>
    <col min="4616" max="4616" width="14.85546875" style="533" customWidth="1"/>
    <col min="4617" max="4617" width="12.7109375" style="533" bestFit="1" customWidth="1"/>
    <col min="4618" max="4618" width="11.85546875" style="533" customWidth="1"/>
    <col min="4619" max="4619" width="19.5703125" style="533" customWidth="1"/>
    <col min="4620" max="4864" width="9.140625" style="533"/>
    <col min="4865" max="4865" width="6.7109375" style="533" customWidth="1"/>
    <col min="4866" max="4866" width="95.7109375" style="533" customWidth="1"/>
    <col min="4867" max="4867" width="16.28515625" style="533" customWidth="1"/>
    <col min="4868" max="4868" width="12.140625" style="533" customWidth="1"/>
    <col min="4869" max="4869" width="15.7109375" style="533" customWidth="1"/>
    <col min="4870" max="4870" width="16.28515625" style="533" customWidth="1"/>
    <col min="4871" max="4871" width="16" style="533" customWidth="1"/>
    <col min="4872" max="4872" width="14.85546875" style="533" customWidth="1"/>
    <col min="4873" max="4873" width="12.7109375" style="533" bestFit="1" customWidth="1"/>
    <col min="4874" max="4874" width="11.85546875" style="533" customWidth="1"/>
    <col min="4875" max="4875" width="19.5703125" style="533" customWidth="1"/>
    <col min="4876" max="5120" width="9.140625" style="533"/>
    <col min="5121" max="5121" width="6.7109375" style="533" customWidth="1"/>
    <col min="5122" max="5122" width="95.7109375" style="533" customWidth="1"/>
    <col min="5123" max="5123" width="16.28515625" style="533" customWidth="1"/>
    <col min="5124" max="5124" width="12.140625" style="533" customWidth="1"/>
    <col min="5125" max="5125" width="15.7109375" style="533" customWidth="1"/>
    <col min="5126" max="5126" width="16.28515625" style="533" customWidth="1"/>
    <col min="5127" max="5127" width="16" style="533" customWidth="1"/>
    <col min="5128" max="5128" width="14.85546875" style="533" customWidth="1"/>
    <col min="5129" max="5129" width="12.7109375" style="533" bestFit="1" customWidth="1"/>
    <col min="5130" max="5130" width="11.85546875" style="533" customWidth="1"/>
    <col min="5131" max="5131" width="19.5703125" style="533" customWidth="1"/>
    <col min="5132" max="5376" width="9.140625" style="533"/>
    <col min="5377" max="5377" width="6.7109375" style="533" customWidth="1"/>
    <col min="5378" max="5378" width="95.7109375" style="533" customWidth="1"/>
    <col min="5379" max="5379" width="16.28515625" style="533" customWidth="1"/>
    <col min="5380" max="5380" width="12.140625" style="533" customWidth="1"/>
    <col min="5381" max="5381" width="15.7109375" style="533" customWidth="1"/>
    <col min="5382" max="5382" width="16.28515625" style="533" customWidth="1"/>
    <col min="5383" max="5383" width="16" style="533" customWidth="1"/>
    <col min="5384" max="5384" width="14.85546875" style="533" customWidth="1"/>
    <col min="5385" max="5385" width="12.7109375" style="533" bestFit="1" customWidth="1"/>
    <col min="5386" max="5386" width="11.85546875" style="533" customWidth="1"/>
    <col min="5387" max="5387" width="19.5703125" style="533" customWidth="1"/>
    <col min="5388" max="5632" width="9.140625" style="533"/>
    <col min="5633" max="5633" width="6.7109375" style="533" customWidth="1"/>
    <col min="5634" max="5634" width="95.7109375" style="533" customWidth="1"/>
    <col min="5635" max="5635" width="16.28515625" style="533" customWidth="1"/>
    <col min="5636" max="5636" width="12.140625" style="533" customWidth="1"/>
    <col min="5637" max="5637" width="15.7109375" style="533" customWidth="1"/>
    <col min="5638" max="5638" width="16.28515625" style="533" customWidth="1"/>
    <col min="5639" max="5639" width="16" style="533" customWidth="1"/>
    <col min="5640" max="5640" width="14.85546875" style="533" customWidth="1"/>
    <col min="5641" max="5641" width="12.7109375" style="533" bestFit="1" customWidth="1"/>
    <col min="5642" max="5642" width="11.85546875" style="533" customWidth="1"/>
    <col min="5643" max="5643" width="19.5703125" style="533" customWidth="1"/>
    <col min="5644" max="5888" width="9.140625" style="533"/>
    <col min="5889" max="5889" width="6.7109375" style="533" customWidth="1"/>
    <col min="5890" max="5890" width="95.7109375" style="533" customWidth="1"/>
    <col min="5891" max="5891" width="16.28515625" style="533" customWidth="1"/>
    <col min="5892" max="5892" width="12.140625" style="533" customWidth="1"/>
    <col min="5893" max="5893" width="15.7109375" style="533" customWidth="1"/>
    <col min="5894" max="5894" width="16.28515625" style="533" customWidth="1"/>
    <col min="5895" max="5895" width="16" style="533" customWidth="1"/>
    <col min="5896" max="5896" width="14.85546875" style="533" customWidth="1"/>
    <col min="5897" max="5897" width="12.7109375" style="533" bestFit="1" customWidth="1"/>
    <col min="5898" max="5898" width="11.85546875" style="533" customWidth="1"/>
    <col min="5899" max="5899" width="19.5703125" style="533" customWidth="1"/>
    <col min="5900" max="6144" width="9.140625" style="533"/>
    <col min="6145" max="6145" width="6.7109375" style="533" customWidth="1"/>
    <col min="6146" max="6146" width="95.7109375" style="533" customWidth="1"/>
    <col min="6147" max="6147" width="16.28515625" style="533" customWidth="1"/>
    <col min="6148" max="6148" width="12.140625" style="533" customWidth="1"/>
    <col min="6149" max="6149" width="15.7109375" style="533" customWidth="1"/>
    <col min="6150" max="6150" width="16.28515625" style="533" customWidth="1"/>
    <col min="6151" max="6151" width="16" style="533" customWidth="1"/>
    <col min="6152" max="6152" width="14.85546875" style="533" customWidth="1"/>
    <col min="6153" max="6153" width="12.7109375" style="533" bestFit="1" customWidth="1"/>
    <col min="6154" max="6154" width="11.85546875" style="533" customWidth="1"/>
    <col min="6155" max="6155" width="19.5703125" style="533" customWidth="1"/>
    <col min="6156" max="6400" width="9.140625" style="533"/>
    <col min="6401" max="6401" width="6.7109375" style="533" customWidth="1"/>
    <col min="6402" max="6402" width="95.7109375" style="533" customWidth="1"/>
    <col min="6403" max="6403" width="16.28515625" style="533" customWidth="1"/>
    <col min="6404" max="6404" width="12.140625" style="533" customWidth="1"/>
    <col min="6405" max="6405" width="15.7109375" style="533" customWidth="1"/>
    <col min="6406" max="6406" width="16.28515625" style="533" customWidth="1"/>
    <col min="6407" max="6407" width="16" style="533" customWidth="1"/>
    <col min="6408" max="6408" width="14.85546875" style="533" customWidth="1"/>
    <col min="6409" max="6409" width="12.7109375" style="533" bestFit="1" customWidth="1"/>
    <col min="6410" max="6410" width="11.85546875" style="533" customWidth="1"/>
    <col min="6411" max="6411" width="19.5703125" style="533" customWidth="1"/>
    <col min="6412" max="6656" width="9.140625" style="533"/>
    <col min="6657" max="6657" width="6.7109375" style="533" customWidth="1"/>
    <col min="6658" max="6658" width="95.7109375" style="533" customWidth="1"/>
    <col min="6659" max="6659" width="16.28515625" style="533" customWidth="1"/>
    <col min="6660" max="6660" width="12.140625" style="533" customWidth="1"/>
    <col min="6661" max="6661" width="15.7109375" style="533" customWidth="1"/>
    <col min="6662" max="6662" width="16.28515625" style="533" customWidth="1"/>
    <col min="6663" max="6663" width="16" style="533" customWidth="1"/>
    <col min="6664" max="6664" width="14.85546875" style="533" customWidth="1"/>
    <col min="6665" max="6665" width="12.7109375" style="533" bestFit="1" customWidth="1"/>
    <col min="6666" max="6666" width="11.85546875" style="533" customWidth="1"/>
    <col min="6667" max="6667" width="19.5703125" style="533" customWidth="1"/>
    <col min="6668" max="6912" width="9.140625" style="533"/>
    <col min="6913" max="6913" width="6.7109375" style="533" customWidth="1"/>
    <col min="6914" max="6914" width="95.7109375" style="533" customWidth="1"/>
    <col min="6915" max="6915" width="16.28515625" style="533" customWidth="1"/>
    <col min="6916" max="6916" width="12.140625" style="533" customWidth="1"/>
    <col min="6917" max="6917" width="15.7109375" style="533" customWidth="1"/>
    <col min="6918" max="6918" width="16.28515625" style="533" customWidth="1"/>
    <col min="6919" max="6919" width="16" style="533" customWidth="1"/>
    <col min="6920" max="6920" width="14.85546875" style="533" customWidth="1"/>
    <col min="6921" max="6921" width="12.7109375" style="533" bestFit="1" customWidth="1"/>
    <col min="6922" max="6922" width="11.85546875" style="533" customWidth="1"/>
    <col min="6923" max="6923" width="19.5703125" style="533" customWidth="1"/>
    <col min="6924" max="7168" width="9.140625" style="533"/>
    <col min="7169" max="7169" width="6.7109375" style="533" customWidth="1"/>
    <col min="7170" max="7170" width="95.7109375" style="533" customWidth="1"/>
    <col min="7171" max="7171" width="16.28515625" style="533" customWidth="1"/>
    <col min="7172" max="7172" width="12.140625" style="533" customWidth="1"/>
    <col min="7173" max="7173" width="15.7109375" style="533" customWidth="1"/>
    <col min="7174" max="7174" width="16.28515625" style="533" customWidth="1"/>
    <col min="7175" max="7175" width="16" style="533" customWidth="1"/>
    <col min="7176" max="7176" width="14.85546875" style="533" customWidth="1"/>
    <col min="7177" max="7177" width="12.7109375" style="533" bestFit="1" customWidth="1"/>
    <col min="7178" max="7178" width="11.85546875" style="533" customWidth="1"/>
    <col min="7179" max="7179" width="19.5703125" style="533" customWidth="1"/>
    <col min="7180" max="7424" width="9.140625" style="533"/>
    <col min="7425" max="7425" width="6.7109375" style="533" customWidth="1"/>
    <col min="7426" max="7426" width="95.7109375" style="533" customWidth="1"/>
    <col min="7427" max="7427" width="16.28515625" style="533" customWidth="1"/>
    <col min="7428" max="7428" width="12.140625" style="533" customWidth="1"/>
    <col min="7429" max="7429" width="15.7109375" style="533" customWidth="1"/>
    <col min="7430" max="7430" width="16.28515625" style="533" customWidth="1"/>
    <col min="7431" max="7431" width="16" style="533" customWidth="1"/>
    <col min="7432" max="7432" width="14.85546875" style="533" customWidth="1"/>
    <col min="7433" max="7433" width="12.7109375" style="533" bestFit="1" customWidth="1"/>
    <col min="7434" max="7434" width="11.85546875" style="533" customWidth="1"/>
    <col min="7435" max="7435" width="19.5703125" style="533" customWidth="1"/>
    <col min="7436" max="7680" width="9.140625" style="533"/>
    <col min="7681" max="7681" width="6.7109375" style="533" customWidth="1"/>
    <col min="7682" max="7682" width="95.7109375" style="533" customWidth="1"/>
    <col min="7683" max="7683" width="16.28515625" style="533" customWidth="1"/>
    <col min="7684" max="7684" width="12.140625" style="533" customWidth="1"/>
    <col min="7685" max="7685" width="15.7109375" style="533" customWidth="1"/>
    <col min="7686" max="7686" width="16.28515625" style="533" customWidth="1"/>
    <col min="7687" max="7687" width="16" style="533" customWidth="1"/>
    <col min="7688" max="7688" width="14.85546875" style="533" customWidth="1"/>
    <col min="7689" max="7689" width="12.7109375" style="533" bestFit="1" customWidth="1"/>
    <col min="7690" max="7690" width="11.85546875" style="533" customWidth="1"/>
    <col min="7691" max="7691" width="19.5703125" style="533" customWidth="1"/>
    <col min="7692" max="7936" width="9.140625" style="533"/>
    <col min="7937" max="7937" width="6.7109375" style="533" customWidth="1"/>
    <col min="7938" max="7938" width="95.7109375" style="533" customWidth="1"/>
    <col min="7939" max="7939" width="16.28515625" style="533" customWidth="1"/>
    <col min="7940" max="7940" width="12.140625" style="533" customWidth="1"/>
    <col min="7941" max="7941" width="15.7109375" style="533" customWidth="1"/>
    <col min="7942" max="7942" width="16.28515625" style="533" customWidth="1"/>
    <col min="7943" max="7943" width="16" style="533" customWidth="1"/>
    <col min="7944" max="7944" width="14.85546875" style="533" customWidth="1"/>
    <col min="7945" max="7945" width="12.7109375" style="533" bestFit="1" customWidth="1"/>
    <col min="7946" max="7946" width="11.85546875" style="533" customWidth="1"/>
    <col min="7947" max="7947" width="19.5703125" style="533" customWidth="1"/>
    <col min="7948" max="8192" width="9.140625" style="533"/>
    <col min="8193" max="8193" width="6.7109375" style="533" customWidth="1"/>
    <col min="8194" max="8194" width="95.7109375" style="533" customWidth="1"/>
    <col min="8195" max="8195" width="16.28515625" style="533" customWidth="1"/>
    <col min="8196" max="8196" width="12.140625" style="533" customWidth="1"/>
    <col min="8197" max="8197" width="15.7109375" style="533" customWidth="1"/>
    <col min="8198" max="8198" width="16.28515625" style="533" customWidth="1"/>
    <col min="8199" max="8199" width="16" style="533" customWidth="1"/>
    <col min="8200" max="8200" width="14.85546875" style="533" customWidth="1"/>
    <col min="8201" max="8201" width="12.7109375" style="533" bestFit="1" customWidth="1"/>
    <col min="8202" max="8202" width="11.85546875" style="533" customWidth="1"/>
    <col min="8203" max="8203" width="19.5703125" style="533" customWidth="1"/>
    <col min="8204" max="8448" width="9.140625" style="533"/>
    <col min="8449" max="8449" width="6.7109375" style="533" customWidth="1"/>
    <col min="8450" max="8450" width="95.7109375" style="533" customWidth="1"/>
    <col min="8451" max="8451" width="16.28515625" style="533" customWidth="1"/>
    <col min="8452" max="8452" width="12.140625" style="533" customWidth="1"/>
    <col min="8453" max="8453" width="15.7109375" style="533" customWidth="1"/>
    <col min="8454" max="8454" width="16.28515625" style="533" customWidth="1"/>
    <col min="8455" max="8455" width="16" style="533" customWidth="1"/>
    <col min="8456" max="8456" width="14.85546875" style="533" customWidth="1"/>
    <col min="8457" max="8457" width="12.7109375" style="533" bestFit="1" customWidth="1"/>
    <col min="8458" max="8458" width="11.85546875" style="533" customWidth="1"/>
    <col min="8459" max="8459" width="19.5703125" style="533" customWidth="1"/>
    <col min="8460" max="8704" width="9.140625" style="533"/>
    <col min="8705" max="8705" width="6.7109375" style="533" customWidth="1"/>
    <col min="8706" max="8706" width="95.7109375" style="533" customWidth="1"/>
    <col min="8707" max="8707" width="16.28515625" style="533" customWidth="1"/>
    <col min="8708" max="8708" width="12.140625" style="533" customWidth="1"/>
    <col min="8709" max="8709" width="15.7109375" style="533" customWidth="1"/>
    <col min="8710" max="8710" width="16.28515625" style="533" customWidth="1"/>
    <col min="8711" max="8711" width="16" style="533" customWidth="1"/>
    <col min="8712" max="8712" width="14.85546875" style="533" customWidth="1"/>
    <col min="8713" max="8713" width="12.7109375" style="533" bestFit="1" customWidth="1"/>
    <col min="8714" max="8714" width="11.85546875" style="533" customWidth="1"/>
    <col min="8715" max="8715" width="19.5703125" style="533" customWidth="1"/>
    <col min="8716" max="8960" width="9.140625" style="533"/>
    <col min="8961" max="8961" width="6.7109375" style="533" customWidth="1"/>
    <col min="8962" max="8962" width="95.7109375" style="533" customWidth="1"/>
    <col min="8963" max="8963" width="16.28515625" style="533" customWidth="1"/>
    <col min="8964" max="8964" width="12.140625" style="533" customWidth="1"/>
    <col min="8965" max="8965" width="15.7109375" style="533" customWidth="1"/>
    <col min="8966" max="8966" width="16.28515625" style="533" customWidth="1"/>
    <col min="8967" max="8967" width="16" style="533" customWidth="1"/>
    <col min="8968" max="8968" width="14.85546875" style="533" customWidth="1"/>
    <col min="8969" max="8969" width="12.7109375" style="533" bestFit="1" customWidth="1"/>
    <col min="8970" max="8970" width="11.85546875" style="533" customWidth="1"/>
    <col min="8971" max="8971" width="19.5703125" style="533" customWidth="1"/>
    <col min="8972" max="9216" width="9.140625" style="533"/>
    <col min="9217" max="9217" width="6.7109375" style="533" customWidth="1"/>
    <col min="9218" max="9218" width="95.7109375" style="533" customWidth="1"/>
    <col min="9219" max="9219" width="16.28515625" style="533" customWidth="1"/>
    <col min="9220" max="9220" width="12.140625" style="533" customWidth="1"/>
    <col min="9221" max="9221" width="15.7109375" style="533" customWidth="1"/>
    <col min="9222" max="9222" width="16.28515625" style="533" customWidth="1"/>
    <col min="9223" max="9223" width="16" style="533" customWidth="1"/>
    <col min="9224" max="9224" width="14.85546875" style="533" customWidth="1"/>
    <col min="9225" max="9225" width="12.7109375" style="533" bestFit="1" customWidth="1"/>
    <col min="9226" max="9226" width="11.85546875" style="533" customWidth="1"/>
    <col min="9227" max="9227" width="19.5703125" style="533" customWidth="1"/>
    <col min="9228" max="9472" width="9.140625" style="533"/>
    <col min="9473" max="9473" width="6.7109375" style="533" customWidth="1"/>
    <col min="9474" max="9474" width="95.7109375" style="533" customWidth="1"/>
    <col min="9475" max="9475" width="16.28515625" style="533" customWidth="1"/>
    <col min="9476" max="9476" width="12.140625" style="533" customWidth="1"/>
    <col min="9477" max="9477" width="15.7109375" style="533" customWidth="1"/>
    <col min="9478" max="9478" width="16.28515625" style="533" customWidth="1"/>
    <col min="9479" max="9479" width="16" style="533" customWidth="1"/>
    <col min="9480" max="9480" width="14.85546875" style="533" customWidth="1"/>
    <col min="9481" max="9481" width="12.7109375" style="533" bestFit="1" customWidth="1"/>
    <col min="9482" max="9482" width="11.85546875" style="533" customWidth="1"/>
    <col min="9483" max="9483" width="19.5703125" style="533" customWidth="1"/>
    <col min="9484" max="9728" width="9.140625" style="533"/>
    <col min="9729" max="9729" width="6.7109375" style="533" customWidth="1"/>
    <col min="9730" max="9730" width="95.7109375" style="533" customWidth="1"/>
    <col min="9731" max="9731" width="16.28515625" style="533" customWidth="1"/>
    <col min="9732" max="9732" width="12.140625" style="533" customWidth="1"/>
    <col min="9733" max="9733" width="15.7109375" style="533" customWidth="1"/>
    <col min="9734" max="9734" width="16.28515625" style="533" customWidth="1"/>
    <col min="9735" max="9735" width="16" style="533" customWidth="1"/>
    <col min="9736" max="9736" width="14.85546875" style="533" customWidth="1"/>
    <col min="9737" max="9737" width="12.7109375" style="533" bestFit="1" customWidth="1"/>
    <col min="9738" max="9738" width="11.85546875" style="533" customWidth="1"/>
    <col min="9739" max="9739" width="19.5703125" style="533" customWidth="1"/>
    <col min="9740" max="9984" width="9.140625" style="533"/>
    <col min="9985" max="9985" width="6.7109375" style="533" customWidth="1"/>
    <col min="9986" max="9986" width="95.7109375" style="533" customWidth="1"/>
    <col min="9987" max="9987" width="16.28515625" style="533" customWidth="1"/>
    <col min="9988" max="9988" width="12.140625" style="533" customWidth="1"/>
    <col min="9989" max="9989" width="15.7109375" style="533" customWidth="1"/>
    <col min="9990" max="9990" width="16.28515625" style="533" customWidth="1"/>
    <col min="9991" max="9991" width="16" style="533" customWidth="1"/>
    <col min="9992" max="9992" width="14.85546875" style="533" customWidth="1"/>
    <col min="9993" max="9993" width="12.7109375" style="533" bestFit="1" customWidth="1"/>
    <col min="9994" max="9994" width="11.85546875" style="533" customWidth="1"/>
    <col min="9995" max="9995" width="19.5703125" style="533" customWidth="1"/>
    <col min="9996" max="10240" width="9.140625" style="533"/>
    <col min="10241" max="10241" width="6.7109375" style="533" customWidth="1"/>
    <col min="10242" max="10242" width="95.7109375" style="533" customWidth="1"/>
    <col min="10243" max="10243" width="16.28515625" style="533" customWidth="1"/>
    <col min="10244" max="10244" width="12.140625" style="533" customWidth="1"/>
    <col min="10245" max="10245" width="15.7109375" style="533" customWidth="1"/>
    <col min="10246" max="10246" width="16.28515625" style="533" customWidth="1"/>
    <col min="10247" max="10247" width="16" style="533" customWidth="1"/>
    <col min="10248" max="10248" width="14.85546875" style="533" customWidth="1"/>
    <col min="10249" max="10249" width="12.7109375" style="533" bestFit="1" customWidth="1"/>
    <col min="10250" max="10250" width="11.85546875" style="533" customWidth="1"/>
    <col min="10251" max="10251" width="19.5703125" style="533" customWidth="1"/>
    <col min="10252" max="10496" width="9.140625" style="533"/>
    <col min="10497" max="10497" width="6.7109375" style="533" customWidth="1"/>
    <col min="10498" max="10498" width="95.7109375" style="533" customWidth="1"/>
    <col min="10499" max="10499" width="16.28515625" style="533" customWidth="1"/>
    <col min="10500" max="10500" width="12.140625" style="533" customWidth="1"/>
    <col min="10501" max="10501" width="15.7109375" style="533" customWidth="1"/>
    <col min="10502" max="10502" width="16.28515625" style="533" customWidth="1"/>
    <col min="10503" max="10503" width="16" style="533" customWidth="1"/>
    <col min="10504" max="10504" width="14.85546875" style="533" customWidth="1"/>
    <col min="10505" max="10505" width="12.7109375" style="533" bestFit="1" customWidth="1"/>
    <col min="10506" max="10506" width="11.85546875" style="533" customWidth="1"/>
    <col min="10507" max="10507" width="19.5703125" style="533" customWidth="1"/>
    <col min="10508" max="10752" width="9.140625" style="533"/>
    <col min="10753" max="10753" width="6.7109375" style="533" customWidth="1"/>
    <col min="10754" max="10754" width="95.7109375" style="533" customWidth="1"/>
    <col min="10755" max="10755" width="16.28515625" style="533" customWidth="1"/>
    <col min="10756" max="10756" width="12.140625" style="533" customWidth="1"/>
    <col min="10757" max="10757" width="15.7109375" style="533" customWidth="1"/>
    <col min="10758" max="10758" width="16.28515625" style="533" customWidth="1"/>
    <col min="10759" max="10759" width="16" style="533" customWidth="1"/>
    <col min="10760" max="10760" width="14.85546875" style="533" customWidth="1"/>
    <col min="10761" max="10761" width="12.7109375" style="533" bestFit="1" customWidth="1"/>
    <col min="10762" max="10762" width="11.85546875" style="533" customWidth="1"/>
    <col min="10763" max="10763" width="19.5703125" style="533" customWidth="1"/>
    <col min="10764" max="11008" width="9.140625" style="533"/>
    <col min="11009" max="11009" width="6.7109375" style="533" customWidth="1"/>
    <col min="11010" max="11010" width="95.7109375" style="533" customWidth="1"/>
    <col min="11011" max="11011" width="16.28515625" style="533" customWidth="1"/>
    <col min="11012" max="11012" width="12.140625" style="533" customWidth="1"/>
    <col min="11013" max="11013" width="15.7109375" style="533" customWidth="1"/>
    <col min="11014" max="11014" width="16.28515625" style="533" customWidth="1"/>
    <col min="11015" max="11015" width="16" style="533" customWidth="1"/>
    <col min="11016" max="11016" width="14.85546875" style="533" customWidth="1"/>
    <col min="11017" max="11017" width="12.7109375" style="533" bestFit="1" customWidth="1"/>
    <col min="11018" max="11018" width="11.85546875" style="533" customWidth="1"/>
    <col min="11019" max="11019" width="19.5703125" style="533" customWidth="1"/>
    <col min="11020" max="11264" width="9.140625" style="533"/>
    <col min="11265" max="11265" width="6.7109375" style="533" customWidth="1"/>
    <col min="11266" max="11266" width="95.7109375" style="533" customWidth="1"/>
    <col min="11267" max="11267" width="16.28515625" style="533" customWidth="1"/>
    <col min="11268" max="11268" width="12.140625" style="533" customWidth="1"/>
    <col min="11269" max="11269" width="15.7109375" style="533" customWidth="1"/>
    <col min="11270" max="11270" width="16.28515625" style="533" customWidth="1"/>
    <col min="11271" max="11271" width="16" style="533" customWidth="1"/>
    <col min="11272" max="11272" width="14.85546875" style="533" customWidth="1"/>
    <col min="11273" max="11273" width="12.7109375" style="533" bestFit="1" customWidth="1"/>
    <col min="11274" max="11274" width="11.85546875" style="533" customWidth="1"/>
    <col min="11275" max="11275" width="19.5703125" style="533" customWidth="1"/>
    <col min="11276" max="11520" width="9.140625" style="533"/>
    <col min="11521" max="11521" width="6.7109375" style="533" customWidth="1"/>
    <col min="11522" max="11522" width="95.7109375" style="533" customWidth="1"/>
    <col min="11523" max="11523" width="16.28515625" style="533" customWidth="1"/>
    <col min="11524" max="11524" width="12.140625" style="533" customWidth="1"/>
    <col min="11525" max="11525" width="15.7109375" style="533" customWidth="1"/>
    <col min="11526" max="11526" width="16.28515625" style="533" customWidth="1"/>
    <col min="11527" max="11527" width="16" style="533" customWidth="1"/>
    <col min="11528" max="11528" width="14.85546875" style="533" customWidth="1"/>
    <col min="11529" max="11529" width="12.7109375" style="533" bestFit="1" customWidth="1"/>
    <col min="11530" max="11530" width="11.85546875" style="533" customWidth="1"/>
    <col min="11531" max="11531" width="19.5703125" style="533" customWidth="1"/>
    <col min="11532" max="11776" width="9.140625" style="533"/>
    <col min="11777" max="11777" width="6.7109375" style="533" customWidth="1"/>
    <col min="11778" max="11778" width="95.7109375" style="533" customWidth="1"/>
    <col min="11779" max="11779" width="16.28515625" style="533" customWidth="1"/>
    <col min="11780" max="11780" width="12.140625" style="533" customWidth="1"/>
    <col min="11781" max="11781" width="15.7109375" style="533" customWidth="1"/>
    <col min="11782" max="11782" width="16.28515625" style="533" customWidth="1"/>
    <col min="11783" max="11783" width="16" style="533" customWidth="1"/>
    <col min="11784" max="11784" width="14.85546875" style="533" customWidth="1"/>
    <col min="11785" max="11785" width="12.7109375" style="533" bestFit="1" customWidth="1"/>
    <col min="11786" max="11786" width="11.85546875" style="533" customWidth="1"/>
    <col min="11787" max="11787" width="19.5703125" style="533" customWidth="1"/>
    <col min="11788" max="12032" width="9.140625" style="533"/>
    <col min="12033" max="12033" width="6.7109375" style="533" customWidth="1"/>
    <col min="12034" max="12034" width="95.7109375" style="533" customWidth="1"/>
    <col min="12035" max="12035" width="16.28515625" style="533" customWidth="1"/>
    <col min="12036" max="12036" width="12.140625" style="533" customWidth="1"/>
    <col min="12037" max="12037" width="15.7109375" style="533" customWidth="1"/>
    <col min="12038" max="12038" width="16.28515625" style="533" customWidth="1"/>
    <col min="12039" max="12039" width="16" style="533" customWidth="1"/>
    <col min="12040" max="12040" width="14.85546875" style="533" customWidth="1"/>
    <col min="12041" max="12041" width="12.7109375" style="533" bestFit="1" customWidth="1"/>
    <col min="12042" max="12042" width="11.85546875" style="533" customWidth="1"/>
    <col min="12043" max="12043" width="19.5703125" style="533" customWidth="1"/>
    <col min="12044" max="12288" width="9.140625" style="533"/>
    <col min="12289" max="12289" width="6.7109375" style="533" customWidth="1"/>
    <col min="12290" max="12290" width="95.7109375" style="533" customWidth="1"/>
    <col min="12291" max="12291" width="16.28515625" style="533" customWidth="1"/>
    <col min="12292" max="12292" width="12.140625" style="533" customWidth="1"/>
    <col min="12293" max="12293" width="15.7109375" style="533" customWidth="1"/>
    <col min="12294" max="12294" width="16.28515625" style="533" customWidth="1"/>
    <col min="12295" max="12295" width="16" style="533" customWidth="1"/>
    <col min="12296" max="12296" width="14.85546875" style="533" customWidth="1"/>
    <col min="12297" max="12297" width="12.7109375" style="533" bestFit="1" customWidth="1"/>
    <col min="12298" max="12298" width="11.85546875" style="533" customWidth="1"/>
    <col min="12299" max="12299" width="19.5703125" style="533" customWidth="1"/>
    <col min="12300" max="12544" width="9.140625" style="533"/>
    <col min="12545" max="12545" width="6.7109375" style="533" customWidth="1"/>
    <col min="12546" max="12546" width="95.7109375" style="533" customWidth="1"/>
    <col min="12547" max="12547" width="16.28515625" style="533" customWidth="1"/>
    <col min="12548" max="12548" width="12.140625" style="533" customWidth="1"/>
    <col min="12549" max="12549" width="15.7109375" style="533" customWidth="1"/>
    <col min="12550" max="12550" width="16.28515625" style="533" customWidth="1"/>
    <col min="12551" max="12551" width="16" style="533" customWidth="1"/>
    <col min="12552" max="12552" width="14.85546875" style="533" customWidth="1"/>
    <col min="12553" max="12553" width="12.7109375" style="533" bestFit="1" customWidth="1"/>
    <col min="12554" max="12554" width="11.85546875" style="533" customWidth="1"/>
    <col min="12555" max="12555" width="19.5703125" style="533" customWidth="1"/>
    <col min="12556" max="12800" width="9.140625" style="533"/>
    <col min="12801" max="12801" width="6.7109375" style="533" customWidth="1"/>
    <col min="12802" max="12802" width="95.7109375" style="533" customWidth="1"/>
    <col min="12803" max="12803" width="16.28515625" style="533" customWidth="1"/>
    <col min="12804" max="12804" width="12.140625" style="533" customWidth="1"/>
    <col min="12805" max="12805" width="15.7109375" style="533" customWidth="1"/>
    <col min="12806" max="12806" width="16.28515625" style="533" customWidth="1"/>
    <col min="12807" max="12807" width="16" style="533" customWidth="1"/>
    <col min="12808" max="12808" width="14.85546875" style="533" customWidth="1"/>
    <col min="12809" max="12809" width="12.7109375" style="533" bestFit="1" customWidth="1"/>
    <col min="12810" max="12810" width="11.85546875" style="533" customWidth="1"/>
    <col min="12811" max="12811" width="19.5703125" style="533" customWidth="1"/>
    <col min="12812" max="13056" width="9.140625" style="533"/>
    <col min="13057" max="13057" width="6.7109375" style="533" customWidth="1"/>
    <col min="13058" max="13058" width="95.7109375" style="533" customWidth="1"/>
    <col min="13059" max="13059" width="16.28515625" style="533" customWidth="1"/>
    <col min="13060" max="13060" width="12.140625" style="533" customWidth="1"/>
    <col min="13061" max="13061" width="15.7109375" style="533" customWidth="1"/>
    <col min="13062" max="13062" width="16.28515625" style="533" customWidth="1"/>
    <col min="13063" max="13063" width="16" style="533" customWidth="1"/>
    <col min="13064" max="13064" width="14.85546875" style="533" customWidth="1"/>
    <col min="13065" max="13065" width="12.7109375" style="533" bestFit="1" customWidth="1"/>
    <col min="13066" max="13066" width="11.85546875" style="533" customWidth="1"/>
    <col min="13067" max="13067" width="19.5703125" style="533" customWidth="1"/>
    <col min="13068" max="13312" width="9.140625" style="533"/>
    <col min="13313" max="13313" width="6.7109375" style="533" customWidth="1"/>
    <col min="13314" max="13314" width="95.7109375" style="533" customWidth="1"/>
    <col min="13315" max="13315" width="16.28515625" style="533" customWidth="1"/>
    <col min="13316" max="13316" width="12.140625" style="533" customWidth="1"/>
    <col min="13317" max="13317" width="15.7109375" style="533" customWidth="1"/>
    <col min="13318" max="13318" width="16.28515625" style="533" customWidth="1"/>
    <col min="13319" max="13319" width="16" style="533" customWidth="1"/>
    <col min="13320" max="13320" width="14.85546875" style="533" customWidth="1"/>
    <col min="13321" max="13321" width="12.7109375" style="533" bestFit="1" customWidth="1"/>
    <col min="13322" max="13322" width="11.85546875" style="533" customWidth="1"/>
    <col min="13323" max="13323" width="19.5703125" style="533" customWidth="1"/>
    <col min="13324" max="13568" width="9.140625" style="533"/>
    <col min="13569" max="13569" width="6.7109375" style="533" customWidth="1"/>
    <col min="13570" max="13570" width="95.7109375" style="533" customWidth="1"/>
    <col min="13571" max="13571" width="16.28515625" style="533" customWidth="1"/>
    <col min="13572" max="13572" width="12.140625" style="533" customWidth="1"/>
    <col min="13573" max="13573" width="15.7109375" style="533" customWidth="1"/>
    <col min="13574" max="13574" width="16.28515625" style="533" customWidth="1"/>
    <col min="13575" max="13575" width="16" style="533" customWidth="1"/>
    <col min="13576" max="13576" width="14.85546875" style="533" customWidth="1"/>
    <col min="13577" max="13577" width="12.7109375" style="533" bestFit="1" customWidth="1"/>
    <col min="13578" max="13578" width="11.85546875" style="533" customWidth="1"/>
    <col min="13579" max="13579" width="19.5703125" style="533" customWidth="1"/>
    <col min="13580" max="13824" width="9.140625" style="533"/>
    <col min="13825" max="13825" width="6.7109375" style="533" customWidth="1"/>
    <col min="13826" max="13826" width="95.7109375" style="533" customWidth="1"/>
    <col min="13827" max="13827" width="16.28515625" style="533" customWidth="1"/>
    <col min="13828" max="13828" width="12.140625" style="533" customWidth="1"/>
    <col min="13829" max="13829" width="15.7109375" style="533" customWidth="1"/>
    <col min="13830" max="13830" width="16.28515625" style="533" customWidth="1"/>
    <col min="13831" max="13831" width="16" style="533" customWidth="1"/>
    <col min="13832" max="13832" width="14.85546875" style="533" customWidth="1"/>
    <col min="13833" max="13833" width="12.7109375" style="533" bestFit="1" customWidth="1"/>
    <col min="13834" max="13834" width="11.85546875" style="533" customWidth="1"/>
    <col min="13835" max="13835" width="19.5703125" style="533" customWidth="1"/>
    <col min="13836" max="14080" width="9.140625" style="533"/>
    <col min="14081" max="14081" width="6.7109375" style="533" customWidth="1"/>
    <col min="14082" max="14082" width="95.7109375" style="533" customWidth="1"/>
    <col min="14083" max="14083" width="16.28515625" style="533" customWidth="1"/>
    <col min="14084" max="14084" width="12.140625" style="533" customWidth="1"/>
    <col min="14085" max="14085" width="15.7109375" style="533" customWidth="1"/>
    <col min="14086" max="14086" width="16.28515625" style="533" customWidth="1"/>
    <col min="14087" max="14087" width="16" style="533" customWidth="1"/>
    <col min="14088" max="14088" width="14.85546875" style="533" customWidth="1"/>
    <col min="14089" max="14089" width="12.7109375" style="533" bestFit="1" customWidth="1"/>
    <col min="14090" max="14090" width="11.85546875" style="533" customWidth="1"/>
    <col min="14091" max="14091" width="19.5703125" style="533" customWidth="1"/>
    <col min="14092" max="14336" width="9.140625" style="533"/>
    <col min="14337" max="14337" width="6.7109375" style="533" customWidth="1"/>
    <col min="14338" max="14338" width="95.7109375" style="533" customWidth="1"/>
    <col min="14339" max="14339" width="16.28515625" style="533" customWidth="1"/>
    <col min="14340" max="14340" width="12.140625" style="533" customWidth="1"/>
    <col min="14341" max="14341" width="15.7109375" style="533" customWidth="1"/>
    <col min="14342" max="14342" width="16.28515625" style="533" customWidth="1"/>
    <col min="14343" max="14343" width="16" style="533" customWidth="1"/>
    <col min="14344" max="14344" width="14.85546875" style="533" customWidth="1"/>
    <col min="14345" max="14345" width="12.7109375" style="533" bestFit="1" customWidth="1"/>
    <col min="14346" max="14346" width="11.85546875" style="533" customWidth="1"/>
    <col min="14347" max="14347" width="19.5703125" style="533" customWidth="1"/>
    <col min="14348" max="14592" width="9.140625" style="533"/>
    <col min="14593" max="14593" width="6.7109375" style="533" customWidth="1"/>
    <col min="14594" max="14594" width="95.7109375" style="533" customWidth="1"/>
    <col min="14595" max="14595" width="16.28515625" style="533" customWidth="1"/>
    <col min="14596" max="14596" width="12.140625" style="533" customWidth="1"/>
    <col min="14597" max="14597" width="15.7109375" style="533" customWidth="1"/>
    <col min="14598" max="14598" width="16.28515625" style="533" customWidth="1"/>
    <col min="14599" max="14599" width="16" style="533" customWidth="1"/>
    <col min="14600" max="14600" width="14.85546875" style="533" customWidth="1"/>
    <col min="14601" max="14601" width="12.7109375" style="533" bestFit="1" customWidth="1"/>
    <col min="14602" max="14602" width="11.85546875" style="533" customWidth="1"/>
    <col min="14603" max="14603" width="19.5703125" style="533" customWidth="1"/>
    <col min="14604" max="14848" width="9.140625" style="533"/>
    <col min="14849" max="14849" width="6.7109375" style="533" customWidth="1"/>
    <col min="14850" max="14850" width="95.7109375" style="533" customWidth="1"/>
    <col min="14851" max="14851" width="16.28515625" style="533" customWidth="1"/>
    <col min="14852" max="14852" width="12.140625" style="533" customWidth="1"/>
    <col min="14853" max="14853" width="15.7109375" style="533" customWidth="1"/>
    <col min="14854" max="14854" width="16.28515625" style="533" customWidth="1"/>
    <col min="14855" max="14855" width="16" style="533" customWidth="1"/>
    <col min="14856" max="14856" width="14.85546875" style="533" customWidth="1"/>
    <col min="14857" max="14857" width="12.7109375" style="533" bestFit="1" customWidth="1"/>
    <col min="14858" max="14858" width="11.85546875" style="533" customWidth="1"/>
    <col min="14859" max="14859" width="19.5703125" style="533" customWidth="1"/>
    <col min="14860" max="15104" width="9.140625" style="533"/>
    <col min="15105" max="15105" width="6.7109375" style="533" customWidth="1"/>
    <col min="15106" max="15106" width="95.7109375" style="533" customWidth="1"/>
    <col min="15107" max="15107" width="16.28515625" style="533" customWidth="1"/>
    <col min="15108" max="15108" width="12.140625" style="533" customWidth="1"/>
    <col min="15109" max="15109" width="15.7109375" style="533" customWidth="1"/>
    <col min="15110" max="15110" width="16.28515625" style="533" customWidth="1"/>
    <col min="15111" max="15111" width="16" style="533" customWidth="1"/>
    <col min="15112" max="15112" width="14.85546875" style="533" customWidth="1"/>
    <col min="15113" max="15113" width="12.7109375" style="533" bestFit="1" customWidth="1"/>
    <col min="15114" max="15114" width="11.85546875" style="533" customWidth="1"/>
    <col min="15115" max="15115" width="19.5703125" style="533" customWidth="1"/>
    <col min="15116" max="15360" width="9.140625" style="533"/>
    <col min="15361" max="15361" width="6.7109375" style="533" customWidth="1"/>
    <col min="15362" max="15362" width="95.7109375" style="533" customWidth="1"/>
    <col min="15363" max="15363" width="16.28515625" style="533" customWidth="1"/>
    <col min="15364" max="15364" width="12.140625" style="533" customWidth="1"/>
    <col min="15365" max="15365" width="15.7109375" style="533" customWidth="1"/>
    <col min="15366" max="15366" width="16.28515625" style="533" customWidth="1"/>
    <col min="15367" max="15367" width="16" style="533" customWidth="1"/>
    <col min="15368" max="15368" width="14.85546875" style="533" customWidth="1"/>
    <col min="15369" max="15369" width="12.7109375" style="533" bestFit="1" customWidth="1"/>
    <col min="15370" max="15370" width="11.85546875" style="533" customWidth="1"/>
    <col min="15371" max="15371" width="19.5703125" style="533" customWidth="1"/>
    <col min="15372" max="15616" width="9.140625" style="533"/>
    <col min="15617" max="15617" width="6.7109375" style="533" customWidth="1"/>
    <col min="15618" max="15618" width="95.7109375" style="533" customWidth="1"/>
    <col min="15619" max="15619" width="16.28515625" style="533" customWidth="1"/>
    <col min="15620" max="15620" width="12.140625" style="533" customWidth="1"/>
    <col min="15621" max="15621" width="15.7109375" style="533" customWidth="1"/>
    <col min="15622" max="15622" width="16.28515625" style="533" customWidth="1"/>
    <col min="15623" max="15623" width="16" style="533" customWidth="1"/>
    <col min="15624" max="15624" width="14.85546875" style="533" customWidth="1"/>
    <col min="15625" max="15625" width="12.7109375" style="533" bestFit="1" customWidth="1"/>
    <col min="15626" max="15626" width="11.85546875" style="533" customWidth="1"/>
    <col min="15627" max="15627" width="19.5703125" style="533" customWidth="1"/>
    <col min="15628" max="15872" width="9.140625" style="533"/>
    <col min="15873" max="15873" width="6.7109375" style="533" customWidth="1"/>
    <col min="15874" max="15874" width="95.7109375" style="533" customWidth="1"/>
    <col min="15875" max="15875" width="16.28515625" style="533" customWidth="1"/>
    <col min="15876" max="15876" width="12.140625" style="533" customWidth="1"/>
    <col min="15877" max="15877" width="15.7109375" style="533" customWidth="1"/>
    <col min="15878" max="15878" width="16.28515625" style="533" customWidth="1"/>
    <col min="15879" max="15879" width="16" style="533" customWidth="1"/>
    <col min="15880" max="15880" width="14.85546875" style="533" customWidth="1"/>
    <col min="15881" max="15881" width="12.7109375" style="533" bestFit="1" customWidth="1"/>
    <col min="15882" max="15882" width="11.85546875" style="533" customWidth="1"/>
    <col min="15883" max="15883" width="19.5703125" style="533" customWidth="1"/>
    <col min="15884" max="16128" width="9.140625" style="533"/>
    <col min="16129" max="16129" width="6.7109375" style="533" customWidth="1"/>
    <col min="16130" max="16130" width="95.7109375" style="533" customWidth="1"/>
    <col min="16131" max="16131" width="16.28515625" style="533" customWidth="1"/>
    <col min="16132" max="16132" width="12.140625" style="533" customWidth="1"/>
    <col min="16133" max="16133" width="15.7109375" style="533" customWidth="1"/>
    <col min="16134" max="16134" width="16.28515625" style="533" customWidth="1"/>
    <col min="16135" max="16135" width="16" style="533" customWidth="1"/>
    <col min="16136" max="16136" width="14.85546875" style="533" customWidth="1"/>
    <col min="16137" max="16137" width="12.7109375" style="533" bestFit="1" customWidth="1"/>
    <col min="16138" max="16138" width="11.85546875" style="533" customWidth="1"/>
    <col min="16139" max="16139" width="19.5703125" style="533" customWidth="1"/>
    <col min="16140" max="16380" width="9.140625" style="533"/>
    <col min="16381" max="16384" width="8.85546875" style="533" customWidth="1"/>
  </cols>
  <sheetData>
    <row r="2" spans="3:25" ht="18">
      <c r="C2" s="843" t="s">
        <v>738</v>
      </c>
      <c r="D2" s="843"/>
      <c r="E2" s="843"/>
      <c r="F2" s="843"/>
      <c r="G2" s="843"/>
      <c r="H2" s="843"/>
      <c r="I2" s="843"/>
      <c r="J2" s="843"/>
      <c r="K2" s="843"/>
      <c r="L2" s="843"/>
      <c r="M2" s="843"/>
      <c r="N2" s="843"/>
      <c r="O2" s="843"/>
      <c r="P2" s="843"/>
      <c r="Q2" s="843"/>
      <c r="R2" s="843"/>
      <c r="S2" s="843"/>
      <c r="T2" s="843"/>
      <c r="U2" s="843"/>
      <c r="V2" s="843"/>
      <c r="W2" s="843"/>
      <c r="X2" s="843"/>
      <c r="Y2" s="533">
        <v>100000</v>
      </c>
    </row>
    <row r="3" spans="3:25">
      <c r="C3" s="844" t="s">
        <v>739</v>
      </c>
      <c r="D3" s="844"/>
      <c r="E3" s="844"/>
      <c r="F3" s="844"/>
      <c r="G3" s="844"/>
      <c r="H3" s="844"/>
      <c r="I3" s="844"/>
      <c r="J3" s="844"/>
      <c r="K3" s="844"/>
      <c r="L3" s="844"/>
      <c r="M3" s="844"/>
      <c r="N3" s="844"/>
      <c r="O3" s="844"/>
      <c r="P3" s="844"/>
      <c r="Q3" s="844"/>
      <c r="R3" s="844"/>
      <c r="S3" s="844"/>
      <c r="T3" s="844"/>
      <c r="U3" s="844"/>
      <c r="V3" s="844"/>
      <c r="W3" s="844"/>
      <c r="X3" s="844"/>
    </row>
    <row r="4" spans="3:25">
      <c r="C4" s="534"/>
    </row>
    <row r="5" spans="3:25">
      <c r="D5" s="854" t="s">
        <v>774</v>
      </c>
      <c r="E5" s="854"/>
      <c r="F5" s="854"/>
      <c r="G5" s="854"/>
      <c r="H5" s="854"/>
      <c r="I5" s="854"/>
      <c r="J5" s="854"/>
      <c r="K5" s="854"/>
      <c r="L5" s="854"/>
      <c r="M5" s="854"/>
      <c r="N5" s="854"/>
      <c r="O5" s="854"/>
      <c r="P5" s="854"/>
      <c r="Q5" s="854"/>
      <c r="R5" s="854"/>
      <c r="S5" s="854"/>
      <c r="T5" s="854"/>
      <c r="U5" s="854"/>
      <c r="V5" s="854"/>
      <c r="W5" s="854"/>
      <c r="X5" s="854"/>
    </row>
    <row r="6" spans="3:25">
      <c r="D6" s="574"/>
    </row>
    <row r="7" spans="3:25" ht="31.5">
      <c r="D7" s="560" t="s">
        <v>775</v>
      </c>
      <c r="E7" s="575"/>
      <c r="F7" s="576"/>
      <c r="G7" s="577"/>
      <c r="H7" s="577"/>
      <c r="I7" s="576"/>
      <c r="J7" s="578"/>
      <c r="K7" s="578"/>
      <c r="L7" s="578"/>
      <c r="M7" s="578"/>
      <c r="N7" s="578"/>
      <c r="O7" s="578"/>
      <c r="P7" s="578"/>
      <c r="Q7" s="578"/>
      <c r="R7" s="578"/>
      <c r="S7" s="578"/>
      <c r="T7" s="578"/>
      <c r="U7" s="578"/>
      <c r="V7" s="578"/>
      <c r="W7" s="578"/>
      <c r="X7" s="579" t="s">
        <v>776</v>
      </c>
    </row>
    <row r="8" spans="3:25" ht="63">
      <c r="D8" s="561" t="s">
        <v>3</v>
      </c>
      <c r="E8" s="561" t="s">
        <v>777</v>
      </c>
      <c r="F8" s="561" t="s">
        <v>778</v>
      </c>
      <c r="G8" s="561" t="s">
        <v>779</v>
      </c>
      <c r="H8" s="561" t="s">
        <v>780</v>
      </c>
      <c r="I8" s="561" t="s">
        <v>781</v>
      </c>
      <c r="J8" s="580"/>
      <c r="K8" s="580"/>
      <c r="L8" s="580"/>
      <c r="M8" s="580"/>
      <c r="N8" s="580"/>
      <c r="O8" s="580"/>
      <c r="P8" s="580"/>
      <c r="Q8" s="580"/>
      <c r="R8" s="580"/>
      <c r="S8" s="580"/>
      <c r="T8" s="580"/>
      <c r="U8" s="580"/>
      <c r="V8" s="580"/>
      <c r="W8" s="580"/>
      <c r="X8" s="561" t="s">
        <v>782</v>
      </c>
    </row>
    <row r="9" spans="3:25" ht="47.25">
      <c r="D9" s="546" t="s">
        <v>783</v>
      </c>
      <c r="E9" s="581">
        <f>181554682/Y2</f>
        <v>1815.54682</v>
      </c>
      <c r="F9" s="581">
        <f>195565950/Y2</f>
        <v>1955.6595</v>
      </c>
      <c r="G9" s="581">
        <f>1252260679/Y2</f>
        <v>12522.60679</v>
      </c>
      <c r="H9" s="581">
        <f>131473112/Y2</f>
        <v>1314.7311199999999</v>
      </c>
      <c r="I9" s="581">
        <f>121579684/Y2</f>
        <v>1215.79684</v>
      </c>
      <c r="J9" s="581"/>
      <c r="K9" s="581"/>
      <c r="L9" s="581"/>
      <c r="M9" s="581"/>
      <c r="N9" s="581"/>
      <c r="O9" s="581"/>
      <c r="P9" s="581"/>
      <c r="Q9" s="581"/>
      <c r="R9" s="581"/>
      <c r="S9" s="581"/>
      <c r="T9" s="581"/>
      <c r="U9" s="581"/>
      <c r="V9" s="581"/>
      <c r="W9" s="581"/>
      <c r="X9" s="581">
        <f>1087524852/Y2</f>
        <v>10875.248519999999</v>
      </c>
    </row>
    <row r="10" spans="3:25">
      <c r="D10" s="53" t="s">
        <v>784</v>
      </c>
      <c r="E10" s="581">
        <v>0</v>
      </c>
      <c r="F10" s="581">
        <f>19866813/Y2</f>
        <v>198.66812999999999</v>
      </c>
      <c r="H10" s="581">
        <v>0</v>
      </c>
      <c r="I10" s="581">
        <f>18193966/Y2</f>
        <v>181.93966</v>
      </c>
      <c r="J10" s="581"/>
      <c r="K10" s="581"/>
      <c r="L10" s="581"/>
      <c r="M10" s="581"/>
      <c r="N10" s="581"/>
      <c r="O10" s="581"/>
      <c r="P10" s="581"/>
      <c r="Q10" s="581"/>
      <c r="R10" s="581"/>
      <c r="S10" s="581"/>
      <c r="T10" s="581"/>
      <c r="U10" s="581"/>
      <c r="V10" s="581"/>
      <c r="W10" s="581"/>
    </row>
    <row r="11" spans="3:25">
      <c r="D11" s="53" t="s">
        <v>785</v>
      </c>
      <c r="E11" s="581">
        <f>14013982/Y2</f>
        <v>140.13981999999999</v>
      </c>
      <c r="F11" s="581">
        <f>15140582/Y2</f>
        <v>151.40582000000001</v>
      </c>
      <c r="G11" s="581">
        <f>97121579/Y2</f>
        <v>971.21578999999997</v>
      </c>
      <c r="H11" s="581">
        <f>12858597/Y2</f>
        <v>128.58597</v>
      </c>
      <c r="I11" s="581">
        <f>12067640/Y2</f>
        <v>120.6764</v>
      </c>
      <c r="J11" s="581"/>
      <c r="K11" s="581"/>
      <c r="L11" s="581"/>
      <c r="M11" s="581"/>
      <c r="N11" s="581"/>
      <c r="O11" s="581"/>
      <c r="P11" s="581"/>
      <c r="Q11" s="581"/>
      <c r="R11" s="581"/>
      <c r="S11" s="581"/>
      <c r="T11" s="581"/>
      <c r="U11" s="581"/>
      <c r="V11" s="581"/>
      <c r="W11" s="581"/>
      <c r="X11" s="581">
        <f>39592898/Y2</f>
        <v>395.92898000000002</v>
      </c>
    </row>
    <row r="12" spans="3:25">
      <c r="D12" s="53" t="s">
        <v>786</v>
      </c>
      <c r="E12" s="581">
        <f>16012176/Y2</f>
        <v>160.12175999999999</v>
      </c>
      <c r="F12" s="581"/>
      <c r="G12" s="581">
        <f>17150983/Y2</f>
        <v>171.50982999999999</v>
      </c>
      <c r="H12" s="581">
        <f>11333823/Y2</f>
        <v>113.33823</v>
      </c>
      <c r="I12" s="581"/>
      <c r="J12" s="581"/>
      <c r="K12" s="581"/>
      <c r="L12" s="581"/>
      <c r="M12" s="581"/>
      <c r="N12" s="581"/>
      <c r="O12" s="581"/>
      <c r="P12" s="581"/>
      <c r="Q12" s="581"/>
      <c r="R12" s="581"/>
      <c r="S12" s="581"/>
      <c r="T12" s="581"/>
      <c r="U12" s="581"/>
      <c r="V12" s="581"/>
      <c r="W12" s="581"/>
      <c r="X12" s="581">
        <f>14521335/Y2</f>
        <v>145.21334999999999</v>
      </c>
    </row>
    <row r="13" spans="3:25" ht="31.5">
      <c r="D13" s="54" t="s">
        <v>787</v>
      </c>
      <c r="E13" s="581"/>
      <c r="F13" s="581"/>
      <c r="G13" s="581"/>
      <c r="H13" s="581"/>
      <c r="I13" s="581"/>
      <c r="J13" s="581"/>
      <c r="K13" s="581"/>
      <c r="L13" s="581"/>
      <c r="M13" s="581"/>
      <c r="N13" s="581"/>
      <c r="O13" s="581"/>
      <c r="P13" s="581"/>
      <c r="Q13" s="581"/>
      <c r="R13" s="581"/>
      <c r="S13" s="581"/>
      <c r="T13" s="581"/>
      <c r="U13" s="581"/>
      <c r="V13" s="581"/>
      <c r="W13" s="581"/>
      <c r="X13" s="581"/>
    </row>
    <row r="14" spans="3:25">
      <c r="D14" s="582" t="s">
        <v>788</v>
      </c>
      <c r="E14" s="581">
        <f>-2389114/Y2</f>
        <v>-23.89114</v>
      </c>
      <c r="F14" s="581">
        <f>-1412935/Y2</f>
        <v>-14.129350000000001</v>
      </c>
      <c r="G14" s="581">
        <f>-4609415/Y2</f>
        <v>-46.094149999999999</v>
      </c>
      <c r="H14" s="581">
        <v>0</v>
      </c>
      <c r="I14" s="581"/>
      <c r="J14" s="581"/>
      <c r="K14" s="581"/>
      <c r="L14" s="581"/>
      <c r="M14" s="581"/>
      <c r="N14" s="581"/>
      <c r="O14" s="581"/>
      <c r="P14" s="581"/>
      <c r="Q14" s="581"/>
      <c r="R14" s="581"/>
      <c r="S14" s="581"/>
      <c r="T14" s="581"/>
      <c r="U14" s="581"/>
      <c r="V14" s="581"/>
      <c r="W14" s="581"/>
      <c r="X14" s="581"/>
    </row>
    <row r="15" spans="3:25" ht="31.5">
      <c r="D15" s="54" t="s">
        <v>789</v>
      </c>
      <c r="E15" s="581">
        <f>26109708/Y2</f>
        <v>261.09708000000001</v>
      </c>
      <c r="F15" s="581">
        <f>-6348209/Y2</f>
        <v>-63.482089999999999</v>
      </c>
      <c r="G15" s="581">
        <f>47188331/Y2</f>
        <v>471.88330999999999</v>
      </c>
      <c r="H15" s="581">
        <f>25889150/Y2</f>
        <v>258.89150000000001</v>
      </c>
      <c r="I15" s="581">
        <f>43724660/Y2</f>
        <v>437.2466</v>
      </c>
      <c r="J15" s="581"/>
      <c r="K15" s="581"/>
      <c r="L15" s="581"/>
      <c r="M15" s="581"/>
      <c r="N15" s="581"/>
      <c r="O15" s="581"/>
      <c r="P15" s="581"/>
      <c r="Q15" s="581"/>
      <c r="R15" s="581"/>
      <c r="S15" s="581"/>
      <c r="T15" s="581"/>
      <c r="U15" s="581"/>
      <c r="V15" s="581"/>
      <c r="W15" s="581"/>
      <c r="X15" s="581">
        <f>110621593/Y2</f>
        <v>1106.2159300000001</v>
      </c>
    </row>
    <row r="16" spans="3:25" ht="31.5">
      <c r="D16" s="583" t="s">
        <v>790</v>
      </c>
      <c r="E16" s="584">
        <f>SUM(E9:E15)</f>
        <v>2353.0143399999997</v>
      </c>
      <c r="F16" s="584">
        <f t="shared" ref="F16:X16" si="0">SUM(F9:F15)</f>
        <v>2228.1220099999996</v>
      </c>
      <c r="G16" s="584">
        <f t="shared" si="0"/>
        <v>14091.121569999999</v>
      </c>
      <c r="H16" s="584">
        <f t="shared" si="0"/>
        <v>1815.54682</v>
      </c>
      <c r="I16" s="584">
        <f t="shared" si="0"/>
        <v>1955.6595</v>
      </c>
      <c r="J16" s="584">
        <f t="shared" si="0"/>
        <v>0</v>
      </c>
      <c r="K16" s="584">
        <f t="shared" si="0"/>
        <v>0</v>
      </c>
      <c r="L16" s="584">
        <f t="shared" si="0"/>
        <v>0</v>
      </c>
      <c r="M16" s="584">
        <f t="shared" si="0"/>
        <v>0</v>
      </c>
      <c r="N16" s="584">
        <f t="shared" si="0"/>
        <v>0</v>
      </c>
      <c r="O16" s="584">
        <f t="shared" si="0"/>
        <v>0</v>
      </c>
      <c r="P16" s="584">
        <f t="shared" si="0"/>
        <v>0</v>
      </c>
      <c r="Q16" s="584">
        <f t="shared" si="0"/>
        <v>0</v>
      </c>
      <c r="R16" s="584">
        <f t="shared" si="0"/>
        <v>0</v>
      </c>
      <c r="S16" s="584">
        <f t="shared" si="0"/>
        <v>0</v>
      </c>
      <c r="T16" s="584">
        <f t="shared" si="0"/>
        <v>0</v>
      </c>
      <c r="U16" s="584">
        <f t="shared" si="0"/>
        <v>0</v>
      </c>
      <c r="V16" s="584">
        <f t="shared" si="0"/>
        <v>0</v>
      </c>
      <c r="W16" s="584">
        <f t="shared" si="0"/>
        <v>0</v>
      </c>
      <c r="X16" s="584">
        <f t="shared" si="0"/>
        <v>12522.60678</v>
      </c>
    </row>
    <row r="17" spans="4:24">
      <c r="D17" s="9"/>
      <c r="E17" s="575"/>
      <c r="F17" s="576"/>
      <c r="G17" s="577"/>
      <c r="H17" s="577"/>
      <c r="I17" s="576"/>
      <c r="J17" s="578"/>
      <c r="K17" s="578"/>
      <c r="L17" s="578"/>
      <c r="M17" s="578"/>
      <c r="N17" s="578"/>
      <c r="O17" s="578"/>
      <c r="P17" s="578"/>
      <c r="Q17" s="578"/>
      <c r="R17" s="578"/>
      <c r="S17" s="578"/>
      <c r="T17" s="578"/>
      <c r="U17" s="578"/>
      <c r="V17" s="578"/>
      <c r="W17" s="578"/>
      <c r="X17" s="9"/>
    </row>
    <row r="19" spans="4:24">
      <c r="D19" s="855" t="s">
        <v>791</v>
      </c>
      <c r="E19" s="855"/>
      <c r="F19" s="855"/>
      <c r="G19" s="855"/>
      <c r="H19" s="855"/>
      <c r="I19" s="855"/>
      <c r="J19" s="534"/>
      <c r="K19" s="534"/>
      <c r="L19" s="534"/>
      <c r="M19" s="534"/>
      <c r="N19" s="534"/>
      <c r="O19" s="534"/>
      <c r="P19" s="534"/>
      <c r="Q19" s="534"/>
      <c r="R19" s="534"/>
      <c r="S19" s="534"/>
      <c r="T19" s="534"/>
      <c r="U19" s="534"/>
      <c r="V19" s="534"/>
      <c r="W19" s="534"/>
      <c r="X19" s="579" t="s">
        <v>776</v>
      </c>
    </row>
    <row r="20" spans="4:24" ht="63">
      <c r="D20" s="561" t="s">
        <v>3</v>
      </c>
      <c r="E20" s="561" t="s">
        <v>777</v>
      </c>
      <c r="F20" s="561" t="s">
        <v>778</v>
      </c>
      <c r="G20" s="561" t="s">
        <v>779</v>
      </c>
      <c r="H20" s="561" t="s">
        <v>780</v>
      </c>
      <c r="I20" s="561" t="s">
        <v>781</v>
      </c>
      <c r="J20" s="580"/>
      <c r="K20" s="580"/>
      <c r="L20" s="580"/>
      <c r="M20" s="580"/>
      <c r="N20" s="580"/>
      <c r="O20" s="580"/>
      <c r="P20" s="580"/>
      <c r="Q20" s="580"/>
      <c r="R20" s="580"/>
      <c r="S20" s="580"/>
      <c r="T20" s="580"/>
      <c r="U20" s="580"/>
      <c r="V20" s="580"/>
      <c r="W20" s="580"/>
      <c r="X20" s="561" t="s">
        <v>782</v>
      </c>
    </row>
    <row r="21" spans="4:24" ht="31.5">
      <c r="D21" s="585" t="s">
        <v>792</v>
      </c>
      <c r="E21" s="586">
        <f>92983195/Y2</f>
        <v>929.83195000000001</v>
      </c>
      <c r="F21" s="586">
        <f>276466394/Y2</f>
        <v>2764.6639399999999</v>
      </c>
      <c r="G21" s="586">
        <f>209760795/Y2</f>
        <v>2097.6079500000001</v>
      </c>
      <c r="H21" s="586">
        <f>70752628/Y2</f>
        <v>707.52628000000004</v>
      </c>
      <c r="I21" s="586">
        <f>207296490/Y2</f>
        <v>2072.9648999999999</v>
      </c>
      <c r="J21" s="586"/>
      <c r="K21" s="586"/>
      <c r="L21" s="586"/>
      <c r="M21" s="586"/>
      <c r="N21" s="586"/>
      <c r="O21" s="586"/>
      <c r="P21" s="586"/>
      <c r="Q21" s="586"/>
      <c r="R21" s="586"/>
      <c r="S21" s="586"/>
      <c r="T21" s="586"/>
      <c r="U21" s="586"/>
      <c r="V21" s="586"/>
      <c r="W21" s="586"/>
      <c r="X21" s="586">
        <f>158731593/Y2</f>
        <v>1587.31593</v>
      </c>
    </row>
    <row r="22" spans="4:24">
      <c r="D22" s="585" t="s">
        <v>793</v>
      </c>
      <c r="E22" s="586">
        <v>0</v>
      </c>
      <c r="F22" s="586"/>
      <c r="G22" s="586"/>
      <c r="H22" s="586">
        <v>0</v>
      </c>
      <c r="I22" s="586"/>
      <c r="J22" s="587"/>
      <c r="K22" s="587"/>
      <c r="L22" s="587"/>
      <c r="M22" s="587"/>
      <c r="N22" s="587"/>
      <c r="O22" s="587"/>
      <c r="P22" s="587"/>
      <c r="Q22" s="587"/>
      <c r="R22" s="587"/>
      <c r="S22" s="587"/>
      <c r="T22" s="587"/>
      <c r="U22" s="587"/>
      <c r="V22" s="587"/>
      <c r="W22" s="587"/>
      <c r="X22" s="586">
        <v>0</v>
      </c>
    </row>
    <row r="23" spans="4:24">
      <c r="D23" s="585" t="s">
        <v>794</v>
      </c>
      <c r="E23" s="586">
        <f>50969024/Y2</f>
        <v>509.69024000000002</v>
      </c>
      <c r="F23" s="586">
        <f>45711449/Y2</f>
        <v>457.11448999999999</v>
      </c>
      <c r="G23" s="586">
        <f>68775799/Y2</f>
        <v>687.75798999999995</v>
      </c>
      <c r="H23" s="586">
        <f>12446960/Y2</f>
        <v>124.4696</v>
      </c>
      <c r="I23" s="586">
        <f>39724800/Y2</f>
        <v>397.24799999999999</v>
      </c>
      <c r="J23" s="587"/>
      <c r="K23" s="587"/>
      <c r="L23" s="587"/>
      <c r="M23" s="587"/>
      <c r="N23" s="587"/>
      <c r="O23" s="587"/>
      <c r="P23" s="587"/>
      <c r="Q23" s="587"/>
      <c r="R23" s="587"/>
      <c r="S23" s="587"/>
      <c r="T23" s="587"/>
      <c r="U23" s="587"/>
      <c r="V23" s="587"/>
      <c r="W23" s="587"/>
      <c r="X23" s="586">
        <f>28875735/Y2</f>
        <v>288.75734999999997</v>
      </c>
    </row>
    <row r="24" spans="4:24" ht="31.5">
      <c r="D24" s="585" t="s">
        <v>795</v>
      </c>
      <c r="E24" s="586">
        <f>9112124/Y2</f>
        <v>91.12124</v>
      </c>
      <c r="F24" s="586">
        <f>23202436/Y2</f>
        <v>232.02436</v>
      </c>
      <c r="G24" s="586">
        <f>18791278/Y2</f>
        <v>187.91278</v>
      </c>
      <c r="H24" s="586">
        <f>3305705/Y2</f>
        <v>33.057049999999997</v>
      </c>
      <c r="I24" s="586">
        <f>15586784/Y2</f>
        <v>155.86784</v>
      </c>
      <c r="J24" s="587"/>
      <c r="K24" s="587"/>
      <c r="L24" s="587"/>
      <c r="M24" s="587"/>
      <c r="N24" s="587"/>
      <c r="O24" s="587"/>
      <c r="P24" s="587"/>
      <c r="Q24" s="587"/>
      <c r="R24" s="587"/>
      <c r="S24" s="587"/>
      <c r="T24" s="587"/>
      <c r="U24" s="587"/>
      <c r="V24" s="587"/>
      <c r="W24" s="587"/>
      <c r="X24" s="586">
        <f>2592514/Y2</f>
        <v>25.925139999999999</v>
      </c>
    </row>
    <row r="25" spans="4:24" ht="31.5">
      <c r="D25" s="585" t="s">
        <v>796</v>
      </c>
      <c r="E25" s="586"/>
      <c r="F25" s="586"/>
      <c r="G25" s="586"/>
      <c r="H25" s="586"/>
      <c r="I25" s="586"/>
      <c r="J25" s="587"/>
      <c r="K25" s="587"/>
      <c r="L25" s="587"/>
      <c r="M25" s="587"/>
      <c r="N25" s="587"/>
      <c r="O25" s="587"/>
      <c r="P25" s="587"/>
      <c r="Q25" s="587"/>
      <c r="R25" s="587"/>
      <c r="S25" s="587"/>
      <c r="T25" s="587"/>
      <c r="U25" s="587"/>
      <c r="V25" s="587"/>
      <c r="W25" s="587"/>
      <c r="X25" s="586"/>
    </row>
    <row r="26" spans="4:24" ht="31.5">
      <c r="D26" s="585" t="s">
        <v>797</v>
      </c>
      <c r="E26" s="586"/>
      <c r="F26" s="586"/>
      <c r="G26" s="586"/>
      <c r="H26" s="586"/>
      <c r="I26" s="586"/>
      <c r="J26" s="587"/>
      <c r="K26" s="587"/>
      <c r="L26" s="587"/>
      <c r="M26" s="587"/>
      <c r="N26" s="587"/>
      <c r="O26" s="587"/>
      <c r="P26" s="587"/>
      <c r="Q26" s="587"/>
      <c r="R26" s="587"/>
      <c r="S26" s="587"/>
      <c r="T26" s="587"/>
      <c r="U26" s="587"/>
      <c r="V26" s="587"/>
      <c r="W26" s="587"/>
      <c r="X26" s="586"/>
    </row>
    <row r="27" spans="4:24">
      <c r="D27" s="585" t="s">
        <v>798</v>
      </c>
      <c r="E27" s="586"/>
      <c r="F27" s="586"/>
      <c r="G27" s="586"/>
      <c r="H27" s="586"/>
      <c r="I27" s="586"/>
      <c r="J27" s="587"/>
      <c r="K27" s="587"/>
      <c r="L27" s="587"/>
      <c r="M27" s="587"/>
      <c r="N27" s="587"/>
      <c r="O27" s="587"/>
      <c r="P27" s="587"/>
      <c r="Q27" s="587"/>
      <c r="R27" s="587"/>
      <c r="S27" s="587"/>
      <c r="T27" s="587"/>
      <c r="U27" s="587"/>
      <c r="V27" s="587"/>
      <c r="W27" s="587"/>
      <c r="X27" s="586"/>
    </row>
    <row r="28" spans="4:24">
      <c r="D28" s="585" t="s">
        <v>799</v>
      </c>
      <c r="E28" s="586"/>
      <c r="F28" s="586"/>
      <c r="G28" s="586"/>
      <c r="H28" s="586"/>
      <c r="I28" s="586"/>
      <c r="J28" s="587"/>
      <c r="K28" s="587"/>
      <c r="L28" s="587"/>
      <c r="M28" s="587"/>
      <c r="N28" s="587"/>
      <c r="O28" s="587"/>
      <c r="P28" s="587"/>
      <c r="Q28" s="587"/>
      <c r="R28" s="587"/>
      <c r="S28" s="587"/>
      <c r="T28" s="587"/>
      <c r="U28" s="587"/>
      <c r="V28" s="587"/>
      <c r="W28" s="587"/>
      <c r="X28" s="586"/>
    </row>
    <row r="29" spans="4:24" ht="31.5">
      <c r="D29" s="588" t="s">
        <v>800</v>
      </c>
      <c r="E29" s="586">
        <v>0</v>
      </c>
      <c r="F29" s="586"/>
      <c r="G29" s="586"/>
      <c r="H29" s="586">
        <v>0</v>
      </c>
      <c r="I29" s="586"/>
      <c r="J29" s="581"/>
      <c r="K29" s="581"/>
      <c r="L29" s="581"/>
      <c r="M29" s="581"/>
      <c r="N29" s="581"/>
      <c r="O29" s="581"/>
      <c r="P29" s="581"/>
      <c r="Q29" s="581"/>
      <c r="R29" s="581"/>
      <c r="S29" s="581"/>
      <c r="T29" s="581"/>
      <c r="U29" s="581"/>
      <c r="V29" s="581"/>
      <c r="W29" s="581"/>
      <c r="X29" s="586"/>
    </row>
    <row r="30" spans="4:24">
      <c r="D30" s="236" t="s">
        <v>801</v>
      </c>
      <c r="E30" s="581">
        <f>-2389114/Y2</f>
        <v>-23.89114</v>
      </c>
      <c r="F30" s="581">
        <f>-1412935/Y2</f>
        <v>-14.129350000000001</v>
      </c>
      <c r="G30" s="581">
        <f>-4609415/Y2</f>
        <v>-46.094149999999999</v>
      </c>
      <c r="H30" s="586">
        <v>0</v>
      </c>
      <c r="I30" s="586"/>
      <c r="J30" s="581"/>
      <c r="K30" s="581"/>
      <c r="L30" s="581"/>
      <c r="M30" s="581"/>
      <c r="N30" s="581"/>
      <c r="O30" s="581"/>
      <c r="P30" s="581"/>
      <c r="Q30" s="581"/>
      <c r="R30" s="581"/>
      <c r="S30" s="581"/>
      <c r="T30" s="581"/>
      <c r="U30" s="581"/>
      <c r="V30" s="581"/>
      <c r="W30" s="581"/>
      <c r="X30" s="586"/>
    </row>
    <row r="31" spans="4:24">
      <c r="D31" s="236" t="s">
        <v>802</v>
      </c>
      <c r="E31" s="586"/>
      <c r="F31" s="586"/>
      <c r="G31" s="586"/>
      <c r="H31" s="586"/>
      <c r="I31" s="586"/>
      <c r="J31" s="581"/>
      <c r="K31" s="581"/>
      <c r="L31" s="581"/>
      <c r="M31" s="581"/>
      <c r="N31" s="581"/>
      <c r="O31" s="581"/>
      <c r="P31" s="581"/>
      <c r="Q31" s="581"/>
      <c r="R31" s="581"/>
      <c r="S31" s="581"/>
      <c r="T31" s="581"/>
      <c r="U31" s="581"/>
      <c r="V31" s="581"/>
      <c r="W31" s="581"/>
      <c r="X31" s="586"/>
    </row>
    <row r="32" spans="4:24" ht="31.5">
      <c r="D32" s="589" t="s">
        <v>803</v>
      </c>
      <c r="E32" s="586"/>
      <c r="F32" s="586"/>
      <c r="G32" s="586"/>
      <c r="H32" s="586"/>
      <c r="I32" s="586"/>
      <c r="J32" s="581"/>
      <c r="K32" s="581"/>
      <c r="L32" s="581"/>
      <c r="M32" s="581"/>
      <c r="N32" s="581"/>
      <c r="O32" s="581"/>
      <c r="P32" s="581"/>
      <c r="Q32" s="581"/>
      <c r="R32" s="581"/>
      <c r="S32" s="581"/>
      <c r="T32" s="581"/>
      <c r="U32" s="581"/>
      <c r="V32" s="581"/>
      <c r="W32" s="581"/>
      <c r="X32" s="586"/>
    </row>
    <row r="33" spans="3:24" ht="31.5">
      <c r="D33" s="589" t="s">
        <v>804</v>
      </c>
      <c r="E33" s="586"/>
      <c r="F33" s="586"/>
      <c r="G33" s="586"/>
      <c r="H33" s="586"/>
      <c r="I33" s="586"/>
      <c r="J33" s="581"/>
      <c r="K33" s="581"/>
      <c r="L33" s="581"/>
      <c r="M33" s="581"/>
      <c r="N33" s="581"/>
      <c r="O33" s="581"/>
      <c r="P33" s="581"/>
      <c r="Q33" s="581"/>
      <c r="R33" s="581"/>
      <c r="S33" s="581"/>
      <c r="T33" s="581"/>
      <c r="U33" s="581"/>
      <c r="V33" s="581"/>
      <c r="W33" s="581"/>
      <c r="X33" s="586"/>
    </row>
    <row r="34" spans="3:24" ht="31.5">
      <c r="D34" s="589" t="s">
        <v>805</v>
      </c>
      <c r="E34" s="586"/>
      <c r="F34" s="586"/>
      <c r="G34" s="586"/>
      <c r="H34" s="586"/>
      <c r="I34" s="586"/>
      <c r="J34" s="581"/>
      <c r="K34" s="581"/>
      <c r="L34" s="581"/>
      <c r="M34" s="581"/>
      <c r="N34" s="581"/>
      <c r="O34" s="581"/>
      <c r="P34" s="581"/>
      <c r="Q34" s="581"/>
      <c r="R34" s="581"/>
      <c r="S34" s="581"/>
      <c r="T34" s="581"/>
      <c r="U34" s="581"/>
      <c r="V34" s="581"/>
      <c r="W34" s="581"/>
      <c r="X34" s="586"/>
    </row>
    <row r="35" spans="3:24">
      <c r="D35" s="589" t="s">
        <v>806</v>
      </c>
      <c r="E35" s="581">
        <f>5159925/Y2</f>
        <v>51.599249999999998</v>
      </c>
      <c r="F35" s="586">
        <f>12651570/Y2</f>
        <v>126.5157</v>
      </c>
      <c r="G35" s="586">
        <f>12191771/Y2</f>
        <v>121.91771</v>
      </c>
      <c r="H35" s="586">
        <f>6477902/Y2</f>
        <v>64.779020000000003</v>
      </c>
      <c r="I35" s="581">
        <f>13858320/Y2</f>
        <v>138.58320000000001</v>
      </c>
      <c r="J35" s="581"/>
      <c r="K35" s="581"/>
      <c r="L35" s="581"/>
      <c r="M35" s="581"/>
      <c r="N35" s="581"/>
      <c r="O35" s="581"/>
      <c r="P35" s="581"/>
      <c r="Q35" s="581"/>
      <c r="R35" s="581"/>
      <c r="S35" s="581"/>
      <c r="T35" s="581"/>
      <c r="U35" s="581"/>
      <c r="V35" s="581"/>
      <c r="W35" s="581"/>
      <c r="X35" s="586">
        <f>19560953/Y2</f>
        <v>195.60953000000001</v>
      </c>
    </row>
    <row r="36" spans="3:24" ht="31.5">
      <c r="D36" s="589" t="s">
        <v>807</v>
      </c>
      <c r="E36" s="586">
        <f>155835154/Y2</f>
        <v>1558.3515400000001</v>
      </c>
      <c r="F36" s="586">
        <f>356618914/Y2</f>
        <v>3566.18914</v>
      </c>
      <c r="G36" s="586">
        <f>304910228/Y2</f>
        <v>3049.1022800000001</v>
      </c>
      <c r="H36" s="586">
        <f>92983195/Y2</f>
        <v>929.83195000000001</v>
      </c>
      <c r="I36" s="586">
        <f>276466394/Y2</f>
        <v>2764.6639399999999</v>
      </c>
      <c r="J36" s="581"/>
      <c r="K36" s="581"/>
      <c r="L36" s="581"/>
      <c r="M36" s="581"/>
      <c r="N36" s="581"/>
      <c r="O36" s="581"/>
      <c r="P36" s="581"/>
      <c r="Q36" s="581"/>
      <c r="R36" s="581"/>
      <c r="S36" s="581"/>
      <c r="T36" s="581"/>
      <c r="U36" s="581"/>
      <c r="V36" s="581"/>
      <c r="W36" s="581"/>
      <c r="X36" s="586">
        <f>209760795/Y2</f>
        <v>2097.6079500000001</v>
      </c>
    </row>
    <row r="37" spans="3:24">
      <c r="D37" s="590" t="s">
        <v>808</v>
      </c>
      <c r="E37" s="586">
        <f>+E35+E24</f>
        <v>142.72048999999998</v>
      </c>
      <c r="F37" s="586">
        <f>35854006/Y2</f>
        <v>358.54005999999998</v>
      </c>
      <c r="G37" s="586">
        <f>30983049/Y2</f>
        <v>309.83049</v>
      </c>
      <c r="H37" s="586">
        <f>+H35+H24</f>
        <v>97.836070000000007</v>
      </c>
      <c r="I37" s="586">
        <f>29445104/Y2</f>
        <v>294.45103999999998</v>
      </c>
      <c r="J37" s="581"/>
      <c r="K37" s="581"/>
      <c r="L37" s="581"/>
      <c r="M37" s="581"/>
      <c r="N37" s="581"/>
      <c r="O37" s="581"/>
      <c r="P37" s="581"/>
      <c r="Q37" s="581"/>
      <c r="R37" s="581"/>
      <c r="S37" s="581"/>
      <c r="T37" s="581"/>
      <c r="U37" s="581"/>
      <c r="V37" s="581"/>
      <c r="W37" s="581"/>
      <c r="X37" s="586">
        <f>22153467/Y2</f>
        <v>221.53467000000001</v>
      </c>
    </row>
    <row r="45" spans="3:24">
      <c r="C45" s="573"/>
      <c r="D45" s="573"/>
      <c r="E45" s="573"/>
      <c r="F45" s="573"/>
      <c r="G45" s="573"/>
    </row>
  </sheetData>
  <mergeCells count="4">
    <mergeCell ref="C2:X2"/>
    <mergeCell ref="C3:X3"/>
    <mergeCell ref="D5:X5"/>
    <mergeCell ref="D19:I19"/>
  </mergeCells>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B2:X41"/>
  <sheetViews>
    <sheetView showGridLines="0" view="pageBreakPreview" topLeftCell="A4" zoomScaleSheetLayoutView="100" workbookViewId="0">
      <selection activeCell="G44" sqref="G44"/>
    </sheetView>
  </sheetViews>
  <sheetFormatPr defaultRowHeight="15.75"/>
  <cols>
    <col min="1" max="1" width="4.5703125" style="533" customWidth="1"/>
    <col min="2" max="2" width="5.7109375" style="533" customWidth="1"/>
    <col min="3" max="3" width="31.140625" style="533" customWidth="1"/>
    <col min="4" max="4" width="20.140625" style="533" customWidth="1"/>
    <col min="5" max="6" width="19.85546875" style="533" customWidth="1"/>
    <col min="7" max="8" width="18.5703125" style="533" customWidth="1"/>
    <col min="9" max="9" width="18.85546875" style="533" hidden="1" customWidth="1"/>
    <col min="10" max="10" width="20.140625" style="533" hidden="1" customWidth="1"/>
    <col min="11" max="11" width="16.85546875" style="533" hidden="1" customWidth="1"/>
    <col min="12" max="12" width="25" style="533" hidden="1" customWidth="1"/>
    <col min="13" max="22" width="0" style="533" hidden="1" customWidth="1"/>
    <col min="23" max="23" width="17.7109375" style="533" customWidth="1"/>
    <col min="24" max="24" width="13.5703125" style="533" customWidth="1"/>
    <col min="25" max="255" width="9.140625" style="533"/>
    <col min="256" max="256" width="6.7109375" style="533" customWidth="1"/>
    <col min="257" max="257" width="95.7109375" style="533" customWidth="1"/>
    <col min="258" max="258" width="16.28515625" style="533" customWidth="1"/>
    <col min="259" max="259" width="12.140625" style="533" customWidth="1"/>
    <col min="260" max="260" width="15.7109375" style="533" customWidth="1"/>
    <col min="261" max="261" width="16.28515625" style="533" customWidth="1"/>
    <col min="262" max="262" width="16" style="533" customWidth="1"/>
    <col min="263" max="263" width="14.85546875" style="533" customWidth="1"/>
    <col min="264" max="264" width="12.7109375" style="533" bestFit="1" customWidth="1"/>
    <col min="265" max="265" width="11.85546875" style="533" customWidth="1"/>
    <col min="266" max="266" width="19.5703125" style="533" customWidth="1"/>
    <col min="267" max="511" width="9.140625" style="533"/>
    <col min="512" max="512" width="6.7109375" style="533" customWidth="1"/>
    <col min="513" max="513" width="95.7109375" style="533" customWidth="1"/>
    <col min="514" max="514" width="16.28515625" style="533" customWidth="1"/>
    <col min="515" max="515" width="12.140625" style="533" customWidth="1"/>
    <col min="516" max="516" width="15.7109375" style="533" customWidth="1"/>
    <col min="517" max="517" width="16.28515625" style="533" customWidth="1"/>
    <col min="518" max="518" width="16" style="533" customWidth="1"/>
    <col min="519" max="519" width="14.85546875" style="533" customWidth="1"/>
    <col min="520" max="520" width="12.7109375" style="533" bestFit="1" customWidth="1"/>
    <col min="521" max="521" width="11.85546875" style="533" customWidth="1"/>
    <col min="522" max="522" width="19.5703125" style="533" customWidth="1"/>
    <col min="523" max="767" width="9.140625" style="533"/>
    <col min="768" max="768" width="6.7109375" style="533" customWidth="1"/>
    <col min="769" max="769" width="95.7109375" style="533" customWidth="1"/>
    <col min="770" max="770" width="16.28515625" style="533" customWidth="1"/>
    <col min="771" max="771" width="12.140625" style="533" customWidth="1"/>
    <col min="772" max="772" width="15.7109375" style="533" customWidth="1"/>
    <col min="773" max="773" width="16.28515625" style="533" customWidth="1"/>
    <col min="774" max="774" width="16" style="533" customWidth="1"/>
    <col min="775" max="775" width="14.85546875" style="533" customWidth="1"/>
    <col min="776" max="776" width="12.7109375" style="533" bestFit="1" customWidth="1"/>
    <col min="777" max="777" width="11.85546875" style="533" customWidth="1"/>
    <col min="778" max="778" width="19.5703125" style="533" customWidth="1"/>
    <col min="779" max="1023" width="9.140625" style="533"/>
    <col min="1024" max="1024" width="6.7109375" style="533" customWidth="1"/>
    <col min="1025" max="1025" width="95.7109375" style="533" customWidth="1"/>
    <col min="1026" max="1026" width="16.28515625" style="533" customWidth="1"/>
    <col min="1027" max="1027" width="12.140625" style="533" customWidth="1"/>
    <col min="1028" max="1028" width="15.7109375" style="533" customWidth="1"/>
    <col min="1029" max="1029" width="16.28515625" style="533" customWidth="1"/>
    <col min="1030" max="1030" width="16" style="533" customWidth="1"/>
    <col min="1031" max="1031" width="14.85546875" style="533" customWidth="1"/>
    <col min="1032" max="1032" width="12.7109375" style="533" bestFit="1" customWidth="1"/>
    <col min="1033" max="1033" width="11.85546875" style="533" customWidth="1"/>
    <col min="1034" max="1034" width="19.5703125" style="533" customWidth="1"/>
    <col min="1035" max="1279" width="9.140625" style="533"/>
    <col min="1280" max="1280" width="6.7109375" style="533" customWidth="1"/>
    <col min="1281" max="1281" width="95.7109375" style="533" customWidth="1"/>
    <col min="1282" max="1282" width="16.28515625" style="533" customWidth="1"/>
    <col min="1283" max="1283" width="12.140625" style="533" customWidth="1"/>
    <col min="1284" max="1284" width="15.7109375" style="533" customWidth="1"/>
    <col min="1285" max="1285" width="16.28515625" style="533" customWidth="1"/>
    <col min="1286" max="1286" width="16" style="533" customWidth="1"/>
    <col min="1287" max="1287" width="14.85546875" style="533" customWidth="1"/>
    <col min="1288" max="1288" width="12.7109375" style="533" bestFit="1" customWidth="1"/>
    <col min="1289" max="1289" width="11.85546875" style="533" customWidth="1"/>
    <col min="1290" max="1290" width="19.5703125" style="533" customWidth="1"/>
    <col min="1291" max="1535" width="9.140625" style="533"/>
    <col min="1536" max="1536" width="6.7109375" style="533" customWidth="1"/>
    <col min="1537" max="1537" width="95.7109375" style="533" customWidth="1"/>
    <col min="1538" max="1538" width="16.28515625" style="533" customWidth="1"/>
    <col min="1539" max="1539" width="12.140625" style="533" customWidth="1"/>
    <col min="1540" max="1540" width="15.7109375" style="533" customWidth="1"/>
    <col min="1541" max="1541" width="16.28515625" style="533" customWidth="1"/>
    <col min="1542" max="1542" width="16" style="533" customWidth="1"/>
    <col min="1543" max="1543" width="14.85546875" style="533" customWidth="1"/>
    <col min="1544" max="1544" width="12.7109375" style="533" bestFit="1" customWidth="1"/>
    <col min="1545" max="1545" width="11.85546875" style="533" customWidth="1"/>
    <col min="1546" max="1546" width="19.5703125" style="533" customWidth="1"/>
    <col min="1547" max="1791" width="9.140625" style="533"/>
    <col min="1792" max="1792" width="6.7109375" style="533" customWidth="1"/>
    <col min="1793" max="1793" width="95.7109375" style="533" customWidth="1"/>
    <col min="1794" max="1794" width="16.28515625" style="533" customWidth="1"/>
    <col min="1795" max="1795" width="12.140625" style="533" customWidth="1"/>
    <col min="1796" max="1796" width="15.7109375" style="533" customWidth="1"/>
    <col min="1797" max="1797" width="16.28515625" style="533" customWidth="1"/>
    <col min="1798" max="1798" width="16" style="533" customWidth="1"/>
    <col min="1799" max="1799" width="14.85546875" style="533" customWidth="1"/>
    <col min="1800" max="1800" width="12.7109375" style="533" bestFit="1" customWidth="1"/>
    <col min="1801" max="1801" width="11.85546875" style="533" customWidth="1"/>
    <col min="1802" max="1802" width="19.5703125" style="533" customWidth="1"/>
    <col min="1803" max="2047" width="9.140625" style="533"/>
    <col min="2048" max="2048" width="6.7109375" style="533" customWidth="1"/>
    <col min="2049" max="2049" width="95.7109375" style="533" customWidth="1"/>
    <col min="2050" max="2050" width="16.28515625" style="533" customWidth="1"/>
    <col min="2051" max="2051" width="12.140625" style="533" customWidth="1"/>
    <col min="2052" max="2052" width="15.7109375" style="533" customWidth="1"/>
    <col min="2053" max="2053" width="16.28515625" style="533" customWidth="1"/>
    <col min="2054" max="2054" width="16" style="533" customWidth="1"/>
    <col min="2055" max="2055" width="14.85546875" style="533" customWidth="1"/>
    <col min="2056" max="2056" width="12.7109375" style="533" bestFit="1" customWidth="1"/>
    <col min="2057" max="2057" width="11.85546875" style="533" customWidth="1"/>
    <col min="2058" max="2058" width="19.5703125" style="533" customWidth="1"/>
    <col min="2059" max="2303" width="9.140625" style="533"/>
    <col min="2304" max="2304" width="6.7109375" style="533" customWidth="1"/>
    <col min="2305" max="2305" width="95.7109375" style="533" customWidth="1"/>
    <col min="2306" max="2306" width="16.28515625" style="533" customWidth="1"/>
    <col min="2307" max="2307" width="12.140625" style="533" customWidth="1"/>
    <col min="2308" max="2308" width="15.7109375" style="533" customWidth="1"/>
    <col min="2309" max="2309" width="16.28515625" style="533" customWidth="1"/>
    <col min="2310" max="2310" width="16" style="533" customWidth="1"/>
    <col min="2311" max="2311" width="14.85546875" style="533" customWidth="1"/>
    <col min="2312" max="2312" width="12.7109375" style="533" bestFit="1" customWidth="1"/>
    <col min="2313" max="2313" width="11.85546875" style="533" customWidth="1"/>
    <col min="2314" max="2314" width="19.5703125" style="533" customWidth="1"/>
    <col min="2315" max="2559" width="9.140625" style="533"/>
    <col min="2560" max="2560" width="6.7109375" style="533" customWidth="1"/>
    <col min="2561" max="2561" width="95.7109375" style="533" customWidth="1"/>
    <col min="2562" max="2562" width="16.28515625" style="533" customWidth="1"/>
    <col min="2563" max="2563" width="12.140625" style="533" customWidth="1"/>
    <col min="2564" max="2564" width="15.7109375" style="533" customWidth="1"/>
    <col min="2565" max="2565" width="16.28515625" style="533" customWidth="1"/>
    <col min="2566" max="2566" width="16" style="533" customWidth="1"/>
    <col min="2567" max="2567" width="14.85546875" style="533" customWidth="1"/>
    <col min="2568" max="2568" width="12.7109375" style="533" bestFit="1" customWidth="1"/>
    <col min="2569" max="2569" width="11.85546875" style="533" customWidth="1"/>
    <col min="2570" max="2570" width="19.5703125" style="533" customWidth="1"/>
    <col min="2571" max="2815" width="9.140625" style="533"/>
    <col min="2816" max="2816" width="6.7109375" style="533" customWidth="1"/>
    <col min="2817" max="2817" width="95.7109375" style="533" customWidth="1"/>
    <col min="2818" max="2818" width="16.28515625" style="533" customWidth="1"/>
    <col min="2819" max="2819" width="12.140625" style="533" customWidth="1"/>
    <col min="2820" max="2820" width="15.7109375" style="533" customWidth="1"/>
    <col min="2821" max="2821" width="16.28515625" style="533" customWidth="1"/>
    <col min="2822" max="2822" width="16" style="533" customWidth="1"/>
    <col min="2823" max="2823" width="14.85546875" style="533" customWidth="1"/>
    <col min="2824" max="2824" width="12.7109375" style="533" bestFit="1" customWidth="1"/>
    <col min="2825" max="2825" width="11.85546875" style="533" customWidth="1"/>
    <col min="2826" max="2826" width="19.5703125" style="533" customWidth="1"/>
    <col min="2827" max="3071" width="9.140625" style="533"/>
    <col min="3072" max="3072" width="6.7109375" style="533" customWidth="1"/>
    <col min="3073" max="3073" width="95.7109375" style="533" customWidth="1"/>
    <col min="3074" max="3074" width="16.28515625" style="533" customWidth="1"/>
    <col min="3075" max="3075" width="12.140625" style="533" customWidth="1"/>
    <col min="3076" max="3076" width="15.7109375" style="533" customWidth="1"/>
    <col min="3077" max="3077" width="16.28515625" style="533" customWidth="1"/>
    <col min="3078" max="3078" width="16" style="533" customWidth="1"/>
    <col min="3079" max="3079" width="14.85546875" style="533" customWidth="1"/>
    <col min="3080" max="3080" width="12.7109375" style="533" bestFit="1" customWidth="1"/>
    <col min="3081" max="3081" width="11.85546875" style="533" customWidth="1"/>
    <col min="3082" max="3082" width="19.5703125" style="533" customWidth="1"/>
    <col min="3083" max="3327" width="9.140625" style="533"/>
    <col min="3328" max="3328" width="6.7109375" style="533" customWidth="1"/>
    <col min="3329" max="3329" width="95.7109375" style="533" customWidth="1"/>
    <col min="3330" max="3330" width="16.28515625" style="533" customWidth="1"/>
    <col min="3331" max="3331" width="12.140625" style="533" customWidth="1"/>
    <col min="3332" max="3332" width="15.7109375" style="533" customWidth="1"/>
    <col min="3333" max="3333" width="16.28515625" style="533" customWidth="1"/>
    <col min="3334" max="3334" width="16" style="533" customWidth="1"/>
    <col min="3335" max="3335" width="14.85546875" style="533" customWidth="1"/>
    <col min="3336" max="3336" width="12.7109375" style="533" bestFit="1" customWidth="1"/>
    <col min="3337" max="3337" width="11.85546875" style="533" customWidth="1"/>
    <col min="3338" max="3338" width="19.5703125" style="533" customWidth="1"/>
    <col min="3339" max="3583" width="9.140625" style="533"/>
    <col min="3584" max="3584" width="6.7109375" style="533" customWidth="1"/>
    <col min="3585" max="3585" width="95.7109375" style="533" customWidth="1"/>
    <col min="3586" max="3586" width="16.28515625" style="533" customWidth="1"/>
    <col min="3587" max="3587" width="12.140625" style="533" customWidth="1"/>
    <col min="3588" max="3588" width="15.7109375" style="533" customWidth="1"/>
    <col min="3589" max="3589" width="16.28515625" style="533" customWidth="1"/>
    <col min="3590" max="3590" width="16" style="533" customWidth="1"/>
    <col min="3591" max="3591" width="14.85546875" style="533" customWidth="1"/>
    <col min="3592" max="3592" width="12.7109375" style="533" bestFit="1" customWidth="1"/>
    <col min="3593" max="3593" width="11.85546875" style="533" customWidth="1"/>
    <col min="3594" max="3594" width="19.5703125" style="533" customWidth="1"/>
    <col min="3595" max="3839" width="9.140625" style="533"/>
    <col min="3840" max="3840" width="6.7109375" style="533" customWidth="1"/>
    <col min="3841" max="3841" width="95.7109375" style="533" customWidth="1"/>
    <col min="3842" max="3842" width="16.28515625" style="533" customWidth="1"/>
    <col min="3843" max="3843" width="12.140625" style="533" customWidth="1"/>
    <col min="3844" max="3844" width="15.7109375" style="533" customWidth="1"/>
    <col min="3845" max="3845" width="16.28515625" style="533" customWidth="1"/>
    <col min="3846" max="3846" width="16" style="533" customWidth="1"/>
    <col min="3847" max="3847" width="14.85546875" style="533" customWidth="1"/>
    <col min="3848" max="3848" width="12.7109375" style="533" bestFit="1" customWidth="1"/>
    <col min="3849" max="3849" width="11.85546875" style="533" customWidth="1"/>
    <col min="3850" max="3850" width="19.5703125" style="533" customWidth="1"/>
    <col min="3851" max="4095" width="9.140625" style="533"/>
    <col min="4096" max="4096" width="6.7109375" style="533" customWidth="1"/>
    <col min="4097" max="4097" width="95.7109375" style="533" customWidth="1"/>
    <col min="4098" max="4098" width="16.28515625" style="533" customWidth="1"/>
    <col min="4099" max="4099" width="12.140625" style="533" customWidth="1"/>
    <col min="4100" max="4100" width="15.7109375" style="533" customWidth="1"/>
    <col min="4101" max="4101" width="16.28515625" style="533" customWidth="1"/>
    <col min="4102" max="4102" width="16" style="533" customWidth="1"/>
    <col min="4103" max="4103" width="14.85546875" style="533" customWidth="1"/>
    <col min="4104" max="4104" width="12.7109375" style="533" bestFit="1" customWidth="1"/>
    <col min="4105" max="4105" width="11.85546875" style="533" customWidth="1"/>
    <col min="4106" max="4106" width="19.5703125" style="533" customWidth="1"/>
    <col min="4107" max="4351" width="9.140625" style="533"/>
    <col min="4352" max="4352" width="6.7109375" style="533" customWidth="1"/>
    <col min="4353" max="4353" width="95.7109375" style="533" customWidth="1"/>
    <col min="4354" max="4354" width="16.28515625" style="533" customWidth="1"/>
    <col min="4355" max="4355" width="12.140625" style="533" customWidth="1"/>
    <col min="4356" max="4356" width="15.7109375" style="533" customWidth="1"/>
    <col min="4357" max="4357" width="16.28515625" style="533" customWidth="1"/>
    <col min="4358" max="4358" width="16" style="533" customWidth="1"/>
    <col min="4359" max="4359" width="14.85546875" style="533" customWidth="1"/>
    <col min="4360" max="4360" width="12.7109375" style="533" bestFit="1" customWidth="1"/>
    <col min="4361" max="4361" width="11.85546875" style="533" customWidth="1"/>
    <col min="4362" max="4362" width="19.5703125" style="533" customWidth="1"/>
    <col min="4363" max="4607" width="9.140625" style="533"/>
    <col min="4608" max="4608" width="6.7109375" style="533" customWidth="1"/>
    <col min="4609" max="4609" width="95.7109375" style="533" customWidth="1"/>
    <col min="4610" max="4610" width="16.28515625" style="533" customWidth="1"/>
    <col min="4611" max="4611" width="12.140625" style="533" customWidth="1"/>
    <col min="4612" max="4612" width="15.7109375" style="533" customWidth="1"/>
    <col min="4613" max="4613" width="16.28515625" style="533" customWidth="1"/>
    <col min="4614" max="4614" width="16" style="533" customWidth="1"/>
    <col min="4615" max="4615" width="14.85546875" style="533" customWidth="1"/>
    <col min="4616" max="4616" width="12.7109375" style="533" bestFit="1" customWidth="1"/>
    <col min="4617" max="4617" width="11.85546875" style="533" customWidth="1"/>
    <col min="4618" max="4618" width="19.5703125" style="533" customWidth="1"/>
    <col min="4619" max="4863" width="9.140625" style="533"/>
    <col min="4864" max="4864" width="6.7109375" style="533" customWidth="1"/>
    <col min="4865" max="4865" width="95.7109375" style="533" customWidth="1"/>
    <col min="4866" max="4866" width="16.28515625" style="533" customWidth="1"/>
    <col min="4867" max="4867" width="12.140625" style="533" customWidth="1"/>
    <col min="4868" max="4868" width="15.7109375" style="533" customWidth="1"/>
    <col min="4869" max="4869" width="16.28515625" style="533" customWidth="1"/>
    <col min="4870" max="4870" width="16" style="533" customWidth="1"/>
    <col min="4871" max="4871" width="14.85546875" style="533" customWidth="1"/>
    <col min="4872" max="4872" width="12.7109375" style="533" bestFit="1" customWidth="1"/>
    <col min="4873" max="4873" width="11.85546875" style="533" customWidth="1"/>
    <col min="4874" max="4874" width="19.5703125" style="533" customWidth="1"/>
    <col min="4875" max="5119" width="9.140625" style="533"/>
    <col min="5120" max="5120" width="6.7109375" style="533" customWidth="1"/>
    <col min="5121" max="5121" width="95.7109375" style="533" customWidth="1"/>
    <col min="5122" max="5122" width="16.28515625" style="533" customWidth="1"/>
    <col min="5123" max="5123" width="12.140625" style="533" customWidth="1"/>
    <col min="5124" max="5124" width="15.7109375" style="533" customWidth="1"/>
    <col min="5125" max="5125" width="16.28515625" style="533" customWidth="1"/>
    <col min="5126" max="5126" width="16" style="533" customWidth="1"/>
    <col min="5127" max="5127" width="14.85546875" style="533" customWidth="1"/>
    <col min="5128" max="5128" width="12.7109375" style="533" bestFit="1" customWidth="1"/>
    <col min="5129" max="5129" width="11.85546875" style="533" customWidth="1"/>
    <col min="5130" max="5130" width="19.5703125" style="533" customWidth="1"/>
    <col min="5131" max="5375" width="9.140625" style="533"/>
    <col min="5376" max="5376" width="6.7109375" style="533" customWidth="1"/>
    <col min="5377" max="5377" width="95.7109375" style="533" customWidth="1"/>
    <col min="5378" max="5378" width="16.28515625" style="533" customWidth="1"/>
    <col min="5379" max="5379" width="12.140625" style="533" customWidth="1"/>
    <col min="5380" max="5380" width="15.7109375" style="533" customWidth="1"/>
    <col min="5381" max="5381" width="16.28515625" style="533" customWidth="1"/>
    <col min="5382" max="5382" width="16" style="533" customWidth="1"/>
    <col min="5383" max="5383" width="14.85546875" style="533" customWidth="1"/>
    <col min="5384" max="5384" width="12.7109375" style="533" bestFit="1" customWidth="1"/>
    <col min="5385" max="5385" width="11.85546875" style="533" customWidth="1"/>
    <col min="5386" max="5386" width="19.5703125" style="533" customWidth="1"/>
    <col min="5387" max="5631" width="9.140625" style="533"/>
    <col min="5632" max="5632" width="6.7109375" style="533" customWidth="1"/>
    <col min="5633" max="5633" width="95.7109375" style="533" customWidth="1"/>
    <col min="5634" max="5634" width="16.28515625" style="533" customWidth="1"/>
    <col min="5635" max="5635" width="12.140625" style="533" customWidth="1"/>
    <col min="5636" max="5636" width="15.7109375" style="533" customWidth="1"/>
    <col min="5637" max="5637" width="16.28515625" style="533" customWidth="1"/>
    <col min="5638" max="5638" width="16" style="533" customWidth="1"/>
    <col min="5639" max="5639" width="14.85546875" style="533" customWidth="1"/>
    <col min="5640" max="5640" width="12.7109375" style="533" bestFit="1" customWidth="1"/>
    <col min="5641" max="5641" width="11.85546875" style="533" customWidth="1"/>
    <col min="5642" max="5642" width="19.5703125" style="533" customWidth="1"/>
    <col min="5643" max="5887" width="9.140625" style="533"/>
    <col min="5888" max="5888" width="6.7109375" style="533" customWidth="1"/>
    <col min="5889" max="5889" width="95.7109375" style="533" customWidth="1"/>
    <col min="5890" max="5890" width="16.28515625" style="533" customWidth="1"/>
    <col min="5891" max="5891" width="12.140625" style="533" customWidth="1"/>
    <col min="5892" max="5892" width="15.7109375" style="533" customWidth="1"/>
    <col min="5893" max="5893" width="16.28515625" style="533" customWidth="1"/>
    <col min="5894" max="5894" width="16" style="533" customWidth="1"/>
    <col min="5895" max="5895" width="14.85546875" style="533" customWidth="1"/>
    <col min="5896" max="5896" width="12.7109375" style="533" bestFit="1" customWidth="1"/>
    <col min="5897" max="5897" width="11.85546875" style="533" customWidth="1"/>
    <col min="5898" max="5898" width="19.5703125" style="533" customWidth="1"/>
    <col min="5899" max="6143" width="9.140625" style="533"/>
    <col min="6144" max="6144" width="6.7109375" style="533" customWidth="1"/>
    <col min="6145" max="6145" width="95.7109375" style="533" customWidth="1"/>
    <col min="6146" max="6146" width="16.28515625" style="533" customWidth="1"/>
    <col min="6147" max="6147" width="12.140625" style="533" customWidth="1"/>
    <col min="6148" max="6148" width="15.7109375" style="533" customWidth="1"/>
    <col min="6149" max="6149" width="16.28515625" style="533" customWidth="1"/>
    <col min="6150" max="6150" width="16" style="533" customWidth="1"/>
    <col min="6151" max="6151" width="14.85546875" style="533" customWidth="1"/>
    <col min="6152" max="6152" width="12.7109375" style="533" bestFit="1" customWidth="1"/>
    <col min="6153" max="6153" width="11.85546875" style="533" customWidth="1"/>
    <col min="6154" max="6154" width="19.5703125" style="533" customWidth="1"/>
    <col min="6155" max="6399" width="9.140625" style="533"/>
    <col min="6400" max="6400" width="6.7109375" style="533" customWidth="1"/>
    <col min="6401" max="6401" width="95.7109375" style="533" customWidth="1"/>
    <col min="6402" max="6402" width="16.28515625" style="533" customWidth="1"/>
    <col min="6403" max="6403" width="12.140625" style="533" customWidth="1"/>
    <col min="6404" max="6404" width="15.7109375" style="533" customWidth="1"/>
    <col min="6405" max="6405" width="16.28515625" style="533" customWidth="1"/>
    <col min="6406" max="6406" width="16" style="533" customWidth="1"/>
    <col min="6407" max="6407" width="14.85546875" style="533" customWidth="1"/>
    <col min="6408" max="6408" width="12.7109375" style="533" bestFit="1" customWidth="1"/>
    <col min="6409" max="6409" width="11.85546875" style="533" customWidth="1"/>
    <col min="6410" max="6410" width="19.5703125" style="533" customWidth="1"/>
    <col min="6411" max="6655" width="9.140625" style="533"/>
    <col min="6656" max="6656" width="6.7109375" style="533" customWidth="1"/>
    <col min="6657" max="6657" width="95.7109375" style="533" customWidth="1"/>
    <col min="6658" max="6658" width="16.28515625" style="533" customWidth="1"/>
    <col min="6659" max="6659" width="12.140625" style="533" customWidth="1"/>
    <col min="6660" max="6660" width="15.7109375" style="533" customWidth="1"/>
    <col min="6661" max="6661" width="16.28515625" style="533" customWidth="1"/>
    <col min="6662" max="6662" width="16" style="533" customWidth="1"/>
    <col min="6663" max="6663" width="14.85546875" style="533" customWidth="1"/>
    <col min="6664" max="6664" width="12.7109375" style="533" bestFit="1" customWidth="1"/>
    <col min="6665" max="6665" width="11.85546875" style="533" customWidth="1"/>
    <col min="6666" max="6666" width="19.5703125" style="533" customWidth="1"/>
    <col min="6667" max="6911" width="9.140625" style="533"/>
    <col min="6912" max="6912" width="6.7109375" style="533" customWidth="1"/>
    <col min="6913" max="6913" width="95.7109375" style="533" customWidth="1"/>
    <col min="6914" max="6914" width="16.28515625" style="533" customWidth="1"/>
    <col min="6915" max="6915" width="12.140625" style="533" customWidth="1"/>
    <col min="6916" max="6916" width="15.7109375" style="533" customWidth="1"/>
    <col min="6917" max="6917" width="16.28515625" style="533" customWidth="1"/>
    <col min="6918" max="6918" width="16" style="533" customWidth="1"/>
    <col min="6919" max="6919" width="14.85546875" style="533" customWidth="1"/>
    <col min="6920" max="6920" width="12.7109375" style="533" bestFit="1" customWidth="1"/>
    <col min="6921" max="6921" width="11.85546875" style="533" customWidth="1"/>
    <col min="6922" max="6922" width="19.5703125" style="533" customWidth="1"/>
    <col min="6923" max="7167" width="9.140625" style="533"/>
    <col min="7168" max="7168" width="6.7109375" style="533" customWidth="1"/>
    <col min="7169" max="7169" width="95.7109375" style="533" customWidth="1"/>
    <col min="7170" max="7170" width="16.28515625" style="533" customWidth="1"/>
    <col min="7171" max="7171" width="12.140625" style="533" customWidth="1"/>
    <col min="7172" max="7172" width="15.7109375" style="533" customWidth="1"/>
    <col min="7173" max="7173" width="16.28515625" style="533" customWidth="1"/>
    <col min="7174" max="7174" width="16" style="533" customWidth="1"/>
    <col min="7175" max="7175" width="14.85546875" style="533" customWidth="1"/>
    <col min="7176" max="7176" width="12.7109375" style="533" bestFit="1" customWidth="1"/>
    <col min="7177" max="7177" width="11.85546875" style="533" customWidth="1"/>
    <col min="7178" max="7178" width="19.5703125" style="533" customWidth="1"/>
    <col min="7179" max="7423" width="9.140625" style="533"/>
    <col min="7424" max="7424" width="6.7109375" style="533" customWidth="1"/>
    <col min="7425" max="7425" width="95.7109375" style="533" customWidth="1"/>
    <col min="7426" max="7426" width="16.28515625" style="533" customWidth="1"/>
    <col min="7427" max="7427" width="12.140625" style="533" customWidth="1"/>
    <col min="7428" max="7428" width="15.7109375" style="533" customWidth="1"/>
    <col min="7429" max="7429" width="16.28515625" style="533" customWidth="1"/>
    <col min="7430" max="7430" width="16" style="533" customWidth="1"/>
    <col min="7431" max="7431" width="14.85546875" style="533" customWidth="1"/>
    <col min="7432" max="7432" width="12.7109375" style="533" bestFit="1" customWidth="1"/>
    <col min="7433" max="7433" width="11.85546875" style="533" customWidth="1"/>
    <col min="7434" max="7434" width="19.5703125" style="533" customWidth="1"/>
    <col min="7435" max="7679" width="9.140625" style="533"/>
    <col min="7680" max="7680" width="6.7109375" style="533" customWidth="1"/>
    <col min="7681" max="7681" width="95.7109375" style="533" customWidth="1"/>
    <col min="7682" max="7682" width="16.28515625" style="533" customWidth="1"/>
    <col min="7683" max="7683" width="12.140625" style="533" customWidth="1"/>
    <col min="7684" max="7684" width="15.7109375" style="533" customWidth="1"/>
    <col min="7685" max="7685" width="16.28515625" style="533" customWidth="1"/>
    <col min="7686" max="7686" width="16" style="533" customWidth="1"/>
    <col min="7687" max="7687" width="14.85546875" style="533" customWidth="1"/>
    <col min="7688" max="7688" width="12.7109375" style="533" bestFit="1" customWidth="1"/>
    <col min="7689" max="7689" width="11.85546875" style="533" customWidth="1"/>
    <col min="7690" max="7690" width="19.5703125" style="533" customWidth="1"/>
    <col min="7691" max="7935" width="9.140625" style="533"/>
    <col min="7936" max="7936" width="6.7109375" style="533" customWidth="1"/>
    <col min="7937" max="7937" width="95.7109375" style="533" customWidth="1"/>
    <col min="7938" max="7938" width="16.28515625" style="533" customWidth="1"/>
    <col min="7939" max="7939" width="12.140625" style="533" customWidth="1"/>
    <col min="7940" max="7940" width="15.7109375" style="533" customWidth="1"/>
    <col min="7941" max="7941" width="16.28515625" style="533" customWidth="1"/>
    <col min="7942" max="7942" width="16" style="533" customWidth="1"/>
    <col min="7943" max="7943" width="14.85546875" style="533" customWidth="1"/>
    <col min="7944" max="7944" width="12.7109375" style="533" bestFit="1" customWidth="1"/>
    <col min="7945" max="7945" width="11.85546875" style="533" customWidth="1"/>
    <col min="7946" max="7946" width="19.5703125" style="533" customWidth="1"/>
    <col min="7947" max="8191" width="9.140625" style="533"/>
    <col min="8192" max="8192" width="6.7109375" style="533" customWidth="1"/>
    <col min="8193" max="8193" width="95.7109375" style="533" customWidth="1"/>
    <col min="8194" max="8194" width="16.28515625" style="533" customWidth="1"/>
    <col min="8195" max="8195" width="12.140625" style="533" customWidth="1"/>
    <col min="8196" max="8196" width="15.7109375" style="533" customWidth="1"/>
    <col min="8197" max="8197" width="16.28515625" style="533" customWidth="1"/>
    <col min="8198" max="8198" width="16" style="533" customWidth="1"/>
    <col min="8199" max="8199" width="14.85546875" style="533" customWidth="1"/>
    <col min="8200" max="8200" width="12.7109375" style="533" bestFit="1" customWidth="1"/>
    <col min="8201" max="8201" width="11.85546875" style="533" customWidth="1"/>
    <col min="8202" max="8202" width="19.5703125" style="533" customWidth="1"/>
    <col min="8203" max="8447" width="9.140625" style="533"/>
    <col min="8448" max="8448" width="6.7109375" style="533" customWidth="1"/>
    <col min="8449" max="8449" width="95.7109375" style="533" customWidth="1"/>
    <col min="8450" max="8450" width="16.28515625" style="533" customWidth="1"/>
    <col min="8451" max="8451" width="12.140625" style="533" customWidth="1"/>
    <col min="8452" max="8452" width="15.7109375" style="533" customWidth="1"/>
    <col min="8453" max="8453" width="16.28515625" style="533" customWidth="1"/>
    <col min="8454" max="8454" width="16" style="533" customWidth="1"/>
    <col min="8455" max="8455" width="14.85546875" style="533" customWidth="1"/>
    <col min="8456" max="8456" width="12.7109375" style="533" bestFit="1" customWidth="1"/>
    <col min="8457" max="8457" width="11.85546875" style="533" customWidth="1"/>
    <col min="8458" max="8458" width="19.5703125" style="533" customWidth="1"/>
    <col min="8459" max="8703" width="9.140625" style="533"/>
    <col min="8704" max="8704" width="6.7109375" style="533" customWidth="1"/>
    <col min="8705" max="8705" width="95.7109375" style="533" customWidth="1"/>
    <col min="8706" max="8706" width="16.28515625" style="533" customWidth="1"/>
    <col min="8707" max="8707" width="12.140625" style="533" customWidth="1"/>
    <col min="8708" max="8708" width="15.7109375" style="533" customWidth="1"/>
    <col min="8709" max="8709" width="16.28515625" style="533" customWidth="1"/>
    <col min="8710" max="8710" width="16" style="533" customWidth="1"/>
    <col min="8711" max="8711" width="14.85546875" style="533" customWidth="1"/>
    <col min="8712" max="8712" width="12.7109375" style="533" bestFit="1" customWidth="1"/>
    <col min="8713" max="8713" width="11.85546875" style="533" customWidth="1"/>
    <col min="8714" max="8714" width="19.5703125" style="533" customWidth="1"/>
    <col min="8715" max="8959" width="9.140625" style="533"/>
    <col min="8960" max="8960" width="6.7109375" style="533" customWidth="1"/>
    <col min="8961" max="8961" width="95.7109375" style="533" customWidth="1"/>
    <col min="8962" max="8962" width="16.28515625" style="533" customWidth="1"/>
    <col min="8963" max="8963" width="12.140625" style="533" customWidth="1"/>
    <col min="8964" max="8964" width="15.7109375" style="533" customWidth="1"/>
    <col min="8965" max="8965" width="16.28515625" style="533" customWidth="1"/>
    <col min="8966" max="8966" width="16" style="533" customWidth="1"/>
    <col min="8967" max="8967" width="14.85546875" style="533" customWidth="1"/>
    <col min="8968" max="8968" width="12.7109375" style="533" bestFit="1" customWidth="1"/>
    <col min="8969" max="8969" width="11.85546875" style="533" customWidth="1"/>
    <col min="8970" max="8970" width="19.5703125" style="533" customWidth="1"/>
    <col min="8971" max="9215" width="9.140625" style="533"/>
    <col min="9216" max="9216" width="6.7109375" style="533" customWidth="1"/>
    <col min="9217" max="9217" width="95.7109375" style="533" customWidth="1"/>
    <col min="9218" max="9218" width="16.28515625" style="533" customWidth="1"/>
    <col min="9219" max="9219" width="12.140625" style="533" customWidth="1"/>
    <col min="9220" max="9220" width="15.7109375" style="533" customWidth="1"/>
    <col min="9221" max="9221" width="16.28515625" style="533" customWidth="1"/>
    <col min="9222" max="9222" width="16" style="533" customWidth="1"/>
    <col min="9223" max="9223" width="14.85546875" style="533" customWidth="1"/>
    <col min="9224" max="9224" width="12.7109375" style="533" bestFit="1" customWidth="1"/>
    <col min="9225" max="9225" width="11.85546875" style="533" customWidth="1"/>
    <col min="9226" max="9226" width="19.5703125" style="533" customWidth="1"/>
    <col min="9227" max="9471" width="9.140625" style="533"/>
    <col min="9472" max="9472" width="6.7109375" style="533" customWidth="1"/>
    <col min="9473" max="9473" width="95.7109375" style="533" customWidth="1"/>
    <col min="9474" max="9474" width="16.28515625" style="533" customWidth="1"/>
    <col min="9475" max="9475" width="12.140625" style="533" customWidth="1"/>
    <col min="9476" max="9476" width="15.7109375" style="533" customWidth="1"/>
    <col min="9477" max="9477" width="16.28515625" style="533" customWidth="1"/>
    <col min="9478" max="9478" width="16" style="533" customWidth="1"/>
    <col min="9479" max="9479" width="14.85546875" style="533" customWidth="1"/>
    <col min="9480" max="9480" width="12.7109375" style="533" bestFit="1" customWidth="1"/>
    <col min="9481" max="9481" width="11.85546875" style="533" customWidth="1"/>
    <col min="9482" max="9482" width="19.5703125" style="533" customWidth="1"/>
    <col min="9483" max="9727" width="9.140625" style="533"/>
    <col min="9728" max="9728" width="6.7109375" style="533" customWidth="1"/>
    <col min="9729" max="9729" width="95.7109375" style="533" customWidth="1"/>
    <col min="9730" max="9730" width="16.28515625" style="533" customWidth="1"/>
    <col min="9731" max="9731" width="12.140625" style="533" customWidth="1"/>
    <col min="9732" max="9732" width="15.7109375" style="533" customWidth="1"/>
    <col min="9733" max="9733" width="16.28515625" style="533" customWidth="1"/>
    <col min="9734" max="9734" width="16" style="533" customWidth="1"/>
    <col min="9735" max="9735" width="14.85546875" style="533" customWidth="1"/>
    <col min="9736" max="9736" width="12.7109375" style="533" bestFit="1" customWidth="1"/>
    <col min="9737" max="9737" width="11.85546875" style="533" customWidth="1"/>
    <col min="9738" max="9738" width="19.5703125" style="533" customWidth="1"/>
    <col min="9739" max="9983" width="9.140625" style="533"/>
    <col min="9984" max="9984" width="6.7109375" style="533" customWidth="1"/>
    <col min="9985" max="9985" width="95.7109375" style="533" customWidth="1"/>
    <col min="9986" max="9986" width="16.28515625" style="533" customWidth="1"/>
    <col min="9987" max="9987" width="12.140625" style="533" customWidth="1"/>
    <col min="9988" max="9988" width="15.7109375" style="533" customWidth="1"/>
    <col min="9989" max="9989" width="16.28515625" style="533" customWidth="1"/>
    <col min="9990" max="9990" width="16" style="533" customWidth="1"/>
    <col min="9991" max="9991" width="14.85546875" style="533" customWidth="1"/>
    <col min="9992" max="9992" width="12.7109375" style="533" bestFit="1" customWidth="1"/>
    <col min="9993" max="9993" width="11.85546875" style="533" customWidth="1"/>
    <col min="9994" max="9994" width="19.5703125" style="533" customWidth="1"/>
    <col min="9995" max="10239" width="9.140625" style="533"/>
    <col min="10240" max="10240" width="6.7109375" style="533" customWidth="1"/>
    <col min="10241" max="10241" width="95.7109375" style="533" customWidth="1"/>
    <col min="10242" max="10242" width="16.28515625" style="533" customWidth="1"/>
    <col min="10243" max="10243" width="12.140625" style="533" customWidth="1"/>
    <col min="10244" max="10244" width="15.7109375" style="533" customWidth="1"/>
    <col min="10245" max="10245" width="16.28515625" style="533" customWidth="1"/>
    <col min="10246" max="10246" width="16" style="533" customWidth="1"/>
    <col min="10247" max="10247" width="14.85546875" style="533" customWidth="1"/>
    <col min="10248" max="10248" width="12.7109375" style="533" bestFit="1" customWidth="1"/>
    <col min="10249" max="10249" width="11.85546875" style="533" customWidth="1"/>
    <col min="10250" max="10250" width="19.5703125" style="533" customWidth="1"/>
    <col min="10251" max="10495" width="9.140625" style="533"/>
    <col min="10496" max="10496" width="6.7109375" style="533" customWidth="1"/>
    <col min="10497" max="10497" width="95.7109375" style="533" customWidth="1"/>
    <col min="10498" max="10498" width="16.28515625" style="533" customWidth="1"/>
    <col min="10499" max="10499" width="12.140625" style="533" customWidth="1"/>
    <col min="10500" max="10500" width="15.7109375" style="533" customWidth="1"/>
    <col min="10501" max="10501" width="16.28515625" style="533" customWidth="1"/>
    <col min="10502" max="10502" width="16" style="533" customWidth="1"/>
    <col min="10503" max="10503" width="14.85546875" style="533" customWidth="1"/>
    <col min="10504" max="10504" width="12.7109375" style="533" bestFit="1" customWidth="1"/>
    <col min="10505" max="10505" width="11.85546875" style="533" customWidth="1"/>
    <col min="10506" max="10506" width="19.5703125" style="533" customWidth="1"/>
    <col min="10507" max="10751" width="9.140625" style="533"/>
    <col min="10752" max="10752" width="6.7109375" style="533" customWidth="1"/>
    <col min="10753" max="10753" width="95.7109375" style="533" customWidth="1"/>
    <col min="10754" max="10754" width="16.28515625" style="533" customWidth="1"/>
    <col min="10755" max="10755" width="12.140625" style="533" customWidth="1"/>
    <col min="10756" max="10756" width="15.7109375" style="533" customWidth="1"/>
    <col min="10757" max="10757" width="16.28515625" style="533" customWidth="1"/>
    <col min="10758" max="10758" width="16" style="533" customWidth="1"/>
    <col min="10759" max="10759" width="14.85546875" style="533" customWidth="1"/>
    <col min="10760" max="10760" width="12.7109375" style="533" bestFit="1" customWidth="1"/>
    <col min="10761" max="10761" width="11.85546875" style="533" customWidth="1"/>
    <col min="10762" max="10762" width="19.5703125" style="533" customWidth="1"/>
    <col min="10763" max="11007" width="9.140625" style="533"/>
    <col min="11008" max="11008" width="6.7109375" style="533" customWidth="1"/>
    <col min="11009" max="11009" width="95.7109375" style="533" customWidth="1"/>
    <col min="11010" max="11010" width="16.28515625" style="533" customWidth="1"/>
    <col min="11011" max="11011" width="12.140625" style="533" customWidth="1"/>
    <col min="11012" max="11012" width="15.7109375" style="533" customWidth="1"/>
    <col min="11013" max="11013" width="16.28515625" style="533" customWidth="1"/>
    <col min="11014" max="11014" width="16" style="533" customWidth="1"/>
    <col min="11015" max="11015" width="14.85546875" style="533" customWidth="1"/>
    <col min="11016" max="11016" width="12.7109375" style="533" bestFit="1" customWidth="1"/>
    <col min="11017" max="11017" width="11.85546875" style="533" customWidth="1"/>
    <col min="11018" max="11018" width="19.5703125" style="533" customWidth="1"/>
    <col min="11019" max="11263" width="9.140625" style="533"/>
    <col min="11264" max="11264" width="6.7109375" style="533" customWidth="1"/>
    <col min="11265" max="11265" width="95.7109375" style="533" customWidth="1"/>
    <col min="11266" max="11266" width="16.28515625" style="533" customWidth="1"/>
    <col min="11267" max="11267" width="12.140625" style="533" customWidth="1"/>
    <col min="11268" max="11268" width="15.7109375" style="533" customWidth="1"/>
    <col min="11269" max="11269" width="16.28515625" style="533" customWidth="1"/>
    <col min="11270" max="11270" width="16" style="533" customWidth="1"/>
    <col min="11271" max="11271" width="14.85546875" style="533" customWidth="1"/>
    <col min="11272" max="11272" width="12.7109375" style="533" bestFit="1" customWidth="1"/>
    <col min="11273" max="11273" width="11.85546875" style="533" customWidth="1"/>
    <col min="11274" max="11274" width="19.5703125" style="533" customWidth="1"/>
    <col min="11275" max="11519" width="9.140625" style="533"/>
    <col min="11520" max="11520" width="6.7109375" style="533" customWidth="1"/>
    <col min="11521" max="11521" width="95.7109375" style="533" customWidth="1"/>
    <col min="11522" max="11522" width="16.28515625" style="533" customWidth="1"/>
    <col min="11523" max="11523" width="12.140625" style="533" customWidth="1"/>
    <col min="11524" max="11524" width="15.7109375" style="533" customWidth="1"/>
    <col min="11525" max="11525" width="16.28515625" style="533" customWidth="1"/>
    <col min="11526" max="11526" width="16" style="533" customWidth="1"/>
    <col min="11527" max="11527" width="14.85546875" style="533" customWidth="1"/>
    <col min="11528" max="11528" width="12.7109375" style="533" bestFit="1" customWidth="1"/>
    <col min="11529" max="11529" width="11.85546875" style="533" customWidth="1"/>
    <col min="11530" max="11530" width="19.5703125" style="533" customWidth="1"/>
    <col min="11531" max="11775" width="9.140625" style="533"/>
    <col min="11776" max="11776" width="6.7109375" style="533" customWidth="1"/>
    <col min="11777" max="11777" width="95.7109375" style="533" customWidth="1"/>
    <col min="11778" max="11778" width="16.28515625" style="533" customWidth="1"/>
    <col min="11779" max="11779" width="12.140625" style="533" customWidth="1"/>
    <col min="11780" max="11780" width="15.7109375" style="533" customWidth="1"/>
    <col min="11781" max="11781" width="16.28515625" style="533" customWidth="1"/>
    <col min="11782" max="11782" width="16" style="533" customWidth="1"/>
    <col min="11783" max="11783" width="14.85546875" style="533" customWidth="1"/>
    <col min="11784" max="11784" width="12.7109375" style="533" bestFit="1" customWidth="1"/>
    <col min="11785" max="11785" width="11.85546875" style="533" customWidth="1"/>
    <col min="11786" max="11786" width="19.5703125" style="533" customWidth="1"/>
    <col min="11787" max="12031" width="9.140625" style="533"/>
    <col min="12032" max="12032" width="6.7109375" style="533" customWidth="1"/>
    <col min="12033" max="12033" width="95.7109375" style="533" customWidth="1"/>
    <col min="12034" max="12034" width="16.28515625" style="533" customWidth="1"/>
    <col min="12035" max="12035" width="12.140625" style="533" customWidth="1"/>
    <col min="12036" max="12036" width="15.7109375" style="533" customWidth="1"/>
    <col min="12037" max="12037" width="16.28515625" style="533" customWidth="1"/>
    <col min="12038" max="12038" width="16" style="533" customWidth="1"/>
    <col min="12039" max="12039" width="14.85546875" style="533" customWidth="1"/>
    <col min="12040" max="12040" width="12.7109375" style="533" bestFit="1" customWidth="1"/>
    <col min="12041" max="12041" width="11.85546875" style="533" customWidth="1"/>
    <col min="12042" max="12042" width="19.5703125" style="533" customWidth="1"/>
    <col min="12043" max="12287" width="9.140625" style="533"/>
    <col min="12288" max="12288" width="6.7109375" style="533" customWidth="1"/>
    <col min="12289" max="12289" width="95.7109375" style="533" customWidth="1"/>
    <col min="12290" max="12290" width="16.28515625" style="533" customWidth="1"/>
    <col min="12291" max="12291" width="12.140625" style="533" customWidth="1"/>
    <col min="12292" max="12292" width="15.7109375" style="533" customWidth="1"/>
    <col min="12293" max="12293" width="16.28515625" style="533" customWidth="1"/>
    <col min="12294" max="12294" width="16" style="533" customWidth="1"/>
    <col min="12295" max="12295" width="14.85546875" style="533" customWidth="1"/>
    <col min="12296" max="12296" width="12.7109375" style="533" bestFit="1" customWidth="1"/>
    <col min="12297" max="12297" width="11.85546875" style="533" customWidth="1"/>
    <col min="12298" max="12298" width="19.5703125" style="533" customWidth="1"/>
    <col min="12299" max="12543" width="9.140625" style="533"/>
    <col min="12544" max="12544" width="6.7109375" style="533" customWidth="1"/>
    <col min="12545" max="12545" width="95.7109375" style="533" customWidth="1"/>
    <col min="12546" max="12546" width="16.28515625" style="533" customWidth="1"/>
    <col min="12547" max="12547" width="12.140625" style="533" customWidth="1"/>
    <col min="12548" max="12548" width="15.7109375" style="533" customWidth="1"/>
    <col min="12549" max="12549" width="16.28515625" style="533" customWidth="1"/>
    <col min="12550" max="12550" width="16" style="533" customWidth="1"/>
    <col min="12551" max="12551" width="14.85546875" style="533" customWidth="1"/>
    <col min="12552" max="12552" width="12.7109375" style="533" bestFit="1" customWidth="1"/>
    <col min="12553" max="12553" width="11.85546875" style="533" customWidth="1"/>
    <col min="12554" max="12554" width="19.5703125" style="533" customWidth="1"/>
    <col min="12555" max="12799" width="9.140625" style="533"/>
    <col min="12800" max="12800" width="6.7109375" style="533" customWidth="1"/>
    <col min="12801" max="12801" width="95.7109375" style="533" customWidth="1"/>
    <col min="12802" max="12802" width="16.28515625" style="533" customWidth="1"/>
    <col min="12803" max="12803" width="12.140625" style="533" customWidth="1"/>
    <col min="12804" max="12804" width="15.7109375" style="533" customWidth="1"/>
    <col min="12805" max="12805" width="16.28515625" style="533" customWidth="1"/>
    <col min="12806" max="12806" width="16" style="533" customWidth="1"/>
    <col min="12807" max="12807" width="14.85546875" style="533" customWidth="1"/>
    <col min="12808" max="12808" width="12.7109375" style="533" bestFit="1" customWidth="1"/>
    <col min="12809" max="12809" width="11.85546875" style="533" customWidth="1"/>
    <col min="12810" max="12810" width="19.5703125" style="533" customWidth="1"/>
    <col min="12811" max="13055" width="9.140625" style="533"/>
    <col min="13056" max="13056" width="6.7109375" style="533" customWidth="1"/>
    <col min="13057" max="13057" width="95.7109375" style="533" customWidth="1"/>
    <col min="13058" max="13058" width="16.28515625" style="533" customWidth="1"/>
    <col min="13059" max="13059" width="12.140625" style="533" customWidth="1"/>
    <col min="13060" max="13060" width="15.7109375" style="533" customWidth="1"/>
    <col min="13061" max="13061" width="16.28515625" style="533" customWidth="1"/>
    <col min="13062" max="13062" width="16" style="533" customWidth="1"/>
    <col min="13063" max="13063" width="14.85546875" style="533" customWidth="1"/>
    <col min="13064" max="13064" width="12.7109375" style="533" bestFit="1" customWidth="1"/>
    <col min="13065" max="13065" width="11.85546875" style="533" customWidth="1"/>
    <col min="13066" max="13066" width="19.5703125" style="533" customWidth="1"/>
    <col min="13067" max="13311" width="9.140625" style="533"/>
    <col min="13312" max="13312" width="6.7109375" style="533" customWidth="1"/>
    <col min="13313" max="13313" width="95.7109375" style="533" customWidth="1"/>
    <col min="13314" max="13314" width="16.28515625" style="533" customWidth="1"/>
    <col min="13315" max="13315" width="12.140625" style="533" customWidth="1"/>
    <col min="13316" max="13316" width="15.7109375" style="533" customWidth="1"/>
    <col min="13317" max="13317" width="16.28515625" style="533" customWidth="1"/>
    <col min="13318" max="13318" width="16" style="533" customWidth="1"/>
    <col min="13319" max="13319" width="14.85546875" style="533" customWidth="1"/>
    <col min="13320" max="13320" width="12.7109375" style="533" bestFit="1" customWidth="1"/>
    <col min="13321" max="13321" width="11.85546875" style="533" customWidth="1"/>
    <col min="13322" max="13322" width="19.5703125" style="533" customWidth="1"/>
    <col min="13323" max="13567" width="9.140625" style="533"/>
    <col min="13568" max="13568" width="6.7109375" style="533" customWidth="1"/>
    <col min="13569" max="13569" width="95.7109375" style="533" customWidth="1"/>
    <col min="13570" max="13570" width="16.28515625" style="533" customWidth="1"/>
    <col min="13571" max="13571" width="12.140625" style="533" customWidth="1"/>
    <col min="13572" max="13572" width="15.7109375" style="533" customWidth="1"/>
    <col min="13573" max="13573" width="16.28515625" style="533" customWidth="1"/>
    <col min="13574" max="13574" width="16" style="533" customWidth="1"/>
    <col min="13575" max="13575" width="14.85546875" style="533" customWidth="1"/>
    <col min="13576" max="13576" width="12.7109375" style="533" bestFit="1" customWidth="1"/>
    <col min="13577" max="13577" width="11.85546875" style="533" customWidth="1"/>
    <col min="13578" max="13578" width="19.5703125" style="533" customWidth="1"/>
    <col min="13579" max="13823" width="9.140625" style="533"/>
    <col min="13824" max="13824" width="6.7109375" style="533" customWidth="1"/>
    <col min="13825" max="13825" width="95.7109375" style="533" customWidth="1"/>
    <col min="13826" max="13826" width="16.28515625" style="533" customWidth="1"/>
    <col min="13827" max="13827" width="12.140625" style="533" customWidth="1"/>
    <col min="13828" max="13828" width="15.7109375" style="533" customWidth="1"/>
    <col min="13829" max="13829" width="16.28515625" style="533" customWidth="1"/>
    <col min="13830" max="13830" width="16" style="533" customWidth="1"/>
    <col min="13831" max="13831" width="14.85546875" style="533" customWidth="1"/>
    <col min="13832" max="13832" width="12.7109375" style="533" bestFit="1" customWidth="1"/>
    <col min="13833" max="13833" width="11.85546875" style="533" customWidth="1"/>
    <col min="13834" max="13834" width="19.5703125" style="533" customWidth="1"/>
    <col min="13835" max="14079" width="9.140625" style="533"/>
    <col min="14080" max="14080" width="6.7109375" style="533" customWidth="1"/>
    <col min="14081" max="14081" width="95.7109375" style="533" customWidth="1"/>
    <col min="14082" max="14082" width="16.28515625" style="533" customWidth="1"/>
    <col min="14083" max="14083" width="12.140625" style="533" customWidth="1"/>
    <col min="14084" max="14084" width="15.7109375" style="533" customWidth="1"/>
    <col min="14085" max="14085" width="16.28515625" style="533" customWidth="1"/>
    <col min="14086" max="14086" width="16" style="533" customWidth="1"/>
    <col min="14087" max="14087" width="14.85546875" style="533" customWidth="1"/>
    <col min="14088" max="14088" width="12.7109375" style="533" bestFit="1" customWidth="1"/>
    <col min="14089" max="14089" width="11.85546875" style="533" customWidth="1"/>
    <col min="14090" max="14090" width="19.5703125" style="533" customWidth="1"/>
    <col min="14091" max="14335" width="9.140625" style="533"/>
    <col min="14336" max="14336" width="6.7109375" style="533" customWidth="1"/>
    <col min="14337" max="14337" width="95.7109375" style="533" customWidth="1"/>
    <col min="14338" max="14338" width="16.28515625" style="533" customWidth="1"/>
    <col min="14339" max="14339" width="12.140625" style="533" customWidth="1"/>
    <col min="14340" max="14340" width="15.7109375" style="533" customWidth="1"/>
    <col min="14341" max="14341" width="16.28515625" style="533" customWidth="1"/>
    <col min="14342" max="14342" width="16" style="533" customWidth="1"/>
    <col min="14343" max="14343" width="14.85546875" style="533" customWidth="1"/>
    <col min="14344" max="14344" width="12.7109375" style="533" bestFit="1" customWidth="1"/>
    <col min="14345" max="14345" width="11.85546875" style="533" customWidth="1"/>
    <col min="14346" max="14346" width="19.5703125" style="533" customWidth="1"/>
    <col min="14347" max="14591" width="9.140625" style="533"/>
    <col min="14592" max="14592" width="6.7109375" style="533" customWidth="1"/>
    <col min="14593" max="14593" width="95.7109375" style="533" customWidth="1"/>
    <col min="14594" max="14594" width="16.28515625" style="533" customWidth="1"/>
    <col min="14595" max="14595" width="12.140625" style="533" customWidth="1"/>
    <col min="14596" max="14596" width="15.7109375" style="533" customWidth="1"/>
    <col min="14597" max="14597" width="16.28515625" style="533" customWidth="1"/>
    <col min="14598" max="14598" width="16" style="533" customWidth="1"/>
    <col min="14599" max="14599" width="14.85546875" style="533" customWidth="1"/>
    <col min="14600" max="14600" width="12.7109375" style="533" bestFit="1" customWidth="1"/>
    <col min="14601" max="14601" width="11.85546875" style="533" customWidth="1"/>
    <col min="14602" max="14602" width="19.5703125" style="533" customWidth="1"/>
    <col min="14603" max="14847" width="9.140625" style="533"/>
    <col min="14848" max="14848" width="6.7109375" style="533" customWidth="1"/>
    <col min="14849" max="14849" width="95.7109375" style="533" customWidth="1"/>
    <col min="14850" max="14850" width="16.28515625" style="533" customWidth="1"/>
    <col min="14851" max="14851" width="12.140625" style="533" customWidth="1"/>
    <col min="14852" max="14852" width="15.7109375" style="533" customWidth="1"/>
    <col min="14853" max="14853" width="16.28515625" style="533" customWidth="1"/>
    <col min="14854" max="14854" width="16" style="533" customWidth="1"/>
    <col min="14855" max="14855" width="14.85546875" style="533" customWidth="1"/>
    <col min="14856" max="14856" width="12.7109375" style="533" bestFit="1" customWidth="1"/>
    <col min="14857" max="14857" width="11.85546875" style="533" customWidth="1"/>
    <col min="14858" max="14858" width="19.5703125" style="533" customWidth="1"/>
    <col min="14859" max="15103" width="9.140625" style="533"/>
    <col min="15104" max="15104" width="6.7109375" style="533" customWidth="1"/>
    <col min="15105" max="15105" width="95.7109375" style="533" customWidth="1"/>
    <col min="15106" max="15106" width="16.28515625" style="533" customWidth="1"/>
    <col min="15107" max="15107" width="12.140625" style="533" customWidth="1"/>
    <col min="15108" max="15108" width="15.7109375" style="533" customWidth="1"/>
    <col min="15109" max="15109" width="16.28515625" style="533" customWidth="1"/>
    <col min="15110" max="15110" width="16" style="533" customWidth="1"/>
    <col min="15111" max="15111" width="14.85546875" style="533" customWidth="1"/>
    <col min="15112" max="15112" width="12.7109375" style="533" bestFit="1" customWidth="1"/>
    <col min="15113" max="15113" width="11.85546875" style="533" customWidth="1"/>
    <col min="15114" max="15114" width="19.5703125" style="533" customWidth="1"/>
    <col min="15115" max="15359" width="9.140625" style="533"/>
    <col min="15360" max="15360" width="6.7109375" style="533" customWidth="1"/>
    <col min="15361" max="15361" width="95.7109375" style="533" customWidth="1"/>
    <col min="15362" max="15362" width="16.28515625" style="533" customWidth="1"/>
    <col min="15363" max="15363" width="12.140625" style="533" customWidth="1"/>
    <col min="15364" max="15364" width="15.7109375" style="533" customWidth="1"/>
    <col min="15365" max="15365" width="16.28515625" style="533" customWidth="1"/>
    <col min="15366" max="15366" width="16" style="533" customWidth="1"/>
    <col min="15367" max="15367" width="14.85546875" style="533" customWidth="1"/>
    <col min="15368" max="15368" width="12.7109375" style="533" bestFit="1" customWidth="1"/>
    <col min="15369" max="15369" width="11.85546875" style="533" customWidth="1"/>
    <col min="15370" max="15370" width="19.5703125" style="533" customWidth="1"/>
    <col min="15371" max="15615" width="9.140625" style="533"/>
    <col min="15616" max="15616" width="6.7109375" style="533" customWidth="1"/>
    <col min="15617" max="15617" width="95.7109375" style="533" customWidth="1"/>
    <col min="15618" max="15618" width="16.28515625" style="533" customWidth="1"/>
    <col min="15619" max="15619" width="12.140625" style="533" customWidth="1"/>
    <col min="15620" max="15620" width="15.7109375" style="533" customWidth="1"/>
    <col min="15621" max="15621" width="16.28515625" style="533" customWidth="1"/>
    <col min="15622" max="15622" width="16" style="533" customWidth="1"/>
    <col min="15623" max="15623" width="14.85546875" style="533" customWidth="1"/>
    <col min="15624" max="15624" width="12.7109375" style="533" bestFit="1" customWidth="1"/>
    <col min="15625" max="15625" width="11.85546875" style="533" customWidth="1"/>
    <col min="15626" max="15626" width="19.5703125" style="533" customWidth="1"/>
    <col min="15627" max="15871" width="9.140625" style="533"/>
    <col min="15872" max="15872" width="6.7109375" style="533" customWidth="1"/>
    <col min="15873" max="15873" width="95.7109375" style="533" customWidth="1"/>
    <col min="15874" max="15874" width="16.28515625" style="533" customWidth="1"/>
    <col min="15875" max="15875" width="12.140625" style="533" customWidth="1"/>
    <col min="15876" max="15876" width="15.7109375" style="533" customWidth="1"/>
    <col min="15877" max="15877" width="16.28515625" style="533" customWidth="1"/>
    <col min="15878" max="15878" width="16" style="533" customWidth="1"/>
    <col min="15879" max="15879" width="14.85546875" style="533" customWidth="1"/>
    <col min="15880" max="15880" width="12.7109375" style="533" bestFit="1" customWidth="1"/>
    <col min="15881" max="15881" width="11.85546875" style="533" customWidth="1"/>
    <col min="15882" max="15882" width="19.5703125" style="533" customWidth="1"/>
    <col min="15883" max="16127" width="9.140625" style="533"/>
    <col min="16128" max="16128" width="6.7109375" style="533" customWidth="1"/>
    <col min="16129" max="16129" width="95.7109375" style="533" customWidth="1"/>
    <col min="16130" max="16130" width="16.28515625" style="533" customWidth="1"/>
    <col min="16131" max="16131" width="12.140625" style="533" customWidth="1"/>
    <col min="16132" max="16132" width="15.7109375" style="533" customWidth="1"/>
    <col min="16133" max="16133" width="16.28515625" style="533" customWidth="1"/>
    <col min="16134" max="16134" width="16" style="533" customWidth="1"/>
    <col min="16135" max="16135" width="14.85546875" style="533" customWidth="1"/>
    <col min="16136" max="16136" width="12.7109375" style="533" bestFit="1" customWidth="1"/>
    <col min="16137" max="16137" width="11.85546875" style="533" customWidth="1"/>
    <col min="16138" max="16138" width="19.5703125" style="533" customWidth="1"/>
    <col min="16139" max="16379" width="9.140625" style="533"/>
    <col min="16380" max="16384" width="8.85546875" style="533" customWidth="1"/>
  </cols>
  <sheetData>
    <row r="2" spans="2:24" ht="18">
      <c r="B2" s="843" t="s">
        <v>738</v>
      </c>
      <c r="C2" s="843"/>
      <c r="D2" s="843"/>
      <c r="E2" s="843"/>
      <c r="F2" s="843"/>
      <c r="G2" s="843"/>
      <c r="H2" s="843"/>
      <c r="I2" s="843"/>
      <c r="J2" s="843"/>
      <c r="K2" s="843"/>
      <c r="L2" s="843"/>
      <c r="M2" s="843"/>
      <c r="N2" s="843"/>
      <c r="O2" s="843"/>
      <c r="P2" s="843"/>
      <c r="Q2" s="843"/>
      <c r="R2" s="843"/>
      <c r="S2" s="843"/>
      <c r="T2" s="843"/>
      <c r="U2" s="843"/>
      <c r="V2" s="843"/>
      <c r="W2" s="843"/>
    </row>
    <row r="3" spans="2:24">
      <c r="B3" s="844" t="s">
        <v>553</v>
      </c>
      <c r="C3" s="844"/>
      <c r="D3" s="844"/>
      <c r="E3" s="844"/>
      <c r="F3" s="844"/>
      <c r="G3" s="844"/>
      <c r="H3" s="844"/>
      <c r="I3" s="844"/>
      <c r="J3" s="844"/>
      <c r="K3" s="844"/>
      <c r="L3" s="844"/>
      <c r="M3" s="844"/>
      <c r="N3" s="844"/>
      <c r="O3" s="844"/>
      <c r="P3" s="844"/>
      <c r="Q3" s="844"/>
      <c r="R3" s="844"/>
      <c r="S3" s="844"/>
      <c r="T3" s="844"/>
      <c r="U3" s="844"/>
      <c r="V3" s="844"/>
      <c r="W3" s="844"/>
      <c r="X3" s="533">
        <v>100000</v>
      </c>
    </row>
    <row r="4" spans="2:24">
      <c r="B4" s="534"/>
    </row>
    <row r="5" spans="2:24">
      <c r="B5" s="591"/>
      <c r="C5" s="592" t="s">
        <v>809</v>
      </c>
      <c r="D5" s="593"/>
      <c r="E5" s="594"/>
      <c r="F5" s="594"/>
      <c r="W5" s="595" t="s">
        <v>776</v>
      </c>
    </row>
    <row r="6" spans="2:24" ht="63">
      <c r="B6" s="591"/>
      <c r="C6" s="561" t="s">
        <v>3</v>
      </c>
      <c r="D6" s="561" t="s">
        <v>777</v>
      </c>
      <c r="E6" s="561" t="s">
        <v>778</v>
      </c>
      <c r="F6" s="561" t="s">
        <v>779</v>
      </c>
      <c r="G6" s="561" t="s">
        <v>810</v>
      </c>
      <c r="H6" s="561" t="s">
        <v>781</v>
      </c>
      <c r="I6" s="580"/>
      <c r="J6" s="580"/>
      <c r="K6" s="580"/>
      <c r="L6" s="580"/>
      <c r="M6" s="580"/>
      <c r="N6" s="580"/>
      <c r="O6" s="580"/>
      <c r="P6" s="580"/>
      <c r="Q6" s="580"/>
      <c r="R6" s="580"/>
      <c r="S6" s="580"/>
      <c r="T6" s="580"/>
      <c r="U6" s="580"/>
      <c r="V6" s="580"/>
      <c r="W6" s="561" t="s">
        <v>782</v>
      </c>
    </row>
    <row r="7" spans="2:24" ht="31.5">
      <c r="B7" s="591"/>
      <c r="C7" s="596" t="s">
        <v>811</v>
      </c>
      <c r="D7" s="581">
        <f>235301434/X3</f>
        <v>2353.0143400000002</v>
      </c>
      <c r="E7" s="581">
        <f>222812201/X3</f>
        <v>2228.12201</v>
      </c>
      <c r="F7" s="581">
        <v>14091.121569999999</v>
      </c>
      <c r="G7" s="581">
        <f>181554682/X3</f>
        <v>1815.54682</v>
      </c>
      <c r="H7" s="581">
        <f>195565950/X3</f>
        <v>1955.6595</v>
      </c>
      <c r="I7" s="581"/>
      <c r="J7" s="581"/>
      <c r="K7" s="581"/>
      <c r="L7" s="581"/>
      <c r="M7" s="581"/>
      <c r="N7" s="581"/>
      <c r="O7" s="581"/>
      <c r="P7" s="581"/>
      <c r="Q7" s="581"/>
      <c r="R7" s="581"/>
      <c r="S7" s="581"/>
      <c r="T7" s="581"/>
      <c r="U7" s="581"/>
      <c r="V7" s="581"/>
      <c r="W7" s="581">
        <v>12522.60679</v>
      </c>
    </row>
    <row r="8" spans="2:24">
      <c r="B8" s="591"/>
      <c r="C8" s="596" t="s">
        <v>812</v>
      </c>
      <c r="D8" s="581">
        <f>155835154/X3</f>
        <v>1558.3515400000001</v>
      </c>
      <c r="E8" s="581">
        <f>356618914/X3</f>
        <v>3566.18914</v>
      </c>
      <c r="F8" s="581">
        <v>3049.1022800000001</v>
      </c>
      <c r="G8" s="581">
        <f>92983195/X3</f>
        <v>929.83195000000001</v>
      </c>
      <c r="H8" s="581">
        <f>276466394/X3</f>
        <v>2764.6639399999999</v>
      </c>
      <c r="I8" s="581"/>
      <c r="J8" s="581"/>
      <c r="K8" s="581"/>
      <c r="L8" s="581"/>
      <c r="M8" s="581"/>
      <c r="N8" s="581"/>
      <c r="O8" s="581"/>
      <c r="P8" s="581"/>
      <c r="Q8" s="581"/>
      <c r="R8" s="581"/>
      <c r="S8" s="581"/>
      <c r="T8" s="581"/>
      <c r="U8" s="581"/>
      <c r="V8" s="581"/>
      <c r="W8" s="581">
        <v>2097.6079500000001</v>
      </c>
    </row>
    <row r="9" spans="2:24" ht="31.5">
      <c r="B9" s="591"/>
      <c r="C9" s="546" t="s">
        <v>813</v>
      </c>
      <c r="D9" s="581">
        <v>0</v>
      </c>
      <c r="E9" s="581"/>
      <c r="F9" s="581">
        <v>0</v>
      </c>
      <c r="G9" s="581">
        <v>0</v>
      </c>
      <c r="H9" s="581"/>
      <c r="I9" s="581"/>
      <c r="J9" s="581"/>
      <c r="K9" s="581"/>
      <c r="L9" s="581"/>
      <c r="M9" s="581"/>
      <c r="N9" s="581"/>
      <c r="O9" s="581"/>
      <c r="P9" s="581"/>
      <c r="Q9" s="581"/>
      <c r="R9" s="581"/>
      <c r="S9" s="581"/>
      <c r="T9" s="581"/>
      <c r="U9" s="581"/>
      <c r="V9" s="581"/>
      <c r="W9" s="581">
        <v>0</v>
      </c>
    </row>
    <row r="10" spans="2:24" ht="47.25">
      <c r="B10" s="591"/>
      <c r="C10" s="546" t="s">
        <v>814</v>
      </c>
      <c r="D10" s="581">
        <f>-79466280/X3</f>
        <v>-794.66279999999995</v>
      </c>
      <c r="E10" s="581">
        <f>133806713/X3</f>
        <v>1338.0671299999999</v>
      </c>
      <c r="F10" s="581">
        <v>-11042.01929</v>
      </c>
      <c r="G10" s="581">
        <f>-88571487/X3</f>
        <v>-885.71487000000002</v>
      </c>
      <c r="H10" s="581">
        <f>80900444/X3</f>
        <v>809.00444000000005</v>
      </c>
      <c r="I10" s="581"/>
      <c r="J10" s="581"/>
      <c r="K10" s="581"/>
      <c r="L10" s="581"/>
      <c r="M10" s="581"/>
      <c r="N10" s="581"/>
      <c r="O10" s="581"/>
      <c r="P10" s="581"/>
      <c r="Q10" s="581"/>
      <c r="R10" s="581"/>
      <c r="S10" s="581"/>
      <c r="T10" s="581"/>
      <c r="U10" s="581"/>
      <c r="V10" s="581"/>
      <c r="W10" s="581">
        <v>-10424.99884</v>
      </c>
    </row>
    <row r="11" spans="2:24" ht="31.5">
      <c r="B11" s="591"/>
      <c r="C11" s="546" t="s">
        <v>815</v>
      </c>
      <c r="D11" s="581"/>
      <c r="E11" s="581"/>
      <c r="F11" s="581">
        <v>0</v>
      </c>
      <c r="G11" s="581"/>
      <c r="H11" s="581"/>
      <c r="I11" s="581"/>
      <c r="J11" s="581"/>
      <c r="K11" s="581"/>
      <c r="L11" s="581"/>
      <c r="M11" s="581"/>
      <c r="N11" s="581"/>
      <c r="O11" s="581"/>
      <c r="P11" s="581"/>
      <c r="Q11" s="581"/>
      <c r="R11" s="581"/>
      <c r="S11" s="581"/>
      <c r="T11" s="581"/>
      <c r="U11" s="581"/>
      <c r="V11" s="581"/>
      <c r="W11" s="581">
        <v>0</v>
      </c>
    </row>
    <row r="12" spans="2:24" ht="47.25">
      <c r="B12" s="591"/>
      <c r="C12" s="546" t="s">
        <v>816</v>
      </c>
      <c r="D12" s="581"/>
      <c r="E12" s="581"/>
      <c r="F12" s="581"/>
      <c r="G12" s="581"/>
      <c r="H12" s="581"/>
      <c r="I12" s="581"/>
      <c r="J12" s="581"/>
      <c r="K12" s="581"/>
      <c r="L12" s="581"/>
      <c r="M12" s="581"/>
      <c r="N12" s="581"/>
      <c r="O12" s="581"/>
      <c r="P12" s="581"/>
      <c r="Q12" s="581"/>
      <c r="R12" s="581"/>
      <c r="S12" s="581"/>
      <c r="T12" s="581"/>
      <c r="U12" s="581"/>
      <c r="V12" s="581"/>
      <c r="W12" s="581"/>
    </row>
    <row r="13" spans="2:24">
      <c r="B13" s="591"/>
      <c r="C13" s="546" t="s">
        <v>817</v>
      </c>
      <c r="D13" s="581">
        <f>-79466280/X3</f>
        <v>-794.66279999999995</v>
      </c>
      <c r="E13" s="581">
        <f>+E10</f>
        <v>1338.0671299999999</v>
      </c>
      <c r="F13" s="581">
        <v>-11042.01929</v>
      </c>
      <c r="G13" s="581">
        <f>-88571487/X3</f>
        <v>-885.71487000000002</v>
      </c>
      <c r="H13" s="581">
        <f>+H10</f>
        <v>809.00444000000005</v>
      </c>
      <c r="I13" s="581"/>
      <c r="J13" s="581"/>
      <c r="K13" s="581"/>
      <c r="L13" s="581"/>
      <c r="M13" s="581"/>
      <c r="N13" s="581"/>
      <c r="O13" s="581"/>
      <c r="P13" s="581"/>
      <c r="Q13" s="581"/>
      <c r="R13" s="581"/>
      <c r="S13" s="581"/>
      <c r="T13" s="581"/>
      <c r="U13" s="581"/>
      <c r="V13" s="581"/>
      <c r="W13" s="581">
        <v>-10424.99884</v>
      </c>
    </row>
    <row r="14" spans="2:24">
      <c r="B14" s="591"/>
      <c r="C14" s="546" t="s">
        <v>818</v>
      </c>
      <c r="D14" s="581">
        <f>+D13</f>
        <v>-794.66279999999995</v>
      </c>
      <c r="E14" s="581">
        <f>+E13</f>
        <v>1338.0671299999999</v>
      </c>
      <c r="F14" s="581">
        <v>-11042.01929</v>
      </c>
      <c r="G14" s="581">
        <f>+G13</f>
        <v>-885.71487000000002</v>
      </c>
      <c r="H14" s="581">
        <f>+H13</f>
        <v>809.00444000000005</v>
      </c>
      <c r="I14" s="581"/>
      <c r="J14" s="581"/>
      <c r="K14" s="581"/>
      <c r="L14" s="581"/>
      <c r="M14" s="581"/>
      <c r="N14" s="581"/>
      <c r="O14" s="581"/>
      <c r="P14" s="581"/>
      <c r="Q14" s="581"/>
      <c r="R14" s="581"/>
      <c r="S14" s="581"/>
      <c r="T14" s="581"/>
      <c r="U14" s="581"/>
      <c r="V14" s="581"/>
      <c r="W14" s="581">
        <v>-10424.99884</v>
      </c>
    </row>
    <row r="15" spans="2:24" ht="47.25">
      <c r="B15" s="591"/>
      <c r="C15" s="597" t="s">
        <v>819</v>
      </c>
      <c r="D15" s="598">
        <f>+D14</f>
        <v>-794.66279999999995</v>
      </c>
      <c r="E15" s="598">
        <f>+E14</f>
        <v>1338.0671299999999</v>
      </c>
      <c r="F15" s="598">
        <v>-11042.01929</v>
      </c>
      <c r="G15" s="598">
        <f>+G14</f>
        <v>-885.71487000000002</v>
      </c>
      <c r="H15" s="598">
        <f>+H14</f>
        <v>809.00444000000005</v>
      </c>
      <c r="I15" s="598"/>
      <c r="J15" s="598"/>
      <c r="K15" s="598"/>
      <c r="L15" s="598"/>
      <c r="M15" s="598"/>
      <c r="N15" s="598"/>
      <c r="O15" s="598"/>
      <c r="P15" s="598"/>
      <c r="Q15" s="598"/>
      <c r="R15" s="598"/>
      <c r="S15" s="598"/>
      <c r="T15" s="598"/>
      <c r="U15" s="598"/>
      <c r="V15" s="598"/>
      <c r="W15" s="598">
        <v>-10424.99884</v>
      </c>
    </row>
    <row r="16" spans="2:24" ht="31.5">
      <c r="B16" s="591"/>
      <c r="C16" s="597" t="s">
        <v>820</v>
      </c>
      <c r="D16" s="598">
        <v>0</v>
      </c>
      <c r="E16" s="598"/>
      <c r="F16" s="598">
        <v>0</v>
      </c>
      <c r="G16" s="598">
        <v>0</v>
      </c>
      <c r="H16" s="598">
        <v>0</v>
      </c>
      <c r="I16" s="598"/>
      <c r="J16" s="598"/>
      <c r="K16" s="598"/>
      <c r="L16" s="598"/>
      <c r="M16" s="598"/>
      <c r="N16" s="598"/>
      <c r="O16" s="598"/>
      <c r="P16" s="598"/>
      <c r="Q16" s="598"/>
      <c r="R16" s="598"/>
      <c r="S16" s="598"/>
      <c r="T16" s="598"/>
      <c r="U16" s="598"/>
      <c r="V16" s="598"/>
      <c r="W16" s="598">
        <v>0</v>
      </c>
    </row>
    <row r="17" spans="2:23" ht="31.5">
      <c r="B17" s="591"/>
      <c r="C17" s="597" t="s">
        <v>821</v>
      </c>
      <c r="D17" s="598">
        <v>0</v>
      </c>
      <c r="E17" s="598"/>
      <c r="F17" s="598">
        <v>0</v>
      </c>
      <c r="G17" s="598">
        <v>0</v>
      </c>
      <c r="H17" s="598">
        <v>0</v>
      </c>
      <c r="I17" s="598"/>
      <c r="J17" s="598"/>
      <c r="K17" s="598"/>
      <c r="L17" s="598"/>
      <c r="M17" s="598"/>
      <c r="N17" s="598"/>
      <c r="O17" s="598"/>
      <c r="P17" s="598"/>
      <c r="Q17" s="598"/>
      <c r="R17" s="598"/>
      <c r="S17" s="598"/>
      <c r="T17" s="598"/>
      <c r="U17" s="598"/>
      <c r="V17" s="598"/>
      <c r="W17" s="598">
        <v>0</v>
      </c>
    </row>
    <row r="18" spans="2:23">
      <c r="B18" s="591"/>
      <c r="C18" s="856" t="s">
        <v>822</v>
      </c>
      <c r="D18" s="856"/>
      <c r="E18" s="856"/>
      <c r="F18" s="856"/>
      <c r="G18" s="856"/>
      <c r="H18" s="856"/>
      <c r="I18" s="856"/>
      <c r="J18" s="856"/>
      <c r="K18" s="856"/>
      <c r="L18" s="856"/>
      <c r="M18" s="856"/>
      <c r="N18" s="856"/>
      <c r="O18" s="856"/>
      <c r="P18" s="856"/>
      <c r="Q18" s="856"/>
      <c r="R18" s="856"/>
      <c r="S18" s="856"/>
      <c r="T18" s="856"/>
      <c r="U18" s="856"/>
      <c r="V18" s="856"/>
      <c r="W18" s="856"/>
    </row>
    <row r="19" spans="2:23">
      <c r="B19" s="591"/>
      <c r="C19" s="536"/>
      <c r="D19" s="599"/>
      <c r="E19" s="577"/>
      <c r="F19" s="599"/>
      <c r="G19" s="599"/>
      <c r="H19" s="599"/>
    </row>
    <row r="20" spans="2:23">
      <c r="C20" s="855" t="s">
        <v>823</v>
      </c>
      <c r="D20" s="855"/>
      <c r="E20" s="855"/>
      <c r="F20" s="855"/>
      <c r="G20" s="855"/>
      <c r="H20" s="855"/>
      <c r="W20" s="595" t="s">
        <v>776</v>
      </c>
    </row>
    <row r="21" spans="2:23" ht="63">
      <c r="C21" s="561" t="s">
        <v>3</v>
      </c>
      <c r="D21" s="561" t="s">
        <v>777</v>
      </c>
      <c r="E21" s="561" t="s">
        <v>778</v>
      </c>
      <c r="F21" s="561" t="s">
        <v>779</v>
      </c>
      <c r="G21" s="561" t="s">
        <v>810</v>
      </c>
      <c r="H21" s="600" t="s">
        <v>781</v>
      </c>
      <c r="I21" s="601"/>
      <c r="J21" s="601"/>
      <c r="K21" s="601"/>
      <c r="L21" s="601"/>
      <c r="M21" s="601"/>
      <c r="N21" s="601"/>
      <c r="O21" s="601"/>
      <c r="P21" s="601"/>
      <c r="Q21" s="601"/>
      <c r="R21" s="601"/>
      <c r="S21" s="601"/>
      <c r="T21" s="601"/>
      <c r="U21" s="601"/>
      <c r="V21" s="601"/>
      <c r="W21" s="600" t="s">
        <v>782</v>
      </c>
    </row>
    <row r="22" spans="2:23" ht="31.5">
      <c r="C22" s="602" t="s">
        <v>824</v>
      </c>
      <c r="D22" s="547">
        <f>103079792/X3</f>
        <v>1030.79792</v>
      </c>
      <c r="E22" s="547">
        <f>36944899/X3</f>
        <v>369.44898999999998</v>
      </c>
      <c r="F22" s="547">
        <f>98641564/X3</f>
        <v>986.41564000000005</v>
      </c>
      <c r="G22" s="547">
        <f>79534657/X3</f>
        <v>795.34657000000004</v>
      </c>
      <c r="H22" s="547">
        <f>32427148/X3</f>
        <v>324.27148</v>
      </c>
      <c r="I22" s="547"/>
      <c r="J22" s="547"/>
      <c r="K22" s="547"/>
      <c r="L22" s="547"/>
      <c r="M22" s="547"/>
      <c r="N22" s="547"/>
      <c r="O22" s="547"/>
      <c r="P22" s="547"/>
      <c r="Q22" s="547"/>
      <c r="R22" s="547"/>
      <c r="S22" s="547"/>
      <c r="T22" s="547"/>
      <c r="U22" s="547"/>
      <c r="V22" s="547"/>
      <c r="W22" s="547">
        <f>87661548/X3</f>
        <v>876.61548000000005</v>
      </c>
    </row>
    <row r="23" spans="2:23" ht="31.5">
      <c r="C23" s="602" t="s">
        <v>825</v>
      </c>
      <c r="D23" s="547">
        <f>132221642/X3</f>
        <v>1322.21642</v>
      </c>
      <c r="E23" s="547">
        <f>185867302/X3</f>
        <v>1858.67302</v>
      </c>
      <c r="F23" s="547">
        <f>1310470593/X3</f>
        <v>13104.70593</v>
      </c>
      <c r="G23" s="547">
        <f>102020025/X3</f>
        <v>1020.20025</v>
      </c>
      <c r="H23" s="547">
        <f>163138802/X3</f>
        <v>1631.3880200000001</v>
      </c>
      <c r="I23" s="547"/>
      <c r="J23" s="547"/>
      <c r="K23" s="547"/>
      <c r="L23" s="547"/>
      <c r="M23" s="547"/>
      <c r="N23" s="547"/>
      <c r="O23" s="547"/>
      <c r="P23" s="547"/>
      <c r="Q23" s="547"/>
      <c r="R23" s="547"/>
      <c r="S23" s="547"/>
      <c r="T23" s="547"/>
      <c r="U23" s="547"/>
      <c r="V23" s="547"/>
      <c r="W23" s="547">
        <f>1164599132/X3</f>
        <v>11645.991319999999</v>
      </c>
    </row>
    <row r="24" spans="2:23" ht="31.5">
      <c r="C24" s="602" t="s">
        <v>826</v>
      </c>
      <c r="D24" s="547">
        <f>23787924/X3</f>
        <v>237.87924000000001</v>
      </c>
      <c r="E24" s="547">
        <v>0</v>
      </c>
      <c r="F24" s="547">
        <f>104662572/X3</f>
        <v>1046.62572</v>
      </c>
      <c r="G24" s="547">
        <f>88571487/X3</f>
        <v>885.71487000000002</v>
      </c>
      <c r="H24" s="547">
        <v>0</v>
      </c>
      <c r="I24" s="547"/>
      <c r="J24" s="547"/>
      <c r="K24" s="547"/>
      <c r="L24" s="547"/>
      <c r="M24" s="547"/>
      <c r="N24" s="547"/>
      <c r="O24" s="547"/>
      <c r="P24" s="547"/>
      <c r="Q24" s="547"/>
      <c r="R24" s="547"/>
      <c r="S24" s="547"/>
      <c r="T24" s="547"/>
      <c r="U24" s="547"/>
      <c r="V24" s="547"/>
      <c r="W24" s="547">
        <f>1042499884/X3</f>
        <v>10424.99884</v>
      </c>
    </row>
    <row r="25" spans="2:23" ht="31.5">
      <c r="C25" s="602" t="s">
        <v>827</v>
      </c>
      <c r="D25" s="547">
        <f>55678356/X3</f>
        <v>556.78355999999997</v>
      </c>
      <c r="E25" s="547">
        <v>0</v>
      </c>
      <c r="F25" s="547">
        <f>999539357/X3</f>
        <v>9995.3935700000002</v>
      </c>
      <c r="G25" s="547"/>
      <c r="H25" s="547">
        <v>0</v>
      </c>
      <c r="I25" s="547"/>
      <c r="J25" s="547"/>
      <c r="K25" s="547"/>
      <c r="L25" s="547"/>
      <c r="M25" s="547"/>
      <c r="N25" s="547"/>
      <c r="O25" s="547"/>
      <c r="P25" s="547"/>
      <c r="Q25" s="547"/>
      <c r="R25" s="547"/>
      <c r="S25" s="547"/>
      <c r="T25" s="547"/>
      <c r="U25" s="547"/>
      <c r="V25" s="547"/>
      <c r="W25" s="547">
        <v>0</v>
      </c>
    </row>
    <row r="26" spans="2:23">
      <c r="C26" s="603"/>
      <c r="D26" s="604"/>
      <c r="E26" s="604"/>
      <c r="F26" s="604"/>
      <c r="G26" s="604"/>
      <c r="H26" s="604"/>
      <c r="I26" s="604"/>
      <c r="J26" s="604"/>
      <c r="K26" s="604"/>
      <c r="L26" s="604"/>
      <c r="M26" s="604"/>
      <c r="N26" s="604"/>
      <c r="O26" s="604"/>
      <c r="P26" s="604"/>
      <c r="Q26" s="604"/>
      <c r="R26" s="604"/>
      <c r="S26" s="604"/>
      <c r="T26" s="604"/>
      <c r="U26" s="604"/>
      <c r="V26" s="604"/>
      <c r="W26" s="604"/>
    </row>
    <row r="27" spans="2:23">
      <c r="C27" s="603"/>
      <c r="D27" s="604"/>
      <c r="E27" s="604"/>
      <c r="F27" s="604"/>
      <c r="G27" s="604"/>
      <c r="H27" s="604"/>
      <c r="I27" s="604"/>
      <c r="J27" s="604"/>
      <c r="K27" s="604"/>
      <c r="L27" s="604"/>
      <c r="M27" s="604"/>
      <c r="N27" s="604"/>
      <c r="O27" s="604"/>
      <c r="P27" s="604"/>
      <c r="Q27" s="604"/>
      <c r="R27" s="604"/>
      <c r="S27" s="604"/>
      <c r="T27" s="604"/>
      <c r="U27" s="604"/>
      <c r="V27" s="604"/>
      <c r="W27" s="604"/>
    </row>
    <row r="28" spans="2:23">
      <c r="C28" s="857" t="s">
        <v>828</v>
      </c>
      <c r="D28" s="857"/>
      <c r="E28" s="857"/>
      <c r="F28" s="857"/>
      <c r="G28" s="857"/>
      <c r="H28" s="857"/>
      <c r="I28" s="604"/>
      <c r="J28" s="604"/>
      <c r="K28" s="604"/>
      <c r="L28" s="604"/>
      <c r="M28" s="604"/>
      <c r="N28" s="604"/>
      <c r="O28" s="604"/>
      <c r="P28" s="604"/>
      <c r="Q28" s="604"/>
      <c r="R28" s="604"/>
      <c r="S28" s="604"/>
      <c r="T28" s="604"/>
      <c r="U28" s="604"/>
      <c r="V28" s="604"/>
      <c r="W28" s="595" t="s">
        <v>776</v>
      </c>
    </row>
    <row r="29" spans="2:23" ht="63">
      <c r="C29" s="561" t="s">
        <v>3</v>
      </c>
      <c r="D29" s="561" t="s">
        <v>777</v>
      </c>
      <c r="E29" s="561" t="s">
        <v>778</v>
      </c>
      <c r="F29" s="561" t="s">
        <v>779</v>
      </c>
      <c r="G29" s="561" t="s">
        <v>810</v>
      </c>
      <c r="H29" s="600" t="s">
        <v>781</v>
      </c>
      <c r="I29" s="601"/>
      <c r="J29" s="601"/>
      <c r="K29" s="601"/>
      <c r="L29" s="601"/>
      <c r="M29" s="601"/>
      <c r="N29" s="601"/>
      <c r="O29" s="601"/>
      <c r="P29" s="601"/>
      <c r="Q29" s="601"/>
      <c r="R29" s="601"/>
      <c r="S29" s="601"/>
      <c r="T29" s="601"/>
      <c r="U29" s="601"/>
      <c r="V29" s="601"/>
      <c r="W29" s="600" t="s">
        <v>782</v>
      </c>
    </row>
    <row r="30" spans="2:23" ht="47.25">
      <c r="C30" s="602" t="s">
        <v>829</v>
      </c>
      <c r="D30" s="581">
        <f>-88571487/X3</f>
        <v>-885.71487000000002</v>
      </c>
      <c r="E30" s="581">
        <f>80900444/X3</f>
        <v>809.00444000000005</v>
      </c>
      <c r="F30" s="581">
        <f>-1042499884/X3</f>
        <v>-10424.99884</v>
      </c>
      <c r="G30" s="581">
        <f>-60720484/X3</f>
        <v>-607.20483999999999</v>
      </c>
      <c r="H30" s="581">
        <f>85716806/X3</f>
        <v>857.16805999999997</v>
      </c>
      <c r="I30" s="581"/>
      <c r="J30" s="581"/>
      <c r="K30" s="581"/>
      <c r="L30" s="581"/>
      <c r="M30" s="581"/>
      <c r="N30" s="581"/>
      <c r="O30" s="581"/>
      <c r="P30" s="581"/>
      <c r="Q30" s="581"/>
      <c r="R30" s="581"/>
      <c r="S30" s="581"/>
      <c r="T30" s="581"/>
      <c r="U30" s="581"/>
      <c r="V30" s="581"/>
      <c r="W30" s="581">
        <f>-928793259/X3</f>
        <v>-9287.9325900000003</v>
      </c>
    </row>
    <row r="31" spans="2:23" ht="78.75">
      <c r="C31" s="602" t="s">
        <v>830</v>
      </c>
      <c r="D31" s="581">
        <f>-19411248/X3</f>
        <v>-194.11248000000001</v>
      </c>
      <c r="E31" s="581">
        <v>0</v>
      </c>
      <c r="F31" s="581">
        <f>-91060641/X3</f>
        <v>-910.60640999999998</v>
      </c>
      <c r="G31" s="581">
        <v>0</v>
      </c>
      <c r="H31" s="581">
        <v>0</v>
      </c>
      <c r="I31" s="581"/>
      <c r="J31" s="581"/>
      <c r="K31" s="581"/>
      <c r="L31" s="581"/>
      <c r="M31" s="581"/>
      <c r="N31" s="581"/>
      <c r="O31" s="581"/>
      <c r="P31" s="581"/>
      <c r="Q31" s="581"/>
      <c r="R31" s="581"/>
      <c r="S31" s="581"/>
      <c r="T31" s="581"/>
      <c r="U31" s="581"/>
      <c r="V31" s="581"/>
      <c r="W31" s="581">
        <v>0</v>
      </c>
    </row>
    <row r="32" spans="2:23" ht="47.25">
      <c r="C32" s="602" t="s">
        <v>831</v>
      </c>
      <c r="D32" s="581">
        <f>-69160239/X3</f>
        <v>-691.60239000000001</v>
      </c>
      <c r="E32" s="581">
        <f>+E30</f>
        <v>809.00444000000005</v>
      </c>
      <c r="F32" s="581">
        <f>-951439243/X3</f>
        <v>-9514.3924299999999</v>
      </c>
      <c r="G32" s="581">
        <f>-60720484/X3</f>
        <v>-607.20483999999999</v>
      </c>
      <c r="H32" s="581">
        <f>+H30</f>
        <v>857.16805999999997</v>
      </c>
      <c r="I32" s="581"/>
      <c r="J32" s="581"/>
      <c r="K32" s="581"/>
      <c r="L32" s="581"/>
      <c r="M32" s="581"/>
      <c r="N32" s="581"/>
      <c r="O32" s="581"/>
      <c r="P32" s="581"/>
      <c r="Q32" s="581"/>
      <c r="R32" s="581"/>
      <c r="S32" s="581"/>
      <c r="T32" s="581"/>
      <c r="U32" s="581"/>
      <c r="V32" s="581"/>
      <c r="W32" s="581">
        <f>-928793259/X3</f>
        <v>-9287.9325900000003</v>
      </c>
    </row>
    <row r="33" spans="3:23" ht="63">
      <c r="C33" s="602" t="s">
        <v>832</v>
      </c>
      <c r="D33" s="581">
        <f>-20914034/X3</f>
        <v>-209.14034000000001</v>
      </c>
      <c r="E33" s="581">
        <f>7194820/X3</f>
        <v>71.9482</v>
      </c>
      <c r="F33" s="581">
        <f>-95481285/X3</f>
        <v>-954.81285000000003</v>
      </c>
      <c r="G33" s="581">
        <f>-20886715/X3</f>
        <v>-208.86715000000001</v>
      </c>
      <c r="H33" s="581">
        <f>-44541162/X3</f>
        <v>-445.41162000000003</v>
      </c>
      <c r="I33" s="581"/>
      <c r="J33" s="581"/>
      <c r="K33" s="581"/>
      <c r="L33" s="581"/>
      <c r="M33" s="581"/>
      <c r="N33" s="581"/>
      <c r="O33" s="581"/>
      <c r="P33" s="581"/>
      <c r="Q33" s="581"/>
      <c r="R33" s="581"/>
      <c r="S33" s="581"/>
      <c r="T33" s="581"/>
      <c r="U33" s="581"/>
      <c r="V33" s="581"/>
      <c r="W33" s="581">
        <f>-51521719/X3</f>
        <v>-515.21718999999996</v>
      </c>
    </row>
    <row r="34" spans="3:23">
      <c r="C34" s="602" t="s">
        <v>794</v>
      </c>
      <c r="D34" s="547">
        <f>50969024/X3</f>
        <v>509.69024000000002</v>
      </c>
      <c r="E34" s="581">
        <f>45711449/X3</f>
        <v>457.11448999999999</v>
      </c>
      <c r="F34" s="581">
        <f>68775799/X3</f>
        <v>687.75798999999995</v>
      </c>
      <c r="G34" s="581">
        <f>12446960/X3</f>
        <v>124.4696</v>
      </c>
      <c r="H34" s="581">
        <f>39724800/X3</f>
        <v>397.24799999999999</v>
      </c>
      <c r="I34" s="581"/>
      <c r="J34" s="581"/>
      <c r="K34" s="581"/>
      <c r="L34" s="581"/>
      <c r="M34" s="581"/>
      <c r="N34" s="581"/>
      <c r="O34" s="581"/>
      <c r="P34" s="581"/>
      <c r="Q34" s="581"/>
      <c r="R34" s="581"/>
      <c r="S34" s="581"/>
      <c r="T34" s="581"/>
      <c r="U34" s="581"/>
      <c r="V34" s="581"/>
      <c r="W34" s="581">
        <f>28875735/X3</f>
        <v>288.75734999999997</v>
      </c>
    </row>
    <row r="35" spans="3:23" ht="31.5">
      <c r="C35" s="602" t="s">
        <v>833</v>
      </c>
      <c r="D35" s="547"/>
      <c r="E35" s="581"/>
      <c r="F35" s="581"/>
      <c r="G35" s="581"/>
      <c r="H35" s="581"/>
      <c r="I35" s="581"/>
      <c r="J35" s="581"/>
      <c r="K35" s="581"/>
      <c r="L35" s="581"/>
      <c r="M35" s="581"/>
      <c r="N35" s="581"/>
      <c r="O35" s="581"/>
      <c r="P35" s="581"/>
      <c r="Q35" s="581"/>
      <c r="R35" s="581"/>
      <c r="S35" s="581"/>
      <c r="T35" s="581"/>
      <c r="U35" s="581"/>
      <c r="V35" s="581"/>
      <c r="W35" s="581"/>
    </row>
    <row r="36" spans="3:23" ht="63">
      <c r="C36" s="602" t="s">
        <v>834</v>
      </c>
      <c r="D36" s="547"/>
      <c r="E36" s="581"/>
      <c r="F36" s="581"/>
      <c r="G36" s="581"/>
      <c r="H36" s="581"/>
      <c r="I36" s="581"/>
      <c r="J36" s="581"/>
      <c r="K36" s="581"/>
      <c r="L36" s="581"/>
      <c r="M36" s="581"/>
      <c r="N36" s="581"/>
      <c r="O36" s="581"/>
      <c r="P36" s="581"/>
      <c r="Q36" s="581"/>
      <c r="R36" s="581"/>
      <c r="S36" s="581"/>
      <c r="T36" s="581"/>
      <c r="U36" s="581"/>
      <c r="V36" s="581"/>
      <c r="W36" s="581"/>
    </row>
    <row r="37" spans="3:23" ht="47.25">
      <c r="C37" s="602" t="s">
        <v>835</v>
      </c>
      <c r="D37" s="581">
        <f>-39105249/X3</f>
        <v>-391.05248999999998</v>
      </c>
      <c r="E37" s="581">
        <f>133806713/X3</f>
        <v>1338.0671299999999</v>
      </c>
      <c r="F37" s="581">
        <f>-978144729/X3</f>
        <v>-9781.4472900000001</v>
      </c>
      <c r="G37" s="581">
        <f>-69160239/X3</f>
        <v>-691.60239000000001</v>
      </c>
      <c r="H37" s="581">
        <f>80900444/X3</f>
        <v>809.00444000000005</v>
      </c>
      <c r="I37" s="581"/>
      <c r="J37" s="581"/>
      <c r="K37" s="581"/>
      <c r="L37" s="581"/>
      <c r="M37" s="581"/>
      <c r="N37" s="581"/>
      <c r="O37" s="581"/>
      <c r="P37" s="581"/>
      <c r="Q37" s="581"/>
      <c r="R37" s="581"/>
      <c r="S37" s="581"/>
      <c r="T37" s="581"/>
      <c r="U37" s="581"/>
      <c r="V37" s="581"/>
      <c r="W37" s="581">
        <f>-951439243/X3</f>
        <v>-9514.3924299999999</v>
      </c>
    </row>
    <row r="38" spans="3:23" ht="78.75">
      <c r="C38" s="602" t="s">
        <v>836</v>
      </c>
      <c r="D38" s="581">
        <f>-40361031/X3</f>
        <v>-403.61031000000003</v>
      </c>
      <c r="E38" s="581"/>
      <c r="F38" s="581">
        <f>-126057200/X3</f>
        <v>-1260.5719999999999</v>
      </c>
      <c r="G38" s="581">
        <f>-19411248/X3</f>
        <v>-194.11248000000001</v>
      </c>
      <c r="H38" s="581"/>
      <c r="I38" s="581"/>
      <c r="J38" s="581"/>
      <c r="K38" s="581"/>
      <c r="L38" s="581"/>
      <c r="M38" s="581"/>
      <c r="N38" s="581"/>
      <c r="O38" s="581"/>
      <c r="P38" s="581"/>
      <c r="Q38" s="581"/>
      <c r="R38" s="581"/>
      <c r="S38" s="581"/>
      <c r="T38" s="581"/>
      <c r="U38" s="581"/>
      <c r="V38" s="581"/>
      <c r="W38" s="581">
        <f>-91060641/X3</f>
        <v>-910.60640999999998</v>
      </c>
    </row>
    <row r="39" spans="3:23" ht="31.5">
      <c r="C39" s="602" t="s">
        <v>837</v>
      </c>
      <c r="D39" s="547"/>
      <c r="E39" s="581"/>
      <c r="F39" s="581"/>
      <c r="G39" s="581"/>
      <c r="H39" s="581"/>
      <c r="I39" s="581"/>
      <c r="J39" s="581"/>
      <c r="K39" s="581"/>
      <c r="L39" s="581"/>
      <c r="M39" s="581"/>
      <c r="N39" s="581"/>
      <c r="O39" s="581"/>
      <c r="P39" s="581"/>
      <c r="Q39" s="581"/>
      <c r="R39" s="581"/>
      <c r="S39" s="581"/>
      <c r="T39" s="581"/>
      <c r="U39" s="581"/>
      <c r="V39" s="581"/>
      <c r="W39" s="581"/>
    </row>
    <row r="40" spans="3:23" ht="31.5">
      <c r="C40" s="602" t="s">
        <v>838</v>
      </c>
      <c r="D40" s="547"/>
      <c r="E40" s="581"/>
      <c r="F40" s="581"/>
      <c r="G40" s="581"/>
      <c r="H40" s="581"/>
      <c r="I40" s="581"/>
      <c r="J40" s="581"/>
      <c r="K40" s="581"/>
      <c r="L40" s="581"/>
      <c r="M40" s="581"/>
      <c r="N40" s="581"/>
      <c r="O40" s="581"/>
      <c r="P40" s="581"/>
      <c r="Q40" s="581"/>
      <c r="R40" s="581"/>
      <c r="S40" s="581"/>
      <c r="T40" s="581"/>
      <c r="U40" s="581"/>
      <c r="V40" s="581"/>
      <c r="W40" s="581"/>
    </row>
    <row r="41" spans="3:23" s="534" customFormat="1" ht="47.25">
      <c r="C41" s="605" t="s">
        <v>819</v>
      </c>
      <c r="D41" s="584">
        <f>+D37+D38</f>
        <v>-794.66280000000006</v>
      </c>
      <c r="E41" s="584">
        <f>+E37+E38</f>
        <v>1338.0671299999999</v>
      </c>
      <c r="F41" s="584">
        <f>+F37+F38</f>
        <v>-11042.01929</v>
      </c>
      <c r="G41" s="584">
        <f>+G37+G38</f>
        <v>-885.71487000000002</v>
      </c>
      <c r="H41" s="584">
        <f>+H37+H38</f>
        <v>809.00444000000005</v>
      </c>
      <c r="I41" s="584"/>
      <c r="J41" s="584"/>
      <c r="K41" s="584"/>
      <c r="L41" s="584"/>
      <c r="M41" s="584"/>
      <c r="N41" s="584"/>
      <c r="O41" s="584"/>
      <c r="P41" s="584"/>
      <c r="Q41" s="584"/>
      <c r="R41" s="584"/>
      <c r="S41" s="584"/>
      <c r="T41" s="584"/>
      <c r="U41" s="584"/>
      <c r="V41" s="584"/>
      <c r="W41" s="584">
        <f>+W37+W38</f>
        <v>-10424.99884</v>
      </c>
    </row>
  </sheetData>
  <mergeCells count="5">
    <mergeCell ref="B2:W2"/>
    <mergeCell ref="B3:W3"/>
    <mergeCell ref="C18:W18"/>
    <mergeCell ref="C20:H20"/>
    <mergeCell ref="C28:H28"/>
  </mergeCells>
  <printOptions horizontalCentered="1"/>
  <pageMargins left="0.70866141732283472" right="0.70866141732283472" top="0.74803149606299213" bottom="0.74803149606299213" header="0.31496062992125984" footer="0.31496062992125984"/>
  <pageSetup paperSize="9" scale="52"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B2:X19"/>
  <sheetViews>
    <sheetView showGridLines="0" view="pageBreakPreview" zoomScaleSheetLayoutView="100" workbookViewId="0">
      <selection activeCell="G44" sqref="G44"/>
    </sheetView>
  </sheetViews>
  <sheetFormatPr defaultRowHeight="15.75"/>
  <cols>
    <col min="1" max="1" width="4.5703125" style="533" customWidth="1"/>
    <col min="2" max="2" width="5.7109375" style="533" customWidth="1"/>
    <col min="3" max="3" width="31.140625" style="533" customWidth="1"/>
    <col min="4" max="4" width="20.140625" style="533" customWidth="1"/>
    <col min="5" max="6" width="19.85546875" style="533" customWidth="1"/>
    <col min="7" max="8" width="18.5703125" style="533" customWidth="1"/>
    <col min="9" max="9" width="18.85546875" style="533" hidden="1" customWidth="1"/>
    <col min="10" max="10" width="20.140625" style="533" hidden="1" customWidth="1"/>
    <col min="11" max="11" width="16.85546875" style="533" hidden="1" customWidth="1"/>
    <col min="12" max="12" width="25" style="533" hidden="1" customWidth="1"/>
    <col min="13" max="22" width="0" style="533" hidden="1" customWidth="1"/>
    <col min="23" max="23" width="17.7109375" style="533" customWidth="1"/>
    <col min="24" max="24" width="13.5703125" style="533" customWidth="1"/>
    <col min="25" max="255" width="9.140625" style="533"/>
    <col min="256" max="256" width="6.7109375" style="533" customWidth="1"/>
    <col min="257" max="257" width="95.7109375" style="533" customWidth="1"/>
    <col min="258" max="258" width="16.28515625" style="533" customWidth="1"/>
    <col min="259" max="259" width="12.140625" style="533" customWidth="1"/>
    <col min="260" max="260" width="15.7109375" style="533" customWidth="1"/>
    <col min="261" max="261" width="16.28515625" style="533" customWidth="1"/>
    <col min="262" max="262" width="16" style="533" customWidth="1"/>
    <col min="263" max="263" width="14.85546875" style="533" customWidth="1"/>
    <col min="264" max="264" width="12.7109375" style="533" bestFit="1" customWidth="1"/>
    <col min="265" max="265" width="11.85546875" style="533" customWidth="1"/>
    <col min="266" max="266" width="19.5703125" style="533" customWidth="1"/>
    <col min="267" max="511" width="9.140625" style="533"/>
    <col min="512" max="512" width="6.7109375" style="533" customWidth="1"/>
    <col min="513" max="513" width="95.7109375" style="533" customWidth="1"/>
    <col min="514" max="514" width="16.28515625" style="533" customWidth="1"/>
    <col min="515" max="515" width="12.140625" style="533" customWidth="1"/>
    <col min="516" max="516" width="15.7109375" style="533" customWidth="1"/>
    <col min="517" max="517" width="16.28515625" style="533" customWidth="1"/>
    <col min="518" max="518" width="16" style="533" customWidth="1"/>
    <col min="519" max="519" width="14.85546875" style="533" customWidth="1"/>
    <col min="520" max="520" width="12.7109375" style="533" bestFit="1" customWidth="1"/>
    <col min="521" max="521" width="11.85546875" style="533" customWidth="1"/>
    <col min="522" max="522" width="19.5703125" style="533" customWidth="1"/>
    <col min="523" max="767" width="9.140625" style="533"/>
    <col min="768" max="768" width="6.7109375" style="533" customWidth="1"/>
    <col min="769" max="769" width="95.7109375" style="533" customWidth="1"/>
    <col min="770" max="770" width="16.28515625" style="533" customWidth="1"/>
    <col min="771" max="771" width="12.140625" style="533" customWidth="1"/>
    <col min="772" max="772" width="15.7109375" style="533" customWidth="1"/>
    <col min="773" max="773" width="16.28515625" style="533" customWidth="1"/>
    <col min="774" max="774" width="16" style="533" customWidth="1"/>
    <col min="775" max="775" width="14.85546875" style="533" customWidth="1"/>
    <col min="776" max="776" width="12.7109375" style="533" bestFit="1" customWidth="1"/>
    <col min="777" max="777" width="11.85546875" style="533" customWidth="1"/>
    <col min="778" max="778" width="19.5703125" style="533" customWidth="1"/>
    <col min="779" max="1023" width="9.140625" style="533"/>
    <col min="1024" max="1024" width="6.7109375" style="533" customWidth="1"/>
    <col min="1025" max="1025" width="95.7109375" style="533" customWidth="1"/>
    <col min="1026" max="1026" width="16.28515625" style="533" customWidth="1"/>
    <col min="1027" max="1027" width="12.140625" style="533" customWidth="1"/>
    <col min="1028" max="1028" width="15.7109375" style="533" customWidth="1"/>
    <col min="1029" max="1029" width="16.28515625" style="533" customWidth="1"/>
    <col min="1030" max="1030" width="16" style="533" customWidth="1"/>
    <col min="1031" max="1031" width="14.85546875" style="533" customWidth="1"/>
    <col min="1032" max="1032" width="12.7109375" style="533" bestFit="1" customWidth="1"/>
    <col min="1033" max="1033" width="11.85546875" style="533" customWidth="1"/>
    <col min="1034" max="1034" width="19.5703125" style="533" customWidth="1"/>
    <col min="1035" max="1279" width="9.140625" style="533"/>
    <col min="1280" max="1280" width="6.7109375" style="533" customWidth="1"/>
    <col min="1281" max="1281" width="95.7109375" style="533" customWidth="1"/>
    <col min="1282" max="1282" width="16.28515625" style="533" customWidth="1"/>
    <col min="1283" max="1283" width="12.140625" style="533" customWidth="1"/>
    <col min="1284" max="1284" width="15.7109375" style="533" customWidth="1"/>
    <col min="1285" max="1285" width="16.28515625" style="533" customWidth="1"/>
    <col min="1286" max="1286" width="16" style="533" customWidth="1"/>
    <col min="1287" max="1287" width="14.85546875" style="533" customWidth="1"/>
    <col min="1288" max="1288" width="12.7109375" style="533" bestFit="1" customWidth="1"/>
    <col min="1289" max="1289" width="11.85546875" style="533" customWidth="1"/>
    <col min="1290" max="1290" width="19.5703125" style="533" customWidth="1"/>
    <col min="1291" max="1535" width="9.140625" style="533"/>
    <col min="1536" max="1536" width="6.7109375" style="533" customWidth="1"/>
    <col min="1537" max="1537" width="95.7109375" style="533" customWidth="1"/>
    <col min="1538" max="1538" width="16.28515625" style="533" customWidth="1"/>
    <col min="1539" max="1539" width="12.140625" style="533" customWidth="1"/>
    <col min="1540" max="1540" width="15.7109375" style="533" customWidth="1"/>
    <col min="1541" max="1541" width="16.28515625" style="533" customWidth="1"/>
    <col min="1542" max="1542" width="16" style="533" customWidth="1"/>
    <col min="1543" max="1543" width="14.85546875" style="533" customWidth="1"/>
    <col min="1544" max="1544" width="12.7109375" style="533" bestFit="1" customWidth="1"/>
    <col min="1545" max="1545" width="11.85546875" style="533" customWidth="1"/>
    <col min="1546" max="1546" width="19.5703125" style="533" customWidth="1"/>
    <col min="1547" max="1791" width="9.140625" style="533"/>
    <col min="1792" max="1792" width="6.7109375" style="533" customWidth="1"/>
    <col min="1793" max="1793" width="95.7109375" style="533" customWidth="1"/>
    <col min="1794" max="1794" width="16.28515625" style="533" customWidth="1"/>
    <col min="1795" max="1795" width="12.140625" style="533" customWidth="1"/>
    <col min="1796" max="1796" width="15.7109375" style="533" customWidth="1"/>
    <col min="1797" max="1797" width="16.28515625" style="533" customWidth="1"/>
    <col min="1798" max="1798" width="16" style="533" customWidth="1"/>
    <col min="1799" max="1799" width="14.85546875" style="533" customWidth="1"/>
    <col min="1800" max="1800" width="12.7109375" style="533" bestFit="1" customWidth="1"/>
    <col min="1801" max="1801" width="11.85546875" style="533" customWidth="1"/>
    <col min="1802" max="1802" width="19.5703125" style="533" customWidth="1"/>
    <col min="1803" max="2047" width="9.140625" style="533"/>
    <col min="2048" max="2048" width="6.7109375" style="533" customWidth="1"/>
    <col min="2049" max="2049" width="95.7109375" style="533" customWidth="1"/>
    <col min="2050" max="2050" width="16.28515625" style="533" customWidth="1"/>
    <col min="2051" max="2051" width="12.140625" style="533" customWidth="1"/>
    <col min="2052" max="2052" width="15.7109375" style="533" customWidth="1"/>
    <col min="2053" max="2053" width="16.28515625" style="533" customWidth="1"/>
    <col min="2054" max="2054" width="16" style="533" customWidth="1"/>
    <col min="2055" max="2055" width="14.85546875" style="533" customWidth="1"/>
    <col min="2056" max="2056" width="12.7109375" style="533" bestFit="1" customWidth="1"/>
    <col min="2057" max="2057" width="11.85546875" style="533" customWidth="1"/>
    <col min="2058" max="2058" width="19.5703125" style="533" customWidth="1"/>
    <col min="2059" max="2303" width="9.140625" style="533"/>
    <col min="2304" max="2304" width="6.7109375" style="533" customWidth="1"/>
    <col min="2305" max="2305" width="95.7109375" style="533" customWidth="1"/>
    <col min="2306" max="2306" width="16.28515625" style="533" customWidth="1"/>
    <col min="2307" max="2307" width="12.140625" style="533" customWidth="1"/>
    <col min="2308" max="2308" width="15.7109375" style="533" customWidth="1"/>
    <col min="2309" max="2309" width="16.28515625" style="533" customWidth="1"/>
    <col min="2310" max="2310" width="16" style="533" customWidth="1"/>
    <col min="2311" max="2311" width="14.85546875" style="533" customWidth="1"/>
    <col min="2312" max="2312" width="12.7109375" style="533" bestFit="1" customWidth="1"/>
    <col min="2313" max="2313" width="11.85546875" style="533" customWidth="1"/>
    <col min="2314" max="2314" width="19.5703125" style="533" customWidth="1"/>
    <col min="2315" max="2559" width="9.140625" style="533"/>
    <col min="2560" max="2560" width="6.7109375" style="533" customWidth="1"/>
    <col min="2561" max="2561" width="95.7109375" style="533" customWidth="1"/>
    <col min="2562" max="2562" width="16.28515625" style="533" customWidth="1"/>
    <col min="2563" max="2563" width="12.140625" style="533" customWidth="1"/>
    <col min="2564" max="2564" width="15.7109375" style="533" customWidth="1"/>
    <col min="2565" max="2565" width="16.28515625" style="533" customWidth="1"/>
    <col min="2566" max="2566" width="16" style="533" customWidth="1"/>
    <col min="2567" max="2567" width="14.85546875" style="533" customWidth="1"/>
    <col min="2568" max="2568" width="12.7109375" style="533" bestFit="1" customWidth="1"/>
    <col min="2569" max="2569" width="11.85546875" style="533" customWidth="1"/>
    <col min="2570" max="2570" width="19.5703125" style="533" customWidth="1"/>
    <col min="2571" max="2815" width="9.140625" style="533"/>
    <col min="2816" max="2816" width="6.7109375" style="533" customWidth="1"/>
    <col min="2817" max="2817" width="95.7109375" style="533" customWidth="1"/>
    <col min="2818" max="2818" width="16.28515625" style="533" customWidth="1"/>
    <col min="2819" max="2819" width="12.140625" style="533" customWidth="1"/>
    <col min="2820" max="2820" width="15.7109375" style="533" customWidth="1"/>
    <col min="2821" max="2821" width="16.28515625" style="533" customWidth="1"/>
    <col min="2822" max="2822" width="16" style="533" customWidth="1"/>
    <col min="2823" max="2823" width="14.85546875" style="533" customWidth="1"/>
    <col min="2824" max="2824" width="12.7109375" style="533" bestFit="1" customWidth="1"/>
    <col min="2825" max="2825" width="11.85546875" style="533" customWidth="1"/>
    <col min="2826" max="2826" width="19.5703125" style="533" customWidth="1"/>
    <col min="2827" max="3071" width="9.140625" style="533"/>
    <col min="3072" max="3072" width="6.7109375" style="533" customWidth="1"/>
    <col min="3073" max="3073" width="95.7109375" style="533" customWidth="1"/>
    <col min="3074" max="3074" width="16.28515625" style="533" customWidth="1"/>
    <col min="3075" max="3075" width="12.140625" style="533" customWidth="1"/>
    <col min="3076" max="3076" width="15.7109375" style="533" customWidth="1"/>
    <col min="3077" max="3077" width="16.28515625" style="533" customWidth="1"/>
    <col min="3078" max="3078" width="16" style="533" customWidth="1"/>
    <col min="3079" max="3079" width="14.85546875" style="533" customWidth="1"/>
    <col min="3080" max="3080" width="12.7109375" style="533" bestFit="1" customWidth="1"/>
    <col min="3081" max="3081" width="11.85546875" style="533" customWidth="1"/>
    <col min="3082" max="3082" width="19.5703125" style="533" customWidth="1"/>
    <col min="3083" max="3327" width="9.140625" style="533"/>
    <col min="3328" max="3328" width="6.7109375" style="533" customWidth="1"/>
    <col min="3329" max="3329" width="95.7109375" style="533" customWidth="1"/>
    <col min="3330" max="3330" width="16.28515625" style="533" customWidth="1"/>
    <col min="3331" max="3331" width="12.140625" style="533" customWidth="1"/>
    <col min="3332" max="3332" width="15.7109375" style="533" customWidth="1"/>
    <col min="3333" max="3333" width="16.28515625" style="533" customWidth="1"/>
    <col min="3334" max="3334" width="16" style="533" customWidth="1"/>
    <col min="3335" max="3335" width="14.85546875" style="533" customWidth="1"/>
    <col min="3336" max="3336" width="12.7109375" style="533" bestFit="1" customWidth="1"/>
    <col min="3337" max="3337" width="11.85546875" style="533" customWidth="1"/>
    <col min="3338" max="3338" width="19.5703125" style="533" customWidth="1"/>
    <col min="3339" max="3583" width="9.140625" style="533"/>
    <col min="3584" max="3584" width="6.7109375" style="533" customWidth="1"/>
    <col min="3585" max="3585" width="95.7109375" style="533" customWidth="1"/>
    <col min="3586" max="3586" width="16.28515625" style="533" customWidth="1"/>
    <col min="3587" max="3587" width="12.140625" style="533" customWidth="1"/>
    <col min="3588" max="3588" width="15.7109375" style="533" customWidth="1"/>
    <col min="3589" max="3589" width="16.28515625" style="533" customWidth="1"/>
    <col min="3590" max="3590" width="16" style="533" customWidth="1"/>
    <col min="3591" max="3591" width="14.85546875" style="533" customWidth="1"/>
    <col min="3592" max="3592" width="12.7109375" style="533" bestFit="1" customWidth="1"/>
    <col min="3593" max="3593" width="11.85546875" style="533" customWidth="1"/>
    <col min="3594" max="3594" width="19.5703125" style="533" customWidth="1"/>
    <col min="3595" max="3839" width="9.140625" style="533"/>
    <col min="3840" max="3840" width="6.7109375" style="533" customWidth="1"/>
    <col min="3841" max="3841" width="95.7109375" style="533" customWidth="1"/>
    <col min="3842" max="3842" width="16.28515625" style="533" customWidth="1"/>
    <col min="3843" max="3843" width="12.140625" style="533" customWidth="1"/>
    <col min="3844" max="3844" width="15.7109375" style="533" customWidth="1"/>
    <col min="3845" max="3845" width="16.28515625" style="533" customWidth="1"/>
    <col min="3846" max="3846" width="16" style="533" customWidth="1"/>
    <col min="3847" max="3847" width="14.85546875" style="533" customWidth="1"/>
    <col min="3848" max="3848" width="12.7109375" style="533" bestFit="1" customWidth="1"/>
    <col min="3849" max="3849" width="11.85546875" style="533" customWidth="1"/>
    <col min="3850" max="3850" width="19.5703125" style="533" customWidth="1"/>
    <col min="3851" max="4095" width="9.140625" style="533"/>
    <col min="4096" max="4096" width="6.7109375" style="533" customWidth="1"/>
    <col min="4097" max="4097" width="95.7109375" style="533" customWidth="1"/>
    <col min="4098" max="4098" width="16.28515625" style="533" customWidth="1"/>
    <col min="4099" max="4099" width="12.140625" style="533" customWidth="1"/>
    <col min="4100" max="4100" width="15.7109375" style="533" customWidth="1"/>
    <col min="4101" max="4101" width="16.28515625" style="533" customWidth="1"/>
    <col min="4102" max="4102" width="16" style="533" customWidth="1"/>
    <col min="4103" max="4103" width="14.85546875" style="533" customWidth="1"/>
    <col min="4104" max="4104" width="12.7109375" style="533" bestFit="1" customWidth="1"/>
    <col min="4105" max="4105" width="11.85546875" style="533" customWidth="1"/>
    <col min="4106" max="4106" width="19.5703125" style="533" customWidth="1"/>
    <col min="4107" max="4351" width="9.140625" style="533"/>
    <col min="4352" max="4352" width="6.7109375" style="533" customWidth="1"/>
    <col min="4353" max="4353" width="95.7109375" style="533" customWidth="1"/>
    <col min="4354" max="4354" width="16.28515625" style="533" customWidth="1"/>
    <col min="4355" max="4355" width="12.140625" style="533" customWidth="1"/>
    <col min="4356" max="4356" width="15.7109375" style="533" customWidth="1"/>
    <col min="4357" max="4357" width="16.28515625" style="533" customWidth="1"/>
    <col min="4358" max="4358" width="16" style="533" customWidth="1"/>
    <col min="4359" max="4359" width="14.85546875" style="533" customWidth="1"/>
    <col min="4360" max="4360" width="12.7109375" style="533" bestFit="1" customWidth="1"/>
    <col min="4361" max="4361" width="11.85546875" style="533" customWidth="1"/>
    <col min="4362" max="4362" width="19.5703125" style="533" customWidth="1"/>
    <col min="4363" max="4607" width="9.140625" style="533"/>
    <col min="4608" max="4608" width="6.7109375" style="533" customWidth="1"/>
    <col min="4609" max="4609" width="95.7109375" style="533" customWidth="1"/>
    <col min="4610" max="4610" width="16.28515625" style="533" customWidth="1"/>
    <col min="4611" max="4611" width="12.140625" style="533" customWidth="1"/>
    <col min="4612" max="4612" width="15.7109375" style="533" customWidth="1"/>
    <col min="4613" max="4613" width="16.28515625" style="533" customWidth="1"/>
    <col min="4614" max="4614" width="16" style="533" customWidth="1"/>
    <col min="4615" max="4615" width="14.85546875" style="533" customWidth="1"/>
    <col min="4616" max="4616" width="12.7109375" style="533" bestFit="1" customWidth="1"/>
    <col min="4617" max="4617" width="11.85546875" style="533" customWidth="1"/>
    <col min="4618" max="4618" width="19.5703125" style="533" customWidth="1"/>
    <col min="4619" max="4863" width="9.140625" style="533"/>
    <col min="4864" max="4864" width="6.7109375" style="533" customWidth="1"/>
    <col min="4865" max="4865" width="95.7109375" style="533" customWidth="1"/>
    <col min="4866" max="4866" width="16.28515625" style="533" customWidth="1"/>
    <col min="4867" max="4867" width="12.140625" style="533" customWidth="1"/>
    <col min="4868" max="4868" width="15.7109375" style="533" customWidth="1"/>
    <col min="4869" max="4869" width="16.28515625" style="533" customWidth="1"/>
    <col min="4870" max="4870" width="16" style="533" customWidth="1"/>
    <col min="4871" max="4871" width="14.85546875" style="533" customWidth="1"/>
    <col min="4872" max="4872" width="12.7109375" style="533" bestFit="1" customWidth="1"/>
    <col min="4873" max="4873" width="11.85546875" style="533" customWidth="1"/>
    <col min="4874" max="4874" width="19.5703125" style="533" customWidth="1"/>
    <col min="4875" max="5119" width="9.140625" style="533"/>
    <col min="5120" max="5120" width="6.7109375" style="533" customWidth="1"/>
    <col min="5121" max="5121" width="95.7109375" style="533" customWidth="1"/>
    <col min="5122" max="5122" width="16.28515625" style="533" customWidth="1"/>
    <col min="5123" max="5123" width="12.140625" style="533" customWidth="1"/>
    <col min="5124" max="5124" width="15.7109375" style="533" customWidth="1"/>
    <col min="5125" max="5125" width="16.28515625" style="533" customWidth="1"/>
    <col min="5126" max="5126" width="16" style="533" customWidth="1"/>
    <col min="5127" max="5127" width="14.85546875" style="533" customWidth="1"/>
    <col min="5128" max="5128" width="12.7109375" style="533" bestFit="1" customWidth="1"/>
    <col min="5129" max="5129" width="11.85546875" style="533" customWidth="1"/>
    <col min="5130" max="5130" width="19.5703125" style="533" customWidth="1"/>
    <col min="5131" max="5375" width="9.140625" style="533"/>
    <col min="5376" max="5376" width="6.7109375" style="533" customWidth="1"/>
    <col min="5377" max="5377" width="95.7109375" style="533" customWidth="1"/>
    <col min="5378" max="5378" width="16.28515625" style="533" customWidth="1"/>
    <col min="5379" max="5379" width="12.140625" style="533" customWidth="1"/>
    <col min="5380" max="5380" width="15.7109375" style="533" customWidth="1"/>
    <col min="5381" max="5381" width="16.28515625" style="533" customWidth="1"/>
    <col min="5382" max="5382" width="16" style="533" customWidth="1"/>
    <col min="5383" max="5383" width="14.85546875" style="533" customWidth="1"/>
    <col min="5384" max="5384" width="12.7109375" style="533" bestFit="1" customWidth="1"/>
    <col min="5385" max="5385" width="11.85546875" style="533" customWidth="1"/>
    <col min="5386" max="5386" width="19.5703125" style="533" customWidth="1"/>
    <col min="5387" max="5631" width="9.140625" style="533"/>
    <col min="5632" max="5632" width="6.7109375" style="533" customWidth="1"/>
    <col min="5633" max="5633" width="95.7109375" style="533" customWidth="1"/>
    <col min="5634" max="5634" width="16.28515625" style="533" customWidth="1"/>
    <col min="5635" max="5635" width="12.140625" style="533" customWidth="1"/>
    <col min="5636" max="5636" width="15.7109375" style="533" customWidth="1"/>
    <col min="5637" max="5637" width="16.28515625" style="533" customWidth="1"/>
    <col min="5638" max="5638" width="16" style="533" customWidth="1"/>
    <col min="5639" max="5639" width="14.85546875" style="533" customWidth="1"/>
    <col min="5640" max="5640" width="12.7109375" style="533" bestFit="1" customWidth="1"/>
    <col min="5641" max="5641" width="11.85546875" style="533" customWidth="1"/>
    <col min="5642" max="5642" width="19.5703125" style="533" customWidth="1"/>
    <col min="5643" max="5887" width="9.140625" style="533"/>
    <col min="5888" max="5888" width="6.7109375" style="533" customWidth="1"/>
    <col min="5889" max="5889" width="95.7109375" style="533" customWidth="1"/>
    <col min="5890" max="5890" width="16.28515625" style="533" customWidth="1"/>
    <col min="5891" max="5891" width="12.140625" style="533" customWidth="1"/>
    <col min="5892" max="5892" width="15.7109375" style="533" customWidth="1"/>
    <col min="5893" max="5893" width="16.28515625" style="533" customWidth="1"/>
    <col min="5894" max="5894" width="16" style="533" customWidth="1"/>
    <col min="5895" max="5895" width="14.85546875" style="533" customWidth="1"/>
    <col min="5896" max="5896" width="12.7109375" style="533" bestFit="1" customWidth="1"/>
    <col min="5897" max="5897" width="11.85546875" style="533" customWidth="1"/>
    <col min="5898" max="5898" width="19.5703125" style="533" customWidth="1"/>
    <col min="5899" max="6143" width="9.140625" style="533"/>
    <col min="6144" max="6144" width="6.7109375" style="533" customWidth="1"/>
    <col min="6145" max="6145" width="95.7109375" style="533" customWidth="1"/>
    <col min="6146" max="6146" width="16.28515625" style="533" customWidth="1"/>
    <col min="6147" max="6147" width="12.140625" style="533" customWidth="1"/>
    <col min="6148" max="6148" width="15.7109375" style="533" customWidth="1"/>
    <col min="6149" max="6149" width="16.28515625" style="533" customWidth="1"/>
    <col min="6150" max="6150" width="16" style="533" customWidth="1"/>
    <col min="6151" max="6151" width="14.85546875" style="533" customWidth="1"/>
    <col min="6152" max="6152" width="12.7109375" style="533" bestFit="1" customWidth="1"/>
    <col min="6153" max="6153" width="11.85546875" style="533" customWidth="1"/>
    <col min="6154" max="6154" width="19.5703125" style="533" customWidth="1"/>
    <col min="6155" max="6399" width="9.140625" style="533"/>
    <col min="6400" max="6400" width="6.7109375" style="533" customWidth="1"/>
    <col min="6401" max="6401" width="95.7109375" style="533" customWidth="1"/>
    <col min="6402" max="6402" width="16.28515625" style="533" customWidth="1"/>
    <col min="6403" max="6403" width="12.140625" style="533" customWidth="1"/>
    <col min="6404" max="6404" width="15.7109375" style="533" customWidth="1"/>
    <col min="6405" max="6405" width="16.28515625" style="533" customWidth="1"/>
    <col min="6406" max="6406" width="16" style="533" customWidth="1"/>
    <col min="6407" max="6407" width="14.85546875" style="533" customWidth="1"/>
    <col min="6408" max="6408" width="12.7109375" style="533" bestFit="1" customWidth="1"/>
    <col min="6409" max="6409" width="11.85546875" style="533" customWidth="1"/>
    <col min="6410" max="6410" width="19.5703125" style="533" customWidth="1"/>
    <col min="6411" max="6655" width="9.140625" style="533"/>
    <col min="6656" max="6656" width="6.7109375" style="533" customWidth="1"/>
    <col min="6657" max="6657" width="95.7109375" style="533" customWidth="1"/>
    <col min="6658" max="6658" width="16.28515625" style="533" customWidth="1"/>
    <col min="6659" max="6659" width="12.140625" style="533" customWidth="1"/>
    <col min="6660" max="6660" width="15.7109375" style="533" customWidth="1"/>
    <col min="6661" max="6661" width="16.28515625" style="533" customWidth="1"/>
    <col min="6662" max="6662" width="16" style="533" customWidth="1"/>
    <col min="6663" max="6663" width="14.85546875" style="533" customWidth="1"/>
    <col min="6664" max="6664" width="12.7109375" style="533" bestFit="1" customWidth="1"/>
    <col min="6665" max="6665" width="11.85546875" style="533" customWidth="1"/>
    <col min="6666" max="6666" width="19.5703125" style="533" customWidth="1"/>
    <col min="6667" max="6911" width="9.140625" style="533"/>
    <col min="6912" max="6912" width="6.7109375" style="533" customWidth="1"/>
    <col min="6913" max="6913" width="95.7109375" style="533" customWidth="1"/>
    <col min="6914" max="6914" width="16.28515625" style="533" customWidth="1"/>
    <col min="6915" max="6915" width="12.140625" style="533" customWidth="1"/>
    <col min="6916" max="6916" width="15.7109375" style="533" customWidth="1"/>
    <col min="6917" max="6917" width="16.28515625" style="533" customWidth="1"/>
    <col min="6918" max="6918" width="16" style="533" customWidth="1"/>
    <col min="6919" max="6919" width="14.85546875" style="533" customWidth="1"/>
    <col min="6920" max="6920" width="12.7109375" style="533" bestFit="1" customWidth="1"/>
    <col min="6921" max="6921" width="11.85546875" style="533" customWidth="1"/>
    <col min="6922" max="6922" width="19.5703125" style="533" customWidth="1"/>
    <col min="6923" max="7167" width="9.140625" style="533"/>
    <col min="7168" max="7168" width="6.7109375" style="533" customWidth="1"/>
    <col min="7169" max="7169" width="95.7109375" style="533" customWidth="1"/>
    <col min="7170" max="7170" width="16.28515625" style="533" customWidth="1"/>
    <col min="7171" max="7171" width="12.140625" style="533" customWidth="1"/>
    <col min="7172" max="7172" width="15.7109375" style="533" customWidth="1"/>
    <col min="7173" max="7173" width="16.28515625" style="533" customWidth="1"/>
    <col min="7174" max="7174" width="16" style="533" customWidth="1"/>
    <col min="7175" max="7175" width="14.85546875" style="533" customWidth="1"/>
    <col min="7176" max="7176" width="12.7109375" style="533" bestFit="1" customWidth="1"/>
    <col min="7177" max="7177" width="11.85546875" style="533" customWidth="1"/>
    <col min="7178" max="7178" width="19.5703125" style="533" customWidth="1"/>
    <col min="7179" max="7423" width="9.140625" style="533"/>
    <col min="7424" max="7424" width="6.7109375" style="533" customWidth="1"/>
    <col min="7425" max="7425" width="95.7109375" style="533" customWidth="1"/>
    <col min="7426" max="7426" width="16.28515625" style="533" customWidth="1"/>
    <col min="7427" max="7427" width="12.140625" style="533" customWidth="1"/>
    <col min="7428" max="7428" width="15.7109375" style="533" customWidth="1"/>
    <col min="7429" max="7429" width="16.28515625" style="533" customWidth="1"/>
    <col min="7430" max="7430" width="16" style="533" customWidth="1"/>
    <col min="7431" max="7431" width="14.85546875" style="533" customWidth="1"/>
    <col min="7432" max="7432" width="12.7109375" style="533" bestFit="1" customWidth="1"/>
    <col min="7433" max="7433" width="11.85546875" style="533" customWidth="1"/>
    <col min="7434" max="7434" width="19.5703125" style="533" customWidth="1"/>
    <col min="7435" max="7679" width="9.140625" style="533"/>
    <col min="7680" max="7680" width="6.7109375" style="533" customWidth="1"/>
    <col min="7681" max="7681" width="95.7109375" style="533" customWidth="1"/>
    <col min="7682" max="7682" width="16.28515625" style="533" customWidth="1"/>
    <col min="7683" max="7683" width="12.140625" style="533" customWidth="1"/>
    <col min="7684" max="7684" width="15.7109375" style="533" customWidth="1"/>
    <col min="7685" max="7685" width="16.28515625" style="533" customWidth="1"/>
    <col min="7686" max="7686" width="16" style="533" customWidth="1"/>
    <col min="7687" max="7687" width="14.85546875" style="533" customWidth="1"/>
    <col min="7688" max="7688" width="12.7109375" style="533" bestFit="1" customWidth="1"/>
    <col min="7689" max="7689" width="11.85546875" style="533" customWidth="1"/>
    <col min="7690" max="7690" width="19.5703125" style="533" customWidth="1"/>
    <col min="7691" max="7935" width="9.140625" style="533"/>
    <col min="7936" max="7936" width="6.7109375" style="533" customWidth="1"/>
    <col min="7937" max="7937" width="95.7109375" style="533" customWidth="1"/>
    <col min="7938" max="7938" width="16.28515625" style="533" customWidth="1"/>
    <col min="7939" max="7939" width="12.140625" style="533" customWidth="1"/>
    <col min="7940" max="7940" width="15.7109375" style="533" customWidth="1"/>
    <col min="7941" max="7941" width="16.28515625" style="533" customWidth="1"/>
    <col min="7942" max="7942" width="16" style="533" customWidth="1"/>
    <col min="7943" max="7943" width="14.85546875" style="533" customWidth="1"/>
    <col min="7944" max="7944" width="12.7109375" style="533" bestFit="1" customWidth="1"/>
    <col min="7945" max="7945" width="11.85546875" style="533" customWidth="1"/>
    <col min="7946" max="7946" width="19.5703125" style="533" customWidth="1"/>
    <col min="7947" max="8191" width="9.140625" style="533"/>
    <col min="8192" max="8192" width="6.7109375" style="533" customWidth="1"/>
    <col min="8193" max="8193" width="95.7109375" style="533" customWidth="1"/>
    <col min="8194" max="8194" width="16.28515625" style="533" customWidth="1"/>
    <col min="8195" max="8195" width="12.140625" style="533" customWidth="1"/>
    <col min="8196" max="8196" width="15.7109375" style="533" customWidth="1"/>
    <col min="8197" max="8197" width="16.28515625" style="533" customWidth="1"/>
    <col min="8198" max="8198" width="16" style="533" customWidth="1"/>
    <col min="8199" max="8199" width="14.85546875" style="533" customWidth="1"/>
    <col min="8200" max="8200" width="12.7109375" style="533" bestFit="1" customWidth="1"/>
    <col min="8201" max="8201" width="11.85546875" style="533" customWidth="1"/>
    <col min="8202" max="8202" width="19.5703125" style="533" customWidth="1"/>
    <col min="8203" max="8447" width="9.140625" style="533"/>
    <col min="8448" max="8448" width="6.7109375" style="533" customWidth="1"/>
    <col min="8449" max="8449" width="95.7109375" style="533" customWidth="1"/>
    <col min="8450" max="8450" width="16.28515625" style="533" customWidth="1"/>
    <col min="8451" max="8451" width="12.140625" style="533" customWidth="1"/>
    <col min="8452" max="8452" width="15.7109375" style="533" customWidth="1"/>
    <col min="8453" max="8453" width="16.28515625" style="533" customWidth="1"/>
    <col min="8454" max="8454" width="16" style="533" customWidth="1"/>
    <col min="8455" max="8455" width="14.85546875" style="533" customWidth="1"/>
    <col min="8456" max="8456" width="12.7109375" style="533" bestFit="1" customWidth="1"/>
    <col min="8457" max="8457" width="11.85546875" style="533" customWidth="1"/>
    <col min="8458" max="8458" width="19.5703125" style="533" customWidth="1"/>
    <col min="8459" max="8703" width="9.140625" style="533"/>
    <col min="8704" max="8704" width="6.7109375" style="533" customWidth="1"/>
    <col min="8705" max="8705" width="95.7109375" style="533" customWidth="1"/>
    <col min="8706" max="8706" width="16.28515625" style="533" customWidth="1"/>
    <col min="8707" max="8707" width="12.140625" style="533" customWidth="1"/>
    <col min="8708" max="8708" width="15.7109375" style="533" customWidth="1"/>
    <col min="8709" max="8709" width="16.28515625" style="533" customWidth="1"/>
    <col min="8710" max="8710" width="16" style="533" customWidth="1"/>
    <col min="8711" max="8711" width="14.85546875" style="533" customWidth="1"/>
    <col min="8712" max="8712" width="12.7109375" style="533" bestFit="1" customWidth="1"/>
    <col min="8713" max="8713" width="11.85546875" style="533" customWidth="1"/>
    <col min="8714" max="8714" width="19.5703125" style="533" customWidth="1"/>
    <col min="8715" max="8959" width="9.140625" style="533"/>
    <col min="8960" max="8960" width="6.7109375" style="533" customWidth="1"/>
    <col min="8961" max="8961" width="95.7109375" style="533" customWidth="1"/>
    <col min="8962" max="8962" width="16.28515625" style="533" customWidth="1"/>
    <col min="8963" max="8963" width="12.140625" style="533" customWidth="1"/>
    <col min="8964" max="8964" width="15.7109375" style="533" customWidth="1"/>
    <col min="8965" max="8965" width="16.28515625" style="533" customWidth="1"/>
    <col min="8966" max="8966" width="16" style="533" customWidth="1"/>
    <col min="8967" max="8967" width="14.85546875" style="533" customWidth="1"/>
    <col min="8968" max="8968" width="12.7109375" style="533" bestFit="1" customWidth="1"/>
    <col min="8969" max="8969" width="11.85546875" style="533" customWidth="1"/>
    <col min="8970" max="8970" width="19.5703125" style="533" customWidth="1"/>
    <col min="8971" max="9215" width="9.140625" style="533"/>
    <col min="9216" max="9216" width="6.7109375" style="533" customWidth="1"/>
    <col min="9217" max="9217" width="95.7109375" style="533" customWidth="1"/>
    <col min="9218" max="9218" width="16.28515625" style="533" customWidth="1"/>
    <col min="9219" max="9219" width="12.140625" style="533" customWidth="1"/>
    <col min="9220" max="9220" width="15.7109375" style="533" customWidth="1"/>
    <col min="9221" max="9221" width="16.28515625" style="533" customWidth="1"/>
    <col min="9222" max="9222" width="16" style="533" customWidth="1"/>
    <col min="9223" max="9223" width="14.85546875" style="533" customWidth="1"/>
    <col min="9224" max="9224" width="12.7109375" style="533" bestFit="1" customWidth="1"/>
    <col min="9225" max="9225" width="11.85546875" style="533" customWidth="1"/>
    <col min="9226" max="9226" width="19.5703125" style="533" customWidth="1"/>
    <col min="9227" max="9471" width="9.140625" style="533"/>
    <col min="9472" max="9472" width="6.7109375" style="533" customWidth="1"/>
    <col min="9473" max="9473" width="95.7109375" style="533" customWidth="1"/>
    <col min="9474" max="9474" width="16.28515625" style="533" customWidth="1"/>
    <col min="9475" max="9475" width="12.140625" style="533" customWidth="1"/>
    <col min="9476" max="9476" width="15.7109375" style="533" customWidth="1"/>
    <col min="9477" max="9477" width="16.28515625" style="533" customWidth="1"/>
    <col min="9478" max="9478" width="16" style="533" customWidth="1"/>
    <col min="9479" max="9479" width="14.85546875" style="533" customWidth="1"/>
    <col min="9480" max="9480" width="12.7109375" style="533" bestFit="1" customWidth="1"/>
    <col min="9481" max="9481" width="11.85546875" style="533" customWidth="1"/>
    <col min="9482" max="9482" width="19.5703125" style="533" customWidth="1"/>
    <col min="9483" max="9727" width="9.140625" style="533"/>
    <col min="9728" max="9728" width="6.7109375" style="533" customWidth="1"/>
    <col min="9729" max="9729" width="95.7109375" style="533" customWidth="1"/>
    <col min="9730" max="9730" width="16.28515625" style="533" customWidth="1"/>
    <col min="9731" max="9731" width="12.140625" style="533" customWidth="1"/>
    <col min="9732" max="9732" width="15.7109375" style="533" customWidth="1"/>
    <col min="9733" max="9733" width="16.28515625" style="533" customWidth="1"/>
    <col min="9734" max="9734" width="16" style="533" customWidth="1"/>
    <col min="9735" max="9735" width="14.85546875" style="533" customWidth="1"/>
    <col min="9736" max="9736" width="12.7109375" style="533" bestFit="1" customWidth="1"/>
    <col min="9737" max="9737" width="11.85546875" style="533" customWidth="1"/>
    <col min="9738" max="9738" width="19.5703125" style="533" customWidth="1"/>
    <col min="9739" max="9983" width="9.140625" style="533"/>
    <col min="9984" max="9984" width="6.7109375" style="533" customWidth="1"/>
    <col min="9985" max="9985" width="95.7109375" style="533" customWidth="1"/>
    <col min="9986" max="9986" width="16.28515625" style="533" customWidth="1"/>
    <col min="9987" max="9987" width="12.140625" style="533" customWidth="1"/>
    <col min="9988" max="9988" width="15.7109375" style="533" customWidth="1"/>
    <col min="9989" max="9989" width="16.28515625" style="533" customWidth="1"/>
    <col min="9990" max="9990" width="16" style="533" customWidth="1"/>
    <col min="9991" max="9991" width="14.85546875" style="533" customWidth="1"/>
    <col min="9992" max="9992" width="12.7109375" style="533" bestFit="1" customWidth="1"/>
    <col min="9993" max="9993" width="11.85546875" style="533" customWidth="1"/>
    <col min="9994" max="9994" width="19.5703125" style="533" customWidth="1"/>
    <col min="9995" max="10239" width="9.140625" style="533"/>
    <col min="10240" max="10240" width="6.7109375" style="533" customWidth="1"/>
    <col min="10241" max="10241" width="95.7109375" style="533" customWidth="1"/>
    <col min="10242" max="10242" width="16.28515625" style="533" customWidth="1"/>
    <col min="10243" max="10243" width="12.140625" style="533" customWidth="1"/>
    <col min="10244" max="10244" width="15.7109375" style="533" customWidth="1"/>
    <col min="10245" max="10245" width="16.28515625" style="533" customWidth="1"/>
    <col min="10246" max="10246" width="16" style="533" customWidth="1"/>
    <col min="10247" max="10247" width="14.85546875" style="533" customWidth="1"/>
    <col min="10248" max="10248" width="12.7109375" style="533" bestFit="1" customWidth="1"/>
    <col min="10249" max="10249" width="11.85546875" style="533" customWidth="1"/>
    <col min="10250" max="10250" width="19.5703125" style="533" customWidth="1"/>
    <col min="10251" max="10495" width="9.140625" style="533"/>
    <col min="10496" max="10496" width="6.7109375" style="533" customWidth="1"/>
    <col min="10497" max="10497" width="95.7109375" style="533" customWidth="1"/>
    <col min="10498" max="10498" width="16.28515625" style="533" customWidth="1"/>
    <col min="10499" max="10499" width="12.140625" style="533" customWidth="1"/>
    <col min="10500" max="10500" width="15.7109375" style="533" customWidth="1"/>
    <col min="10501" max="10501" width="16.28515625" style="533" customWidth="1"/>
    <col min="10502" max="10502" width="16" style="533" customWidth="1"/>
    <col min="10503" max="10503" width="14.85546875" style="533" customWidth="1"/>
    <col min="10504" max="10504" width="12.7109375" style="533" bestFit="1" customWidth="1"/>
    <col min="10505" max="10505" width="11.85546875" style="533" customWidth="1"/>
    <col min="10506" max="10506" width="19.5703125" style="533" customWidth="1"/>
    <col min="10507" max="10751" width="9.140625" style="533"/>
    <col min="10752" max="10752" width="6.7109375" style="533" customWidth="1"/>
    <col min="10753" max="10753" width="95.7109375" style="533" customWidth="1"/>
    <col min="10754" max="10754" width="16.28515625" style="533" customWidth="1"/>
    <col min="10755" max="10755" width="12.140625" style="533" customWidth="1"/>
    <col min="10756" max="10756" width="15.7109375" style="533" customWidth="1"/>
    <col min="10757" max="10757" width="16.28515625" style="533" customWidth="1"/>
    <col min="10758" max="10758" width="16" style="533" customWidth="1"/>
    <col min="10759" max="10759" width="14.85546875" style="533" customWidth="1"/>
    <col min="10760" max="10760" width="12.7109375" style="533" bestFit="1" customWidth="1"/>
    <col min="10761" max="10761" width="11.85546875" style="533" customWidth="1"/>
    <col min="10762" max="10762" width="19.5703125" style="533" customWidth="1"/>
    <col min="10763" max="11007" width="9.140625" style="533"/>
    <col min="11008" max="11008" width="6.7109375" style="533" customWidth="1"/>
    <col min="11009" max="11009" width="95.7109375" style="533" customWidth="1"/>
    <col min="11010" max="11010" width="16.28515625" style="533" customWidth="1"/>
    <col min="11011" max="11011" width="12.140625" style="533" customWidth="1"/>
    <col min="11012" max="11012" width="15.7109375" style="533" customWidth="1"/>
    <col min="11013" max="11013" width="16.28515625" style="533" customWidth="1"/>
    <col min="11014" max="11014" width="16" style="533" customWidth="1"/>
    <col min="11015" max="11015" width="14.85546875" style="533" customWidth="1"/>
    <col min="11016" max="11016" width="12.7109375" style="533" bestFit="1" customWidth="1"/>
    <col min="11017" max="11017" width="11.85546875" style="533" customWidth="1"/>
    <col min="11018" max="11018" width="19.5703125" style="533" customWidth="1"/>
    <col min="11019" max="11263" width="9.140625" style="533"/>
    <col min="11264" max="11264" width="6.7109375" style="533" customWidth="1"/>
    <col min="11265" max="11265" width="95.7109375" style="533" customWidth="1"/>
    <col min="11266" max="11266" width="16.28515625" style="533" customWidth="1"/>
    <col min="11267" max="11267" width="12.140625" style="533" customWidth="1"/>
    <col min="11268" max="11268" width="15.7109375" style="533" customWidth="1"/>
    <col min="11269" max="11269" width="16.28515625" style="533" customWidth="1"/>
    <col min="11270" max="11270" width="16" style="533" customWidth="1"/>
    <col min="11271" max="11271" width="14.85546875" style="533" customWidth="1"/>
    <col min="11272" max="11272" width="12.7109375" style="533" bestFit="1" customWidth="1"/>
    <col min="11273" max="11273" width="11.85546875" style="533" customWidth="1"/>
    <col min="11274" max="11274" width="19.5703125" style="533" customWidth="1"/>
    <col min="11275" max="11519" width="9.140625" style="533"/>
    <col min="11520" max="11520" width="6.7109375" style="533" customWidth="1"/>
    <col min="11521" max="11521" width="95.7109375" style="533" customWidth="1"/>
    <col min="11522" max="11522" width="16.28515625" style="533" customWidth="1"/>
    <col min="11523" max="11523" width="12.140625" style="533" customWidth="1"/>
    <col min="11524" max="11524" width="15.7109375" style="533" customWidth="1"/>
    <col min="11525" max="11525" width="16.28515625" style="533" customWidth="1"/>
    <col min="11526" max="11526" width="16" style="533" customWidth="1"/>
    <col min="11527" max="11527" width="14.85546875" style="533" customWidth="1"/>
    <col min="11528" max="11528" width="12.7109375" style="533" bestFit="1" customWidth="1"/>
    <col min="11529" max="11529" width="11.85546875" style="533" customWidth="1"/>
    <col min="11530" max="11530" width="19.5703125" style="533" customWidth="1"/>
    <col min="11531" max="11775" width="9.140625" style="533"/>
    <col min="11776" max="11776" width="6.7109375" style="533" customWidth="1"/>
    <col min="11777" max="11777" width="95.7109375" style="533" customWidth="1"/>
    <col min="11778" max="11778" width="16.28515625" style="533" customWidth="1"/>
    <col min="11779" max="11779" width="12.140625" style="533" customWidth="1"/>
    <col min="11780" max="11780" width="15.7109375" style="533" customWidth="1"/>
    <col min="11781" max="11781" width="16.28515625" style="533" customWidth="1"/>
    <col min="11782" max="11782" width="16" style="533" customWidth="1"/>
    <col min="11783" max="11783" width="14.85546875" style="533" customWidth="1"/>
    <col min="11784" max="11784" width="12.7109375" style="533" bestFit="1" customWidth="1"/>
    <col min="11785" max="11785" width="11.85546875" style="533" customWidth="1"/>
    <col min="11786" max="11786" width="19.5703125" style="533" customWidth="1"/>
    <col min="11787" max="12031" width="9.140625" style="533"/>
    <col min="12032" max="12032" width="6.7109375" style="533" customWidth="1"/>
    <col min="12033" max="12033" width="95.7109375" style="533" customWidth="1"/>
    <col min="12034" max="12034" width="16.28515625" style="533" customWidth="1"/>
    <col min="12035" max="12035" width="12.140625" style="533" customWidth="1"/>
    <col min="12036" max="12036" width="15.7109375" style="533" customWidth="1"/>
    <col min="12037" max="12037" width="16.28515625" style="533" customWidth="1"/>
    <col min="12038" max="12038" width="16" style="533" customWidth="1"/>
    <col min="12039" max="12039" width="14.85546875" style="533" customWidth="1"/>
    <col min="12040" max="12040" width="12.7109375" style="533" bestFit="1" customWidth="1"/>
    <col min="12041" max="12041" width="11.85546875" style="533" customWidth="1"/>
    <col min="12042" max="12042" width="19.5703125" style="533" customWidth="1"/>
    <col min="12043" max="12287" width="9.140625" style="533"/>
    <col min="12288" max="12288" width="6.7109375" style="533" customWidth="1"/>
    <col min="12289" max="12289" width="95.7109375" style="533" customWidth="1"/>
    <col min="12290" max="12290" width="16.28515625" style="533" customWidth="1"/>
    <col min="12291" max="12291" width="12.140625" style="533" customWidth="1"/>
    <col min="12292" max="12292" width="15.7109375" style="533" customWidth="1"/>
    <col min="12293" max="12293" width="16.28515625" style="533" customWidth="1"/>
    <col min="12294" max="12294" width="16" style="533" customWidth="1"/>
    <col min="12295" max="12295" width="14.85546875" style="533" customWidth="1"/>
    <col min="12296" max="12296" width="12.7109375" style="533" bestFit="1" customWidth="1"/>
    <col min="12297" max="12297" width="11.85546875" style="533" customWidth="1"/>
    <col min="12298" max="12298" width="19.5703125" style="533" customWidth="1"/>
    <col min="12299" max="12543" width="9.140625" style="533"/>
    <col min="12544" max="12544" width="6.7109375" style="533" customWidth="1"/>
    <col min="12545" max="12545" width="95.7109375" style="533" customWidth="1"/>
    <col min="12546" max="12546" width="16.28515625" style="533" customWidth="1"/>
    <col min="12547" max="12547" width="12.140625" style="533" customWidth="1"/>
    <col min="12548" max="12548" width="15.7109375" style="533" customWidth="1"/>
    <col min="12549" max="12549" width="16.28515625" style="533" customWidth="1"/>
    <col min="12550" max="12550" width="16" style="533" customWidth="1"/>
    <col min="12551" max="12551" width="14.85546875" style="533" customWidth="1"/>
    <col min="12552" max="12552" width="12.7109375" style="533" bestFit="1" customWidth="1"/>
    <col min="12553" max="12553" width="11.85546875" style="533" customWidth="1"/>
    <col min="12554" max="12554" width="19.5703125" style="533" customWidth="1"/>
    <col min="12555" max="12799" width="9.140625" style="533"/>
    <col min="12800" max="12800" width="6.7109375" style="533" customWidth="1"/>
    <col min="12801" max="12801" width="95.7109375" style="533" customWidth="1"/>
    <col min="12802" max="12802" width="16.28515625" style="533" customWidth="1"/>
    <col min="12803" max="12803" width="12.140625" style="533" customWidth="1"/>
    <col min="12804" max="12804" width="15.7109375" style="533" customWidth="1"/>
    <col min="12805" max="12805" width="16.28515625" style="533" customWidth="1"/>
    <col min="12806" max="12806" width="16" style="533" customWidth="1"/>
    <col min="12807" max="12807" width="14.85546875" style="533" customWidth="1"/>
    <col min="12808" max="12808" width="12.7109375" style="533" bestFit="1" customWidth="1"/>
    <col min="12809" max="12809" width="11.85546875" style="533" customWidth="1"/>
    <col min="12810" max="12810" width="19.5703125" style="533" customWidth="1"/>
    <col min="12811" max="13055" width="9.140625" style="533"/>
    <col min="13056" max="13056" width="6.7109375" style="533" customWidth="1"/>
    <col min="13057" max="13057" width="95.7109375" style="533" customWidth="1"/>
    <col min="13058" max="13058" width="16.28515625" style="533" customWidth="1"/>
    <col min="13059" max="13059" width="12.140625" style="533" customWidth="1"/>
    <col min="13060" max="13060" width="15.7109375" style="533" customWidth="1"/>
    <col min="13061" max="13061" width="16.28515625" style="533" customWidth="1"/>
    <col min="13062" max="13062" width="16" style="533" customWidth="1"/>
    <col min="13063" max="13063" width="14.85546875" style="533" customWidth="1"/>
    <col min="13064" max="13064" width="12.7109375" style="533" bestFit="1" customWidth="1"/>
    <col min="13065" max="13065" width="11.85546875" style="533" customWidth="1"/>
    <col min="13066" max="13066" width="19.5703125" style="533" customWidth="1"/>
    <col min="13067" max="13311" width="9.140625" style="533"/>
    <col min="13312" max="13312" width="6.7109375" style="533" customWidth="1"/>
    <col min="13313" max="13313" width="95.7109375" style="533" customWidth="1"/>
    <col min="13314" max="13314" width="16.28515625" style="533" customWidth="1"/>
    <col min="13315" max="13315" width="12.140625" style="533" customWidth="1"/>
    <col min="13316" max="13316" width="15.7109375" style="533" customWidth="1"/>
    <col min="13317" max="13317" width="16.28515625" style="533" customWidth="1"/>
    <col min="13318" max="13318" width="16" style="533" customWidth="1"/>
    <col min="13319" max="13319" width="14.85546875" style="533" customWidth="1"/>
    <col min="13320" max="13320" width="12.7109375" style="533" bestFit="1" customWidth="1"/>
    <col min="13321" max="13321" width="11.85546875" style="533" customWidth="1"/>
    <col min="13322" max="13322" width="19.5703125" style="533" customWidth="1"/>
    <col min="13323" max="13567" width="9.140625" style="533"/>
    <col min="13568" max="13568" width="6.7109375" style="533" customWidth="1"/>
    <col min="13569" max="13569" width="95.7109375" style="533" customWidth="1"/>
    <col min="13570" max="13570" width="16.28515625" style="533" customWidth="1"/>
    <col min="13571" max="13571" width="12.140625" style="533" customWidth="1"/>
    <col min="13572" max="13572" width="15.7109375" style="533" customWidth="1"/>
    <col min="13573" max="13573" width="16.28515625" style="533" customWidth="1"/>
    <col min="13574" max="13574" width="16" style="533" customWidth="1"/>
    <col min="13575" max="13575" width="14.85546875" style="533" customWidth="1"/>
    <col min="13576" max="13576" width="12.7109375" style="533" bestFit="1" customWidth="1"/>
    <col min="13577" max="13577" width="11.85546875" style="533" customWidth="1"/>
    <col min="13578" max="13578" width="19.5703125" style="533" customWidth="1"/>
    <col min="13579" max="13823" width="9.140625" style="533"/>
    <col min="13824" max="13824" width="6.7109375" style="533" customWidth="1"/>
    <col min="13825" max="13825" width="95.7109375" style="533" customWidth="1"/>
    <col min="13826" max="13826" width="16.28515625" style="533" customWidth="1"/>
    <col min="13827" max="13827" width="12.140625" style="533" customWidth="1"/>
    <col min="13828" max="13828" width="15.7109375" style="533" customWidth="1"/>
    <col min="13829" max="13829" width="16.28515625" style="533" customWidth="1"/>
    <col min="13830" max="13830" width="16" style="533" customWidth="1"/>
    <col min="13831" max="13831" width="14.85546875" style="533" customWidth="1"/>
    <col min="13832" max="13832" width="12.7109375" style="533" bestFit="1" customWidth="1"/>
    <col min="13833" max="13833" width="11.85546875" style="533" customWidth="1"/>
    <col min="13834" max="13834" width="19.5703125" style="533" customWidth="1"/>
    <col min="13835" max="14079" width="9.140625" style="533"/>
    <col min="14080" max="14080" width="6.7109375" style="533" customWidth="1"/>
    <col min="14081" max="14081" width="95.7109375" style="533" customWidth="1"/>
    <col min="14082" max="14082" width="16.28515625" style="533" customWidth="1"/>
    <col min="14083" max="14083" width="12.140625" style="533" customWidth="1"/>
    <col min="14084" max="14084" width="15.7109375" style="533" customWidth="1"/>
    <col min="14085" max="14085" width="16.28515625" style="533" customWidth="1"/>
    <col min="14086" max="14086" width="16" style="533" customWidth="1"/>
    <col min="14087" max="14087" width="14.85546875" style="533" customWidth="1"/>
    <col min="14088" max="14088" width="12.7109375" style="533" bestFit="1" customWidth="1"/>
    <col min="14089" max="14089" width="11.85546875" style="533" customWidth="1"/>
    <col min="14090" max="14090" width="19.5703125" style="533" customWidth="1"/>
    <col min="14091" max="14335" width="9.140625" style="533"/>
    <col min="14336" max="14336" width="6.7109375" style="533" customWidth="1"/>
    <col min="14337" max="14337" width="95.7109375" style="533" customWidth="1"/>
    <col min="14338" max="14338" width="16.28515625" style="533" customWidth="1"/>
    <col min="14339" max="14339" width="12.140625" style="533" customWidth="1"/>
    <col min="14340" max="14340" width="15.7109375" style="533" customWidth="1"/>
    <col min="14341" max="14341" width="16.28515625" style="533" customWidth="1"/>
    <col min="14342" max="14342" width="16" style="533" customWidth="1"/>
    <col min="14343" max="14343" width="14.85546875" style="533" customWidth="1"/>
    <col min="14344" max="14344" width="12.7109375" style="533" bestFit="1" customWidth="1"/>
    <col min="14345" max="14345" width="11.85546875" style="533" customWidth="1"/>
    <col min="14346" max="14346" width="19.5703125" style="533" customWidth="1"/>
    <col min="14347" max="14591" width="9.140625" style="533"/>
    <col min="14592" max="14592" width="6.7109375" style="533" customWidth="1"/>
    <col min="14593" max="14593" width="95.7109375" style="533" customWidth="1"/>
    <col min="14594" max="14594" width="16.28515625" style="533" customWidth="1"/>
    <col min="14595" max="14595" width="12.140625" style="533" customWidth="1"/>
    <col min="14596" max="14596" width="15.7109375" style="533" customWidth="1"/>
    <col min="14597" max="14597" width="16.28515625" style="533" customWidth="1"/>
    <col min="14598" max="14598" width="16" style="533" customWidth="1"/>
    <col min="14599" max="14599" width="14.85546875" style="533" customWidth="1"/>
    <col min="14600" max="14600" width="12.7109375" style="533" bestFit="1" customWidth="1"/>
    <col min="14601" max="14601" width="11.85546875" style="533" customWidth="1"/>
    <col min="14602" max="14602" width="19.5703125" style="533" customWidth="1"/>
    <col min="14603" max="14847" width="9.140625" style="533"/>
    <col min="14848" max="14848" width="6.7109375" style="533" customWidth="1"/>
    <col min="14849" max="14849" width="95.7109375" style="533" customWidth="1"/>
    <col min="14850" max="14850" width="16.28515625" style="533" customWidth="1"/>
    <col min="14851" max="14851" width="12.140625" style="533" customWidth="1"/>
    <col min="14852" max="14852" width="15.7109375" style="533" customWidth="1"/>
    <col min="14853" max="14853" width="16.28515625" style="533" customWidth="1"/>
    <col min="14854" max="14854" width="16" style="533" customWidth="1"/>
    <col min="14855" max="14855" width="14.85546875" style="533" customWidth="1"/>
    <col min="14856" max="14856" width="12.7109375" style="533" bestFit="1" customWidth="1"/>
    <col min="14857" max="14857" width="11.85546875" style="533" customWidth="1"/>
    <col min="14858" max="14858" width="19.5703125" style="533" customWidth="1"/>
    <col min="14859" max="15103" width="9.140625" style="533"/>
    <col min="15104" max="15104" width="6.7109375" style="533" customWidth="1"/>
    <col min="15105" max="15105" width="95.7109375" style="533" customWidth="1"/>
    <col min="15106" max="15106" width="16.28515625" style="533" customWidth="1"/>
    <col min="15107" max="15107" width="12.140625" style="533" customWidth="1"/>
    <col min="15108" max="15108" width="15.7109375" style="533" customWidth="1"/>
    <col min="15109" max="15109" width="16.28515625" style="533" customWidth="1"/>
    <col min="15110" max="15110" width="16" style="533" customWidth="1"/>
    <col min="15111" max="15111" width="14.85546875" style="533" customWidth="1"/>
    <col min="15112" max="15112" width="12.7109375" style="533" bestFit="1" customWidth="1"/>
    <col min="15113" max="15113" width="11.85546875" style="533" customWidth="1"/>
    <col min="15114" max="15114" width="19.5703125" style="533" customWidth="1"/>
    <col min="15115" max="15359" width="9.140625" style="533"/>
    <col min="15360" max="15360" width="6.7109375" style="533" customWidth="1"/>
    <col min="15361" max="15361" width="95.7109375" style="533" customWidth="1"/>
    <col min="15362" max="15362" width="16.28515625" style="533" customWidth="1"/>
    <col min="15363" max="15363" width="12.140625" style="533" customWidth="1"/>
    <col min="15364" max="15364" width="15.7109375" style="533" customWidth="1"/>
    <col min="15365" max="15365" width="16.28515625" style="533" customWidth="1"/>
    <col min="15366" max="15366" width="16" style="533" customWidth="1"/>
    <col min="15367" max="15367" width="14.85546875" style="533" customWidth="1"/>
    <col min="15368" max="15368" width="12.7109375" style="533" bestFit="1" customWidth="1"/>
    <col min="15369" max="15369" width="11.85546875" style="533" customWidth="1"/>
    <col min="15370" max="15370" width="19.5703125" style="533" customWidth="1"/>
    <col min="15371" max="15615" width="9.140625" style="533"/>
    <col min="15616" max="15616" width="6.7109375" style="533" customWidth="1"/>
    <col min="15617" max="15617" width="95.7109375" style="533" customWidth="1"/>
    <col min="15618" max="15618" width="16.28515625" style="533" customWidth="1"/>
    <col min="15619" max="15619" width="12.140625" style="533" customWidth="1"/>
    <col min="15620" max="15620" width="15.7109375" style="533" customWidth="1"/>
    <col min="15621" max="15621" width="16.28515625" style="533" customWidth="1"/>
    <col min="15622" max="15622" width="16" style="533" customWidth="1"/>
    <col min="15623" max="15623" width="14.85546875" style="533" customWidth="1"/>
    <col min="15624" max="15624" width="12.7109375" style="533" bestFit="1" customWidth="1"/>
    <col min="15625" max="15625" width="11.85546875" style="533" customWidth="1"/>
    <col min="15626" max="15626" width="19.5703125" style="533" customWidth="1"/>
    <col min="15627" max="15871" width="9.140625" style="533"/>
    <col min="15872" max="15872" width="6.7109375" style="533" customWidth="1"/>
    <col min="15873" max="15873" width="95.7109375" style="533" customWidth="1"/>
    <col min="15874" max="15874" width="16.28515625" style="533" customWidth="1"/>
    <col min="15875" max="15875" width="12.140625" style="533" customWidth="1"/>
    <col min="15876" max="15876" width="15.7109375" style="533" customWidth="1"/>
    <col min="15877" max="15877" width="16.28515625" style="533" customWidth="1"/>
    <col min="15878" max="15878" width="16" style="533" customWidth="1"/>
    <col min="15879" max="15879" width="14.85546875" style="533" customWidth="1"/>
    <col min="15880" max="15880" width="12.7109375" style="533" bestFit="1" customWidth="1"/>
    <col min="15881" max="15881" width="11.85546875" style="533" customWidth="1"/>
    <col min="15882" max="15882" width="19.5703125" style="533" customWidth="1"/>
    <col min="15883" max="16127" width="9.140625" style="533"/>
    <col min="16128" max="16128" width="6.7109375" style="533" customWidth="1"/>
    <col min="16129" max="16129" width="95.7109375" style="533" customWidth="1"/>
    <col min="16130" max="16130" width="16.28515625" style="533" customWidth="1"/>
    <col min="16131" max="16131" width="12.140625" style="533" customWidth="1"/>
    <col min="16132" max="16132" width="15.7109375" style="533" customWidth="1"/>
    <col min="16133" max="16133" width="16.28515625" style="533" customWidth="1"/>
    <col min="16134" max="16134" width="16" style="533" customWidth="1"/>
    <col min="16135" max="16135" width="14.85546875" style="533" customWidth="1"/>
    <col min="16136" max="16136" width="12.7109375" style="533" bestFit="1" customWidth="1"/>
    <col min="16137" max="16137" width="11.85546875" style="533" customWidth="1"/>
    <col min="16138" max="16138" width="19.5703125" style="533" customWidth="1"/>
    <col min="16139" max="16384" width="9.140625" style="533"/>
  </cols>
  <sheetData>
    <row r="2" spans="2:24" ht="18">
      <c r="B2" s="843" t="s">
        <v>738</v>
      </c>
      <c r="C2" s="843"/>
      <c r="D2" s="843"/>
      <c r="E2" s="843"/>
      <c r="F2" s="843"/>
      <c r="G2" s="843"/>
      <c r="H2" s="843"/>
      <c r="I2" s="843"/>
      <c r="J2" s="843"/>
      <c r="K2" s="843"/>
      <c r="L2" s="843"/>
      <c r="M2" s="843"/>
      <c r="N2" s="843"/>
      <c r="O2" s="843"/>
      <c r="P2" s="843"/>
      <c r="Q2" s="843"/>
      <c r="R2" s="843"/>
      <c r="S2" s="843"/>
      <c r="T2" s="843"/>
      <c r="U2" s="843"/>
      <c r="V2" s="843"/>
      <c r="W2" s="843"/>
    </row>
    <row r="3" spans="2:24">
      <c r="B3" s="844" t="s">
        <v>553</v>
      </c>
      <c r="C3" s="844"/>
      <c r="D3" s="844"/>
      <c r="E3" s="844"/>
      <c r="F3" s="844"/>
      <c r="G3" s="844"/>
      <c r="H3" s="844"/>
      <c r="I3" s="844"/>
      <c r="J3" s="844"/>
      <c r="K3" s="844"/>
      <c r="L3" s="844"/>
      <c r="M3" s="844"/>
      <c r="N3" s="844"/>
      <c r="O3" s="844"/>
      <c r="P3" s="844"/>
      <c r="Q3" s="844"/>
      <c r="R3" s="844"/>
      <c r="S3" s="844"/>
      <c r="T3" s="844"/>
      <c r="U3" s="844"/>
      <c r="V3" s="844"/>
      <c r="W3" s="844"/>
      <c r="X3" s="533">
        <v>100000</v>
      </c>
    </row>
    <row r="4" spans="2:24">
      <c r="B4" s="534"/>
    </row>
    <row r="5" spans="2:24">
      <c r="C5" s="534" t="s">
        <v>839</v>
      </c>
      <c r="D5" s="534"/>
      <c r="G5" s="606"/>
      <c r="W5" s="595" t="s">
        <v>776</v>
      </c>
    </row>
    <row r="6" spans="2:24" ht="63">
      <c r="C6" s="561" t="s">
        <v>3</v>
      </c>
      <c r="D6" s="561" t="s">
        <v>777</v>
      </c>
      <c r="E6" s="561" t="s">
        <v>778</v>
      </c>
      <c r="F6" s="561" t="s">
        <v>779</v>
      </c>
      <c r="G6" s="561" t="s">
        <v>810</v>
      </c>
      <c r="H6" s="561" t="s">
        <v>781</v>
      </c>
      <c r="I6" s="601"/>
      <c r="J6" s="601"/>
      <c r="K6" s="601"/>
      <c r="L6" s="601"/>
      <c r="M6" s="601"/>
      <c r="N6" s="601"/>
      <c r="O6" s="601"/>
      <c r="P6" s="601"/>
      <c r="Q6" s="601"/>
      <c r="R6" s="601"/>
      <c r="S6" s="601"/>
      <c r="T6" s="601"/>
      <c r="U6" s="601"/>
      <c r="V6" s="601"/>
      <c r="W6" s="561" t="s">
        <v>782</v>
      </c>
    </row>
    <row r="7" spans="2:24">
      <c r="C7" s="607" t="s">
        <v>840</v>
      </c>
      <c r="D7" s="581">
        <f>16012176/X3</f>
        <v>160.12175999999999</v>
      </c>
      <c r="E7" s="581">
        <f>19866813/X3</f>
        <v>198.66812999999999</v>
      </c>
      <c r="F7" s="608">
        <f>17150983/X3</f>
        <v>171.50982999999999</v>
      </c>
      <c r="G7" s="581">
        <f>11333823/X3</f>
        <v>113.33823</v>
      </c>
      <c r="H7" s="581">
        <f>18193933/X3</f>
        <v>181.93933000000001</v>
      </c>
      <c r="I7" s="581"/>
      <c r="J7" s="581"/>
      <c r="K7" s="581"/>
      <c r="L7" s="581"/>
      <c r="M7" s="581"/>
      <c r="N7" s="581"/>
      <c r="O7" s="581"/>
      <c r="P7" s="581"/>
      <c r="Q7" s="581"/>
      <c r="R7" s="581"/>
      <c r="S7" s="581"/>
      <c r="T7" s="581"/>
      <c r="U7" s="581"/>
      <c r="V7" s="581"/>
      <c r="W7" s="581">
        <f>14521335/X3</f>
        <v>145.21334999999999</v>
      </c>
    </row>
    <row r="8" spans="2:24">
      <c r="C8" s="607" t="s">
        <v>841</v>
      </c>
      <c r="D8" s="581">
        <f>4901858/X3</f>
        <v>49.01858</v>
      </c>
      <c r="E8" s="608">
        <f>(-18999779-8061854)/X3</f>
        <v>-270.61633</v>
      </c>
      <c r="F8" s="608">
        <f>78330301/X3</f>
        <v>783.30300999999997</v>
      </c>
      <c r="G8" s="608">
        <f>9552892/X3</f>
        <v>95.528919999999999</v>
      </c>
      <c r="H8" s="608">
        <f>+(29866340-3519144)/X3</f>
        <v>263.47196000000002</v>
      </c>
      <c r="I8" s="581"/>
      <c r="J8" s="581"/>
      <c r="K8" s="581"/>
      <c r="L8" s="581"/>
      <c r="M8" s="581"/>
      <c r="N8" s="581"/>
      <c r="O8" s="581"/>
      <c r="P8" s="581"/>
      <c r="Q8" s="581"/>
      <c r="R8" s="581"/>
      <c r="S8" s="581"/>
      <c r="T8" s="581"/>
      <c r="U8" s="581"/>
      <c r="V8" s="581"/>
      <c r="W8" s="581">
        <v>756.06</v>
      </c>
    </row>
    <row r="9" spans="2:24" ht="31.5">
      <c r="C9" s="546" t="s">
        <v>842</v>
      </c>
      <c r="D9" s="609"/>
      <c r="E9" s="609"/>
      <c r="F9" s="581"/>
      <c r="G9" s="581"/>
      <c r="H9" s="609"/>
      <c r="I9" s="609"/>
      <c r="J9" s="609"/>
      <c r="K9" s="609"/>
      <c r="L9" s="609"/>
      <c r="M9" s="609"/>
      <c r="N9" s="609"/>
      <c r="O9" s="609"/>
      <c r="P9" s="609"/>
      <c r="Q9" s="609"/>
      <c r="R9" s="609"/>
      <c r="S9" s="609"/>
      <c r="T9" s="609"/>
      <c r="U9" s="609"/>
      <c r="V9" s="609"/>
      <c r="W9" s="581"/>
    </row>
    <row r="10" spans="2:24" ht="31.5">
      <c r="C10" s="610" t="s">
        <v>843</v>
      </c>
      <c r="D10" s="584">
        <f>SUM(D7:D9)</f>
        <v>209.14033999999998</v>
      </c>
      <c r="E10" s="584">
        <f t="shared" ref="E10:W10" si="0">SUM(E7:E9)</f>
        <v>-71.948200000000014</v>
      </c>
      <c r="F10" s="584">
        <f t="shared" si="0"/>
        <v>954.81283999999994</v>
      </c>
      <c r="G10" s="584">
        <f t="shared" si="0"/>
        <v>208.86714999999998</v>
      </c>
      <c r="H10" s="584">
        <f t="shared" si="0"/>
        <v>445.41129000000001</v>
      </c>
      <c r="I10" s="584">
        <f t="shared" si="0"/>
        <v>0</v>
      </c>
      <c r="J10" s="584">
        <f t="shared" si="0"/>
        <v>0</v>
      </c>
      <c r="K10" s="584">
        <f t="shared" si="0"/>
        <v>0</v>
      </c>
      <c r="L10" s="584">
        <f t="shared" si="0"/>
        <v>0</v>
      </c>
      <c r="M10" s="584">
        <f t="shared" si="0"/>
        <v>0</v>
      </c>
      <c r="N10" s="584">
        <f t="shared" si="0"/>
        <v>0</v>
      </c>
      <c r="O10" s="584">
        <f t="shared" si="0"/>
        <v>0</v>
      </c>
      <c r="P10" s="584">
        <f t="shared" si="0"/>
        <v>0</v>
      </c>
      <c r="Q10" s="584">
        <f t="shared" si="0"/>
        <v>0</v>
      </c>
      <c r="R10" s="584">
        <f t="shared" si="0"/>
        <v>0</v>
      </c>
      <c r="S10" s="584">
        <f t="shared" si="0"/>
        <v>0</v>
      </c>
      <c r="T10" s="584">
        <f t="shared" si="0"/>
        <v>0</v>
      </c>
      <c r="U10" s="584">
        <f t="shared" si="0"/>
        <v>0</v>
      </c>
      <c r="V10" s="584">
        <f t="shared" si="0"/>
        <v>0</v>
      </c>
      <c r="W10" s="584">
        <f t="shared" si="0"/>
        <v>901.27334999999994</v>
      </c>
    </row>
    <row r="11" spans="2:24">
      <c r="C11" s="574"/>
      <c r="F11" s="611"/>
    </row>
    <row r="12" spans="2:24">
      <c r="C12" s="534" t="s">
        <v>844</v>
      </c>
      <c r="G12" s="606"/>
      <c r="J12" s="612"/>
      <c r="W12" s="595" t="s">
        <v>776</v>
      </c>
      <c r="X12" s="533">
        <v>9</v>
      </c>
    </row>
    <row r="13" spans="2:24" ht="63">
      <c r="C13" s="561" t="s">
        <v>3</v>
      </c>
      <c r="D13" s="613" t="s">
        <v>777</v>
      </c>
      <c r="E13" s="613" t="s">
        <v>778</v>
      </c>
      <c r="F13" s="613" t="s">
        <v>779</v>
      </c>
      <c r="G13" s="613" t="s">
        <v>810</v>
      </c>
      <c r="H13" s="613" t="s">
        <v>781</v>
      </c>
      <c r="I13" s="614"/>
      <c r="J13" s="615"/>
      <c r="K13" s="615"/>
      <c r="L13" s="615"/>
      <c r="M13" s="615"/>
      <c r="N13" s="615"/>
      <c r="O13" s="615"/>
      <c r="P13" s="615"/>
      <c r="Q13" s="615"/>
      <c r="R13" s="615"/>
      <c r="S13" s="615"/>
      <c r="T13" s="615"/>
      <c r="U13" s="615"/>
      <c r="V13" s="615"/>
      <c r="W13" s="613" t="s">
        <v>782</v>
      </c>
    </row>
    <row r="14" spans="2:24" ht="31.5">
      <c r="C14" s="616" t="s">
        <v>845</v>
      </c>
      <c r="D14" s="609">
        <f>19411248/X3</f>
        <v>194.11248000000001</v>
      </c>
      <c r="E14" s="609">
        <v>0</v>
      </c>
      <c r="F14" s="609">
        <v>524.54999999999995</v>
      </c>
      <c r="G14" s="609">
        <v>0</v>
      </c>
      <c r="H14" s="609">
        <v>0</v>
      </c>
      <c r="I14" s="609"/>
      <c r="J14" s="609"/>
      <c r="K14" s="609"/>
      <c r="L14" s="609"/>
      <c r="M14" s="609"/>
      <c r="N14" s="609"/>
      <c r="O14" s="609"/>
      <c r="P14" s="609"/>
      <c r="Q14" s="609"/>
      <c r="R14" s="609"/>
      <c r="S14" s="609"/>
      <c r="T14" s="609"/>
      <c r="U14" s="609"/>
      <c r="V14" s="609"/>
      <c r="W14" s="609">
        <v>0</v>
      </c>
    </row>
    <row r="15" spans="2:24" ht="31.5">
      <c r="C15" s="607" t="s">
        <v>846</v>
      </c>
      <c r="D15" s="609">
        <f>26109708/X3</f>
        <v>261.09708000000001</v>
      </c>
      <c r="E15" s="609">
        <f>-6348209/X3</f>
        <v>-63.482089999999999</v>
      </c>
      <c r="F15" s="609">
        <f>47188331/X3</f>
        <v>471.88330999999999</v>
      </c>
      <c r="G15" s="609">
        <f>25889150/X3</f>
        <v>258.89150000000001</v>
      </c>
      <c r="H15" s="609">
        <f>43724660/X3</f>
        <v>437.2466</v>
      </c>
      <c r="I15" s="609"/>
      <c r="J15" s="609"/>
      <c r="K15" s="609"/>
      <c r="L15" s="609"/>
      <c r="M15" s="609"/>
      <c r="N15" s="609"/>
      <c r="O15" s="609"/>
      <c r="P15" s="609"/>
      <c r="Q15" s="609"/>
      <c r="R15" s="609"/>
      <c r="S15" s="609"/>
      <c r="T15" s="609"/>
      <c r="U15" s="609"/>
      <c r="V15" s="609"/>
      <c r="W15" s="609">
        <v>641.76</v>
      </c>
    </row>
    <row r="16" spans="2:24" ht="31.5">
      <c r="C16" s="607" t="s">
        <v>847</v>
      </c>
      <c r="D16" s="609">
        <f>-5159925/X3</f>
        <v>-51.599249999999998</v>
      </c>
      <c r="E16" s="609">
        <f>-12651570/X3</f>
        <v>-126.5157</v>
      </c>
      <c r="F16" s="609">
        <f>-12191771/X3</f>
        <v>-121.91771</v>
      </c>
      <c r="G16" s="609">
        <f>-6477902/X3</f>
        <v>-64.779020000000003</v>
      </c>
      <c r="H16" s="609">
        <f>-13858320/X3</f>
        <v>-138.58320000000001</v>
      </c>
      <c r="I16" s="609"/>
      <c r="J16" s="609"/>
      <c r="K16" s="609"/>
      <c r="L16" s="609"/>
      <c r="M16" s="609"/>
      <c r="N16" s="609"/>
      <c r="O16" s="609"/>
      <c r="P16" s="609"/>
      <c r="Q16" s="609"/>
      <c r="R16" s="609"/>
      <c r="S16" s="609"/>
      <c r="T16" s="609"/>
      <c r="U16" s="609"/>
      <c r="V16" s="609"/>
      <c r="W16" s="609">
        <v>-117.21</v>
      </c>
    </row>
    <row r="17" spans="3:23" ht="31.5">
      <c r="C17" s="607" t="s">
        <v>848</v>
      </c>
      <c r="D17" s="609"/>
      <c r="E17" s="609">
        <v>-190</v>
      </c>
      <c r="F17" s="609"/>
      <c r="G17" s="609"/>
      <c r="H17" s="609">
        <v>298.66000000000003</v>
      </c>
      <c r="I17" s="609"/>
      <c r="J17" s="609"/>
      <c r="K17" s="609"/>
      <c r="L17" s="609"/>
      <c r="M17" s="609"/>
      <c r="N17" s="609"/>
      <c r="O17" s="609"/>
      <c r="P17" s="609"/>
      <c r="Q17" s="609"/>
      <c r="R17" s="609"/>
      <c r="S17" s="609"/>
      <c r="T17" s="609"/>
      <c r="U17" s="609"/>
      <c r="V17" s="609"/>
      <c r="W17" s="609"/>
    </row>
    <row r="18" spans="3:23">
      <c r="C18" s="607" t="s">
        <v>849</v>
      </c>
      <c r="D18" s="609">
        <f>+D15+D16</f>
        <v>209.49783000000002</v>
      </c>
      <c r="E18" s="609">
        <v>0</v>
      </c>
      <c r="F18" s="609">
        <f t="shared" ref="F18:W18" si="1">+F15+F16</f>
        <v>349.96559999999999</v>
      </c>
      <c r="G18" s="609">
        <f t="shared" si="1"/>
        <v>194.11248000000001</v>
      </c>
      <c r="H18" s="609">
        <v>0</v>
      </c>
      <c r="I18" s="609">
        <f t="shared" si="1"/>
        <v>0</v>
      </c>
      <c r="J18" s="609">
        <f t="shared" si="1"/>
        <v>0</v>
      </c>
      <c r="K18" s="609">
        <f t="shared" si="1"/>
        <v>0</v>
      </c>
      <c r="L18" s="609">
        <f t="shared" si="1"/>
        <v>0</v>
      </c>
      <c r="M18" s="609">
        <f t="shared" si="1"/>
        <v>0</v>
      </c>
      <c r="N18" s="609">
        <f t="shared" si="1"/>
        <v>0</v>
      </c>
      <c r="O18" s="609">
        <f t="shared" si="1"/>
        <v>0</v>
      </c>
      <c r="P18" s="609">
        <f t="shared" si="1"/>
        <v>0</v>
      </c>
      <c r="Q18" s="609">
        <f t="shared" si="1"/>
        <v>0</v>
      </c>
      <c r="R18" s="609">
        <f t="shared" si="1"/>
        <v>0</v>
      </c>
      <c r="S18" s="609">
        <f t="shared" si="1"/>
        <v>0</v>
      </c>
      <c r="T18" s="609">
        <f t="shared" si="1"/>
        <v>0</v>
      </c>
      <c r="U18" s="609">
        <f t="shared" si="1"/>
        <v>0</v>
      </c>
      <c r="V18" s="609">
        <f t="shared" si="1"/>
        <v>0</v>
      </c>
      <c r="W18" s="609">
        <f t="shared" si="1"/>
        <v>524.54999999999995</v>
      </c>
    </row>
    <row r="19" spans="3:23" ht="31.5">
      <c r="C19" s="610" t="s">
        <v>850</v>
      </c>
      <c r="D19" s="617">
        <f>+D18+D14</f>
        <v>403.61031000000003</v>
      </c>
      <c r="E19" s="617">
        <f t="shared" ref="E19:W19" si="2">+E18+E14</f>
        <v>0</v>
      </c>
      <c r="F19" s="617">
        <f t="shared" si="2"/>
        <v>874.51559999999995</v>
      </c>
      <c r="G19" s="617">
        <f t="shared" si="2"/>
        <v>194.11248000000001</v>
      </c>
      <c r="H19" s="617">
        <f t="shared" si="2"/>
        <v>0</v>
      </c>
      <c r="I19" s="617">
        <f t="shared" si="2"/>
        <v>0</v>
      </c>
      <c r="J19" s="617">
        <f t="shared" si="2"/>
        <v>0</v>
      </c>
      <c r="K19" s="617">
        <f t="shared" si="2"/>
        <v>0</v>
      </c>
      <c r="L19" s="617">
        <f t="shared" si="2"/>
        <v>0</v>
      </c>
      <c r="M19" s="617">
        <f t="shared" si="2"/>
        <v>0</v>
      </c>
      <c r="N19" s="617">
        <f t="shared" si="2"/>
        <v>0</v>
      </c>
      <c r="O19" s="617">
        <f t="shared" si="2"/>
        <v>0</v>
      </c>
      <c r="P19" s="617">
        <f t="shared" si="2"/>
        <v>0</v>
      </c>
      <c r="Q19" s="617">
        <f t="shared" si="2"/>
        <v>0</v>
      </c>
      <c r="R19" s="617">
        <f t="shared" si="2"/>
        <v>0</v>
      </c>
      <c r="S19" s="617">
        <f t="shared" si="2"/>
        <v>0</v>
      </c>
      <c r="T19" s="617">
        <f t="shared" si="2"/>
        <v>0</v>
      </c>
      <c r="U19" s="617">
        <f t="shared" si="2"/>
        <v>0</v>
      </c>
      <c r="V19" s="617">
        <f t="shared" si="2"/>
        <v>0</v>
      </c>
      <c r="W19" s="617">
        <f t="shared" si="2"/>
        <v>524.54999999999995</v>
      </c>
    </row>
  </sheetData>
  <mergeCells count="2">
    <mergeCell ref="B2:W2"/>
    <mergeCell ref="B3:W3"/>
  </mergeCells>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18.xml><?xml version="1.0" encoding="utf-8"?>
<worksheet xmlns="http://schemas.openxmlformats.org/spreadsheetml/2006/main" xmlns:r="http://schemas.openxmlformats.org/officeDocument/2006/relationships">
  <dimension ref="A2:AB174"/>
  <sheetViews>
    <sheetView showGridLines="0" view="pageBreakPreview" topLeftCell="B25" zoomScaleSheetLayoutView="100" workbookViewId="0">
      <selection activeCell="D35" sqref="D35"/>
    </sheetView>
  </sheetViews>
  <sheetFormatPr defaultRowHeight="15.75"/>
  <cols>
    <col min="1" max="1" width="4.5703125" style="533" hidden="1" customWidth="1"/>
    <col min="2" max="2" width="4.5703125" style="533" customWidth="1"/>
    <col min="3" max="3" width="5.7109375" style="533" customWidth="1"/>
    <col min="4" max="4" width="31.140625" style="533" customWidth="1"/>
    <col min="5" max="6" width="14.85546875" style="533" customWidth="1"/>
    <col min="7" max="7" width="15.28515625" style="533" customWidth="1"/>
    <col min="8" max="8" width="14.140625" style="533" customWidth="1"/>
    <col min="9" max="9" width="15.140625" style="533" customWidth="1"/>
    <col min="10" max="10" width="14.5703125" style="533" customWidth="1"/>
    <col min="11" max="11" width="12.140625" style="533" customWidth="1"/>
    <col min="12" max="12" width="15.85546875" style="533" customWidth="1"/>
    <col min="13" max="13" width="15.140625" style="533" customWidth="1"/>
    <col min="14" max="14" width="18.85546875" style="533" customWidth="1"/>
    <col min="15" max="15" width="20.140625" style="533" customWidth="1"/>
    <col min="16" max="16" width="16.85546875" style="533" customWidth="1"/>
    <col min="17" max="17" width="25" style="533" customWidth="1"/>
    <col min="18" max="27" width="8.85546875" style="533" customWidth="1"/>
    <col min="28" max="28" width="13.5703125" style="533" customWidth="1"/>
    <col min="29" max="259" width="9.140625" style="533"/>
    <col min="260" max="260" width="6.7109375" style="533" customWidth="1"/>
    <col min="261" max="261" width="95.7109375" style="533" customWidth="1"/>
    <col min="262" max="262" width="16.28515625" style="533" customWidth="1"/>
    <col min="263" max="263" width="12.140625" style="533" customWidth="1"/>
    <col min="264" max="264" width="15.7109375" style="533" customWidth="1"/>
    <col min="265" max="265" width="16.28515625" style="533" customWidth="1"/>
    <col min="266" max="266" width="16" style="533" customWidth="1"/>
    <col min="267" max="267" width="14.85546875" style="533" customWidth="1"/>
    <col min="268" max="268" width="12.7109375" style="533" bestFit="1" customWidth="1"/>
    <col min="269" max="269" width="11.85546875" style="533" customWidth="1"/>
    <col min="270" max="270" width="19.5703125" style="533" customWidth="1"/>
    <col min="271" max="515" width="9.140625" style="533"/>
    <col min="516" max="516" width="6.7109375" style="533" customWidth="1"/>
    <col min="517" max="517" width="95.7109375" style="533" customWidth="1"/>
    <col min="518" max="518" width="16.28515625" style="533" customWidth="1"/>
    <col min="519" max="519" width="12.140625" style="533" customWidth="1"/>
    <col min="520" max="520" width="15.7109375" style="533" customWidth="1"/>
    <col min="521" max="521" width="16.28515625" style="533" customWidth="1"/>
    <col min="522" max="522" width="16" style="533" customWidth="1"/>
    <col min="523" max="523" width="14.85546875" style="533" customWidth="1"/>
    <col min="524" max="524" width="12.7109375" style="533" bestFit="1" customWidth="1"/>
    <col min="525" max="525" width="11.85546875" style="533" customWidth="1"/>
    <col min="526" max="526" width="19.5703125" style="533" customWidth="1"/>
    <col min="527" max="771" width="9.140625" style="533"/>
    <col min="772" max="772" width="6.7109375" style="533" customWidth="1"/>
    <col min="773" max="773" width="95.7109375" style="533" customWidth="1"/>
    <col min="774" max="774" width="16.28515625" style="533" customWidth="1"/>
    <col min="775" max="775" width="12.140625" style="533" customWidth="1"/>
    <col min="776" max="776" width="15.7109375" style="533" customWidth="1"/>
    <col min="777" max="777" width="16.28515625" style="533" customWidth="1"/>
    <col min="778" max="778" width="16" style="533" customWidth="1"/>
    <col min="779" max="779" width="14.85546875" style="533" customWidth="1"/>
    <col min="780" max="780" width="12.7109375" style="533" bestFit="1" customWidth="1"/>
    <col min="781" max="781" width="11.85546875" style="533" customWidth="1"/>
    <col min="782" max="782" width="19.5703125" style="533" customWidth="1"/>
    <col min="783" max="1027" width="9.140625" style="533"/>
    <col min="1028" max="1028" width="6.7109375" style="533" customWidth="1"/>
    <col min="1029" max="1029" width="95.7109375" style="533" customWidth="1"/>
    <col min="1030" max="1030" width="16.28515625" style="533" customWidth="1"/>
    <col min="1031" max="1031" width="12.140625" style="533" customWidth="1"/>
    <col min="1032" max="1032" width="15.7109375" style="533" customWidth="1"/>
    <col min="1033" max="1033" width="16.28515625" style="533" customWidth="1"/>
    <col min="1034" max="1034" width="16" style="533" customWidth="1"/>
    <col min="1035" max="1035" width="14.85546875" style="533" customWidth="1"/>
    <col min="1036" max="1036" width="12.7109375" style="533" bestFit="1" customWidth="1"/>
    <col min="1037" max="1037" width="11.85546875" style="533" customWidth="1"/>
    <col min="1038" max="1038" width="19.5703125" style="533" customWidth="1"/>
    <col min="1039" max="1283" width="9.140625" style="533"/>
    <col min="1284" max="1284" width="6.7109375" style="533" customWidth="1"/>
    <col min="1285" max="1285" width="95.7109375" style="533" customWidth="1"/>
    <col min="1286" max="1286" width="16.28515625" style="533" customWidth="1"/>
    <col min="1287" max="1287" width="12.140625" style="533" customWidth="1"/>
    <col min="1288" max="1288" width="15.7109375" style="533" customWidth="1"/>
    <col min="1289" max="1289" width="16.28515625" style="533" customWidth="1"/>
    <col min="1290" max="1290" width="16" style="533" customWidth="1"/>
    <col min="1291" max="1291" width="14.85546875" style="533" customWidth="1"/>
    <col min="1292" max="1292" width="12.7109375" style="533" bestFit="1" customWidth="1"/>
    <col min="1293" max="1293" width="11.85546875" style="533" customWidth="1"/>
    <col min="1294" max="1294" width="19.5703125" style="533" customWidth="1"/>
    <col min="1295" max="1539" width="9.140625" style="533"/>
    <col min="1540" max="1540" width="6.7109375" style="533" customWidth="1"/>
    <col min="1541" max="1541" width="95.7109375" style="533" customWidth="1"/>
    <col min="1542" max="1542" width="16.28515625" style="533" customWidth="1"/>
    <col min="1543" max="1543" width="12.140625" style="533" customWidth="1"/>
    <col min="1544" max="1544" width="15.7109375" style="533" customWidth="1"/>
    <col min="1545" max="1545" width="16.28515625" style="533" customWidth="1"/>
    <col min="1546" max="1546" width="16" style="533" customWidth="1"/>
    <col min="1547" max="1547" width="14.85546875" style="533" customWidth="1"/>
    <col min="1548" max="1548" width="12.7109375" style="533" bestFit="1" customWidth="1"/>
    <col min="1549" max="1549" width="11.85546875" style="533" customWidth="1"/>
    <col min="1550" max="1550" width="19.5703125" style="533" customWidth="1"/>
    <col min="1551" max="1795" width="9.140625" style="533"/>
    <col min="1796" max="1796" width="6.7109375" style="533" customWidth="1"/>
    <col min="1797" max="1797" width="95.7109375" style="533" customWidth="1"/>
    <col min="1798" max="1798" width="16.28515625" style="533" customWidth="1"/>
    <col min="1799" max="1799" width="12.140625" style="533" customWidth="1"/>
    <col min="1800" max="1800" width="15.7109375" style="533" customWidth="1"/>
    <col min="1801" max="1801" width="16.28515625" style="533" customWidth="1"/>
    <col min="1802" max="1802" width="16" style="533" customWidth="1"/>
    <col min="1803" max="1803" width="14.85546875" style="533" customWidth="1"/>
    <col min="1804" max="1804" width="12.7109375" style="533" bestFit="1" customWidth="1"/>
    <col min="1805" max="1805" width="11.85546875" style="533" customWidth="1"/>
    <col min="1806" max="1806" width="19.5703125" style="533" customWidth="1"/>
    <col min="1807" max="2051" width="9.140625" style="533"/>
    <col min="2052" max="2052" width="6.7109375" style="533" customWidth="1"/>
    <col min="2053" max="2053" width="95.7109375" style="533" customWidth="1"/>
    <col min="2054" max="2054" width="16.28515625" style="533" customWidth="1"/>
    <col min="2055" max="2055" width="12.140625" style="533" customWidth="1"/>
    <col min="2056" max="2056" width="15.7109375" style="533" customWidth="1"/>
    <col min="2057" max="2057" width="16.28515625" style="533" customWidth="1"/>
    <col min="2058" max="2058" width="16" style="533" customWidth="1"/>
    <col min="2059" max="2059" width="14.85546875" style="533" customWidth="1"/>
    <col min="2060" max="2060" width="12.7109375" style="533" bestFit="1" customWidth="1"/>
    <col min="2061" max="2061" width="11.85546875" style="533" customWidth="1"/>
    <col min="2062" max="2062" width="19.5703125" style="533" customWidth="1"/>
    <col min="2063" max="2307" width="9.140625" style="533"/>
    <col min="2308" max="2308" width="6.7109375" style="533" customWidth="1"/>
    <col min="2309" max="2309" width="95.7109375" style="533" customWidth="1"/>
    <col min="2310" max="2310" width="16.28515625" style="533" customWidth="1"/>
    <col min="2311" max="2311" width="12.140625" style="533" customWidth="1"/>
    <col min="2312" max="2312" width="15.7109375" style="533" customWidth="1"/>
    <col min="2313" max="2313" width="16.28515625" style="533" customWidth="1"/>
    <col min="2314" max="2314" width="16" style="533" customWidth="1"/>
    <col min="2315" max="2315" width="14.85546875" style="533" customWidth="1"/>
    <col min="2316" max="2316" width="12.7109375" style="533" bestFit="1" customWidth="1"/>
    <col min="2317" max="2317" width="11.85546875" style="533" customWidth="1"/>
    <col min="2318" max="2318" width="19.5703125" style="533" customWidth="1"/>
    <col min="2319" max="2563" width="9.140625" style="533"/>
    <col min="2564" max="2564" width="6.7109375" style="533" customWidth="1"/>
    <col min="2565" max="2565" width="95.7109375" style="533" customWidth="1"/>
    <col min="2566" max="2566" width="16.28515625" style="533" customWidth="1"/>
    <col min="2567" max="2567" width="12.140625" style="533" customWidth="1"/>
    <col min="2568" max="2568" width="15.7109375" style="533" customWidth="1"/>
    <col min="2569" max="2569" width="16.28515625" style="533" customWidth="1"/>
    <col min="2570" max="2570" width="16" style="533" customWidth="1"/>
    <col min="2571" max="2571" width="14.85546875" style="533" customWidth="1"/>
    <col min="2572" max="2572" width="12.7109375" style="533" bestFit="1" customWidth="1"/>
    <col min="2573" max="2573" width="11.85546875" style="533" customWidth="1"/>
    <col min="2574" max="2574" width="19.5703125" style="533" customWidth="1"/>
    <col min="2575" max="2819" width="9.140625" style="533"/>
    <col min="2820" max="2820" width="6.7109375" style="533" customWidth="1"/>
    <col min="2821" max="2821" width="95.7109375" style="533" customWidth="1"/>
    <col min="2822" max="2822" width="16.28515625" style="533" customWidth="1"/>
    <col min="2823" max="2823" width="12.140625" style="533" customWidth="1"/>
    <col min="2824" max="2824" width="15.7109375" style="533" customWidth="1"/>
    <col min="2825" max="2825" width="16.28515625" style="533" customWidth="1"/>
    <col min="2826" max="2826" width="16" style="533" customWidth="1"/>
    <col min="2827" max="2827" width="14.85546875" style="533" customWidth="1"/>
    <col min="2828" max="2828" width="12.7109375" style="533" bestFit="1" customWidth="1"/>
    <col min="2829" max="2829" width="11.85546875" style="533" customWidth="1"/>
    <col min="2830" max="2830" width="19.5703125" style="533" customWidth="1"/>
    <col min="2831" max="3075" width="9.140625" style="533"/>
    <col min="3076" max="3076" width="6.7109375" style="533" customWidth="1"/>
    <col min="3077" max="3077" width="95.7109375" style="533" customWidth="1"/>
    <col min="3078" max="3078" width="16.28515625" style="533" customWidth="1"/>
    <col min="3079" max="3079" width="12.140625" style="533" customWidth="1"/>
    <col min="3080" max="3080" width="15.7109375" style="533" customWidth="1"/>
    <col min="3081" max="3081" width="16.28515625" style="533" customWidth="1"/>
    <col min="3082" max="3082" width="16" style="533" customWidth="1"/>
    <col min="3083" max="3083" width="14.85546875" style="533" customWidth="1"/>
    <col min="3084" max="3084" width="12.7109375" style="533" bestFit="1" customWidth="1"/>
    <col min="3085" max="3085" width="11.85546875" style="533" customWidth="1"/>
    <col min="3086" max="3086" width="19.5703125" style="533" customWidth="1"/>
    <col min="3087" max="3331" width="9.140625" style="533"/>
    <col min="3332" max="3332" width="6.7109375" style="533" customWidth="1"/>
    <col min="3333" max="3333" width="95.7109375" style="533" customWidth="1"/>
    <col min="3334" max="3334" width="16.28515625" style="533" customWidth="1"/>
    <col min="3335" max="3335" width="12.140625" style="533" customWidth="1"/>
    <col min="3336" max="3336" width="15.7109375" style="533" customWidth="1"/>
    <col min="3337" max="3337" width="16.28515625" style="533" customWidth="1"/>
    <col min="3338" max="3338" width="16" style="533" customWidth="1"/>
    <col min="3339" max="3339" width="14.85546875" style="533" customWidth="1"/>
    <col min="3340" max="3340" width="12.7109375" style="533" bestFit="1" customWidth="1"/>
    <col min="3341" max="3341" width="11.85546875" style="533" customWidth="1"/>
    <col min="3342" max="3342" width="19.5703125" style="533" customWidth="1"/>
    <col min="3343" max="3587" width="9.140625" style="533"/>
    <col min="3588" max="3588" width="6.7109375" style="533" customWidth="1"/>
    <col min="3589" max="3589" width="95.7109375" style="533" customWidth="1"/>
    <col min="3590" max="3590" width="16.28515625" style="533" customWidth="1"/>
    <col min="3591" max="3591" width="12.140625" style="533" customWidth="1"/>
    <col min="3592" max="3592" width="15.7109375" style="533" customWidth="1"/>
    <col min="3593" max="3593" width="16.28515625" style="533" customWidth="1"/>
    <col min="3594" max="3594" width="16" style="533" customWidth="1"/>
    <col min="3595" max="3595" width="14.85546875" style="533" customWidth="1"/>
    <col min="3596" max="3596" width="12.7109375" style="533" bestFit="1" customWidth="1"/>
    <col min="3597" max="3597" width="11.85546875" style="533" customWidth="1"/>
    <col min="3598" max="3598" width="19.5703125" style="533" customWidth="1"/>
    <col min="3599" max="3843" width="9.140625" style="533"/>
    <col min="3844" max="3844" width="6.7109375" style="533" customWidth="1"/>
    <col min="3845" max="3845" width="95.7109375" style="533" customWidth="1"/>
    <col min="3846" max="3846" width="16.28515625" style="533" customWidth="1"/>
    <col min="3847" max="3847" width="12.140625" style="533" customWidth="1"/>
    <col min="3848" max="3848" width="15.7109375" style="533" customWidth="1"/>
    <col min="3849" max="3849" width="16.28515625" style="533" customWidth="1"/>
    <col min="3850" max="3850" width="16" style="533" customWidth="1"/>
    <col min="3851" max="3851" width="14.85546875" style="533" customWidth="1"/>
    <col min="3852" max="3852" width="12.7109375" style="533" bestFit="1" customWidth="1"/>
    <col min="3853" max="3853" width="11.85546875" style="533" customWidth="1"/>
    <col min="3854" max="3854" width="19.5703125" style="533" customWidth="1"/>
    <col min="3855" max="4099" width="9.140625" style="533"/>
    <col min="4100" max="4100" width="6.7109375" style="533" customWidth="1"/>
    <col min="4101" max="4101" width="95.7109375" style="533" customWidth="1"/>
    <col min="4102" max="4102" width="16.28515625" style="533" customWidth="1"/>
    <col min="4103" max="4103" width="12.140625" style="533" customWidth="1"/>
    <col min="4104" max="4104" width="15.7109375" style="533" customWidth="1"/>
    <col min="4105" max="4105" width="16.28515625" style="533" customWidth="1"/>
    <col min="4106" max="4106" width="16" style="533" customWidth="1"/>
    <col min="4107" max="4107" width="14.85546875" style="533" customWidth="1"/>
    <col min="4108" max="4108" width="12.7109375" style="533" bestFit="1" customWidth="1"/>
    <col min="4109" max="4109" width="11.85546875" style="533" customWidth="1"/>
    <col min="4110" max="4110" width="19.5703125" style="533" customWidth="1"/>
    <col min="4111" max="4355" width="9.140625" style="533"/>
    <col min="4356" max="4356" width="6.7109375" style="533" customWidth="1"/>
    <col min="4357" max="4357" width="95.7109375" style="533" customWidth="1"/>
    <col min="4358" max="4358" width="16.28515625" style="533" customWidth="1"/>
    <col min="4359" max="4359" width="12.140625" style="533" customWidth="1"/>
    <col min="4360" max="4360" width="15.7109375" style="533" customWidth="1"/>
    <col min="4361" max="4361" width="16.28515625" style="533" customWidth="1"/>
    <col min="4362" max="4362" width="16" style="533" customWidth="1"/>
    <col min="4363" max="4363" width="14.85546875" style="533" customWidth="1"/>
    <col min="4364" max="4364" width="12.7109375" style="533" bestFit="1" customWidth="1"/>
    <col min="4365" max="4365" width="11.85546875" style="533" customWidth="1"/>
    <col min="4366" max="4366" width="19.5703125" style="533" customWidth="1"/>
    <col min="4367" max="4611" width="9.140625" style="533"/>
    <col min="4612" max="4612" width="6.7109375" style="533" customWidth="1"/>
    <col min="4613" max="4613" width="95.7109375" style="533" customWidth="1"/>
    <col min="4614" max="4614" width="16.28515625" style="533" customWidth="1"/>
    <col min="4615" max="4615" width="12.140625" style="533" customWidth="1"/>
    <col min="4616" max="4616" width="15.7109375" style="533" customWidth="1"/>
    <col min="4617" max="4617" width="16.28515625" style="533" customWidth="1"/>
    <col min="4618" max="4618" width="16" style="533" customWidth="1"/>
    <col min="4619" max="4619" width="14.85546875" style="533" customWidth="1"/>
    <col min="4620" max="4620" width="12.7109375" style="533" bestFit="1" customWidth="1"/>
    <col min="4621" max="4621" width="11.85546875" style="533" customWidth="1"/>
    <col min="4622" max="4622" width="19.5703125" style="533" customWidth="1"/>
    <col min="4623" max="4867" width="9.140625" style="533"/>
    <col min="4868" max="4868" width="6.7109375" style="533" customWidth="1"/>
    <col min="4869" max="4869" width="95.7109375" style="533" customWidth="1"/>
    <col min="4870" max="4870" width="16.28515625" style="533" customWidth="1"/>
    <col min="4871" max="4871" width="12.140625" style="533" customWidth="1"/>
    <col min="4872" max="4872" width="15.7109375" style="533" customWidth="1"/>
    <col min="4873" max="4873" width="16.28515625" style="533" customWidth="1"/>
    <col min="4874" max="4874" width="16" style="533" customWidth="1"/>
    <col min="4875" max="4875" width="14.85546875" style="533" customWidth="1"/>
    <col min="4876" max="4876" width="12.7109375" style="533" bestFit="1" customWidth="1"/>
    <col min="4877" max="4877" width="11.85546875" style="533" customWidth="1"/>
    <col min="4878" max="4878" width="19.5703125" style="533" customWidth="1"/>
    <col min="4879" max="5123" width="9.140625" style="533"/>
    <col min="5124" max="5124" width="6.7109375" style="533" customWidth="1"/>
    <col min="5125" max="5125" width="95.7109375" style="533" customWidth="1"/>
    <col min="5126" max="5126" width="16.28515625" style="533" customWidth="1"/>
    <col min="5127" max="5127" width="12.140625" style="533" customWidth="1"/>
    <col min="5128" max="5128" width="15.7109375" style="533" customWidth="1"/>
    <col min="5129" max="5129" width="16.28515625" style="533" customWidth="1"/>
    <col min="5130" max="5130" width="16" style="533" customWidth="1"/>
    <col min="5131" max="5131" width="14.85546875" style="533" customWidth="1"/>
    <col min="5132" max="5132" width="12.7109375" style="533" bestFit="1" customWidth="1"/>
    <col min="5133" max="5133" width="11.85546875" style="533" customWidth="1"/>
    <col min="5134" max="5134" width="19.5703125" style="533" customWidth="1"/>
    <col min="5135" max="5379" width="9.140625" style="533"/>
    <col min="5380" max="5380" width="6.7109375" style="533" customWidth="1"/>
    <col min="5381" max="5381" width="95.7109375" style="533" customWidth="1"/>
    <col min="5382" max="5382" width="16.28515625" style="533" customWidth="1"/>
    <col min="5383" max="5383" width="12.140625" style="533" customWidth="1"/>
    <col min="5384" max="5384" width="15.7109375" style="533" customWidth="1"/>
    <col min="5385" max="5385" width="16.28515625" style="533" customWidth="1"/>
    <col min="5386" max="5386" width="16" style="533" customWidth="1"/>
    <col min="5387" max="5387" width="14.85546875" style="533" customWidth="1"/>
    <col min="5388" max="5388" width="12.7109375" style="533" bestFit="1" customWidth="1"/>
    <col min="5389" max="5389" width="11.85546875" style="533" customWidth="1"/>
    <col min="5390" max="5390" width="19.5703125" style="533" customWidth="1"/>
    <col min="5391" max="5635" width="9.140625" style="533"/>
    <col min="5636" max="5636" width="6.7109375" style="533" customWidth="1"/>
    <col min="5637" max="5637" width="95.7109375" style="533" customWidth="1"/>
    <col min="5638" max="5638" width="16.28515625" style="533" customWidth="1"/>
    <col min="5639" max="5639" width="12.140625" style="533" customWidth="1"/>
    <col min="5640" max="5640" width="15.7109375" style="533" customWidth="1"/>
    <col min="5641" max="5641" width="16.28515625" style="533" customWidth="1"/>
    <col min="5642" max="5642" width="16" style="533" customWidth="1"/>
    <col min="5643" max="5643" width="14.85546875" style="533" customWidth="1"/>
    <col min="5644" max="5644" width="12.7109375" style="533" bestFit="1" customWidth="1"/>
    <col min="5645" max="5645" width="11.85546875" style="533" customWidth="1"/>
    <col min="5646" max="5646" width="19.5703125" style="533" customWidth="1"/>
    <col min="5647" max="5891" width="9.140625" style="533"/>
    <col min="5892" max="5892" width="6.7109375" style="533" customWidth="1"/>
    <col min="5893" max="5893" width="95.7109375" style="533" customWidth="1"/>
    <col min="5894" max="5894" width="16.28515625" style="533" customWidth="1"/>
    <col min="5895" max="5895" width="12.140625" style="533" customWidth="1"/>
    <col min="5896" max="5896" width="15.7109375" style="533" customWidth="1"/>
    <col min="5897" max="5897" width="16.28515625" style="533" customWidth="1"/>
    <col min="5898" max="5898" width="16" style="533" customWidth="1"/>
    <col min="5899" max="5899" width="14.85546875" style="533" customWidth="1"/>
    <col min="5900" max="5900" width="12.7109375" style="533" bestFit="1" customWidth="1"/>
    <col min="5901" max="5901" width="11.85546875" style="533" customWidth="1"/>
    <col min="5902" max="5902" width="19.5703125" style="533" customWidth="1"/>
    <col min="5903" max="6147" width="9.140625" style="533"/>
    <col min="6148" max="6148" width="6.7109375" style="533" customWidth="1"/>
    <col min="6149" max="6149" width="95.7109375" style="533" customWidth="1"/>
    <col min="6150" max="6150" width="16.28515625" style="533" customWidth="1"/>
    <col min="6151" max="6151" width="12.140625" style="533" customWidth="1"/>
    <col min="6152" max="6152" width="15.7109375" style="533" customWidth="1"/>
    <col min="6153" max="6153" width="16.28515625" style="533" customWidth="1"/>
    <col min="6154" max="6154" width="16" style="533" customWidth="1"/>
    <col min="6155" max="6155" width="14.85546875" style="533" customWidth="1"/>
    <col min="6156" max="6156" width="12.7109375" style="533" bestFit="1" customWidth="1"/>
    <col min="6157" max="6157" width="11.85546875" style="533" customWidth="1"/>
    <col min="6158" max="6158" width="19.5703125" style="533" customWidth="1"/>
    <col min="6159" max="6403" width="9.140625" style="533"/>
    <col min="6404" max="6404" width="6.7109375" style="533" customWidth="1"/>
    <col min="6405" max="6405" width="95.7109375" style="533" customWidth="1"/>
    <col min="6406" max="6406" width="16.28515625" style="533" customWidth="1"/>
    <col min="6407" max="6407" width="12.140625" style="533" customWidth="1"/>
    <col min="6408" max="6408" width="15.7109375" style="533" customWidth="1"/>
    <col min="6409" max="6409" width="16.28515625" style="533" customWidth="1"/>
    <col min="6410" max="6410" width="16" style="533" customWidth="1"/>
    <col min="6411" max="6411" width="14.85546875" style="533" customWidth="1"/>
    <col min="6412" max="6412" width="12.7109375" style="533" bestFit="1" customWidth="1"/>
    <col min="6413" max="6413" width="11.85546875" style="533" customWidth="1"/>
    <col min="6414" max="6414" width="19.5703125" style="533" customWidth="1"/>
    <col min="6415" max="6659" width="9.140625" style="533"/>
    <col min="6660" max="6660" width="6.7109375" style="533" customWidth="1"/>
    <col min="6661" max="6661" width="95.7109375" style="533" customWidth="1"/>
    <col min="6662" max="6662" width="16.28515625" style="533" customWidth="1"/>
    <col min="6663" max="6663" width="12.140625" style="533" customWidth="1"/>
    <col min="6664" max="6664" width="15.7109375" style="533" customWidth="1"/>
    <col min="6665" max="6665" width="16.28515625" style="533" customWidth="1"/>
    <col min="6666" max="6666" width="16" style="533" customWidth="1"/>
    <col min="6667" max="6667" width="14.85546875" style="533" customWidth="1"/>
    <col min="6668" max="6668" width="12.7109375" style="533" bestFit="1" customWidth="1"/>
    <col min="6669" max="6669" width="11.85546875" style="533" customWidth="1"/>
    <col min="6670" max="6670" width="19.5703125" style="533" customWidth="1"/>
    <col min="6671" max="6915" width="9.140625" style="533"/>
    <col min="6916" max="6916" width="6.7109375" style="533" customWidth="1"/>
    <col min="6917" max="6917" width="95.7109375" style="533" customWidth="1"/>
    <col min="6918" max="6918" width="16.28515625" style="533" customWidth="1"/>
    <col min="6919" max="6919" width="12.140625" style="533" customWidth="1"/>
    <col min="6920" max="6920" width="15.7109375" style="533" customWidth="1"/>
    <col min="6921" max="6921" width="16.28515625" style="533" customWidth="1"/>
    <col min="6922" max="6922" width="16" style="533" customWidth="1"/>
    <col min="6923" max="6923" width="14.85546875" style="533" customWidth="1"/>
    <col min="6924" max="6924" width="12.7109375" style="533" bestFit="1" customWidth="1"/>
    <col min="6925" max="6925" width="11.85546875" style="533" customWidth="1"/>
    <col min="6926" max="6926" width="19.5703125" style="533" customWidth="1"/>
    <col min="6927" max="7171" width="9.140625" style="533"/>
    <col min="7172" max="7172" width="6.7109375" style="533" customWidth="1"/>
    <col min="7173" max="7173" width="95.7109375" style="533" customWidth="1"/>
    <col min="7174" max="7174" width="16.28515625" style="533" customWidth="1"/>
    <col min="7175" max="7175" width="12.140625" style="533" customWidth="1"/>
    <col min="7176" max="7176" width="15.7109375" style="533" customWidth="1"/>
    <col min="7177" max="7177" width="16.28515625" style="533" customWidth="1"/>
    <col min="7178" max="7178" width="16" style="533" customWidth="1"/>
    <col min="7179" max="7179" width="14.85546875" style="533" customWidth="1"/>
    <col min="7180" max="7180" width="12.7109375" style="533" bestFit="1" customWidth="1"/>
    <col min="7181" max="7181" width="11.85546875" style="533" customWidth="1"/>
    <col min="7182" max="7182" width="19.5703125" style="533" customWidth="1"/>
    <col min="7183" max="7427" width="9.140625" style="533"/>
    <col min="7428" max="7428" width="6.7109375" style="533" customWidth="1"/>
    <col min="7429" max="7429" width="95.7109375" style="533" customWidth="1"/>
    <col min="7430" max="7430" width="16.28515625" style="533" customWidth="1"/>
    <col min="7431" max="7431" width="12.140625" style="533" customWidth="1"/>
    <col min="7432" max="7432" width="15.7109375" style="533" customWidth="1"/>
    <col min="7433" max="7433" width="16.28515625" style="533" customWidth="1"/>
    <col min="7434" max="7434" width="16" style="533" customWidth="1"/>
    <col min="7435" max="7435" width="14.85546875" style="533" customWidth="1"/>
    <col min="7436" max="7436" width="12.7109375" style="533" bestFit="1" customWidth="1"/>
    <col min="7437" max="7437" width="11.85546875" style="533" customWidth="1"/>
    <col min="7438" max="7438" width="19.5703125" style="533" customWidth="1"/>
    <col min="7439" max="7683" width="9.140625" style="533"/>
    <col min="7684" max="7684" width="6.7109375" style="533" customWidth="1"/>
    <col min="7685" max="7685" width="95.7109375" style="533" customWidth="1"/>
    <col min="7686" max="7686" width="16.28515625" style="533" customWidth="1"/>
    <col min="7687" max="7687" width="12.140625" style="533" customWidth="1"/>
    <col min="7688" max="7688" width="15.7109375" style="533" customWidth="1"/>
    <col min="7689" max="7689" width="16.28515625" style="533" customWidth="1"/>
    <col min="7690" max="7690" width="16" style="533" customWidth="1"/>
    <col min="7691" max="7691" width="14.85546875" style="533" customWidth="1"/>
    <col min="7692" max="7692" width="12.7109375" style="533" bestFit="1" customWidth="1"/>
    <col min="7693" max="7693" width="11.85546875" style="533" customWidth="1"/>
    <col min="7694" max="7694" width="19.5703125" style="533" customWidth="1"/>
    <col min="7695" max="7939" width="9.140625" style="533"/>
    <col min="7940" max="7940" width="6.7109375" style="533" customWidth="1"/>
    <col min="7941" max="7941" width="95.7109375" style="533" customWidth="1"/>
    <col min="7942" max="7942" width="16.28515625" style="533" customWidth="1"/>
    <col min="7943" max="7943" width="12.140625" style="533" customWidth="1"/>
    <col min="7944" max="7944" width="15.7109375" style="533" customWidth="1"/>
    <col min="7945" max="7945" width="16.28515625" style="533" customWidth="1"/>
    <col min="7946" max="7946" width="16" style="533" customWidth="1"/>
    <col min="7947" max="7947" width="14.85546875" style="533" customWidth="1"/>
    <col min="7948" max="7948" width="12.7109375" style="533" bestFit="1" customWidth="1"/>
    <col min="7949" max="7949" width="11.85546875" style="533" customWidth="1"/>
    <col min="7950" max="7950" width="19.5703125" style="533" customWidth="1"/>
    <col min="7951" max="8195" width="9.140625" style="533"/>
    <col min="8196" max="8196" width="6.7109375" style="533" customWidth="1"/>
    <col min="8197" max="8197" width="95.7109375" style="533" customWidth="1"/>
    <col min="8198" max="8198" width="16.28515625" style="533" customWidth="1"/>
    <col min="8199" max="8199" width="12.140625" style="533" customWidth="1"/>
    <col min="8200" max="8200" width="15.7109375" style="533" customWidth="1"/>
    <col min="8201" max="8201" width="16.28515625" style="533" customWidth="1"/>
    <col min="8202" max="8202" width="16" style="533" customWidth="1"/>
    <col min="8203" max="8203" width="14.85546875" style="533" customWidth="1"/>
    <col min="8204" max="8204" width="12.7109375" style="533" bestFit="1" customWidth="1"/>
    <col min="8205" max="8205" width="11.85546875" style="533" customWidth="1"/>
    <col min="8206" max="8206" width="19.5703125" style="533" customWidth="1"/>
    <col min="8207" max="8451" width="9.140625" style="533"/>
    <col min="8452" max="8452" width="6.7109375" style="533" customWidth="1"/>
    <col min="8453" max="8453" width="95.7109375" style="533" customWidth="1"/>
    <col min="8454" max="8454" width="16.28515625" style="533" customWidth="1"/>
    <col min="8455" max="8455" width="12.140625" style="533" customWidth="1"/>
    <col min="8456" max="8456" width="15.7109375" style="533" customWidth="1"/>
    <col min="8457" max="8457" width="16.28515625" style="533" customWidth="1"/>
    <col min="8458" max="8458" width="16" style="533" customWidth="1"/>
    <col min="8459" max="8459" width="14.85546875" style="533" customWidth="1"/>
    <col min="8460" max="8460" width="12.7109375" style="533" bestFit="1" customWidth="1"/>
    <col min="8461" max="8461" width="11.85546875" style="533" customWidth="1"/>
    <col min="8462" max="8462" width="19.5703125" style="533" customWidth="1"/>
    <col min="8463" max="8707" width="9.140625" style="533"/>
    <col min="8708" max="8708" width="6.7109375" style="533" customWidth="1"/>
    <col min="8709" max="8709" width="95.7109375" style="533" customWidth="1"/>
    <col min="8710" max="8710" width="16.28515625" style="533" customWidth="1"/>
    <col min="8711" max="8711" width="12.140625" style="533" customWidth="1"/>
    <col min="8712" max="8712" width="15.7109375" style="533" customWidth="1"/>
    <col min="8713" max="8713" width="16.28515625" style="533" customWidth="1"/>
    <col min="8714" max="8714" width="16" style="533" customWidth="1"/>
    <col min="8715" max="8715" width="14.85546875" style="533" customWidth="1"/>
    <col min="8716" max="8716" width="12.7109375" style="533" bestFit="1" customWidth="1"/>
    <col min="8717" max="8717" width="11.85546875" style="533" customWidth="1"/>
    <col min="8718" max="8718" width="19.5703125" style="533" customWidth="1"/>
    <col min="8719" max="8963" width="9.140625" style="533"/>
    <col min="8964" max="8964" width="6.7109375" style="533" customWidth="1"/>
    <col min="8965" max="8965" width="95.7109375" style="533" customWidth="1"/>
    <col min="8966" max="8966" width="16.28515625" style="533" customWidth="1"/>
    <col min="8967" max="8967" width="12.140625" style="533" customWidth="1"/>
    <col min="8968" max="8968" width="15.7109375" style="533" customWidth="1"/>
    <col min="8969" max="8969" width="16.28515625" style="533" customWidth="1"/>
    <col min="8970" max="8970" width="16" style="533" customWidth="1"/>
    <col min="8971" max="8971" width="14.85546875" style="533" customWidth="1"/>
    <col min="8972" max="8972" width="12.7109375" style="533" bestFit="1" customWidth="1"/>
    <col min="8973" max="8973" width="11.85546875" style="533" customWidth="1"/>
    <col min="8974" max="8974" width="19.5703125" style="533" customWidth="1"/>
    <col min="8975" max="9219" width="9.140625" style="533"/>
    <col min="9220" max="9220" width="6.7109375" style="533" customWidth="1"/>
    <col min="9221" max="9221" width="95.7109375" style="533" customWidth="1"/>
    <col min="9222" max="9222" width="16.28515625" style="533" customWidth="1"/>
    <col min="9223" max="9223" width="12.140625" style="533" customWidth="1"/>
    <col min="9224" max="9224" width="15.7109375" style="533" customWidth="1"/>
    <col min="9225" max="9225" width="16.28515625" style="533" customWidth="1"/>
    <col min="9226" max="9226" width="16" style="533" customWidth="1"/>
    <col min="9227" max="9227" width="14.85546875" style="533" customWidth="1"/>
    <col min="9228" max="9228" width="12.7109375" style="533" bestFit="1" customWidth="1"/>
    <col min="9229" max="9229" width="11.85546875" style="533" customWidth="1"/>
    <col min="9230" max="9230" width="19.5703125" style="533" customWidth="1"/>
    <col min="9231" max="9475" width="9.140625" style="533"/>
    <col min="9476" max="9476" width="6.7109375" style="533" customWidth="1"/>
    <col min="9477" max="9477" width="95.7109375" style="533" customWidth="1"/>
    <col min="9478" max="9478" width="16.28515625" style="533" customWidth="1"/>
    <col min="9479" max="9479" width="12.140625" style="533" customWidth="1"/>
    <col min="9480" max="9480" width="15.7109375" style="533" customWidth="1"/>
    <col min="9481" max="9481" width="16.28515625" style="533" customWidth="1"/>
    <col min="9482" max="9482" width="16" style="533" customWidth="1"/>
    <col min="9483" max="9483" width="14.85546875" style="533" customWidth="1"/>
    <col min="9484" max="9484" width="12.7109375" style="533" bestFit="1" customWidth="1"/>
    <col min="9485" max="9485" width="11.85546875" style="533" customWidth="1"/>
    <col min="9486" max="9486" width="19.5703125" style="533" customWidth="1"/>
    <col min="9487" max="9731" width="9.140625" style="533"/>
    <col min="9732" max="9732" width="6.7109375" style="533" customWidth="1"/>
    <col min="9733" max="9733" width="95.7109375" style="533" customWidth="1"/>
    <col min="9734" max="9734" width="16.28515625" style="533" customWidth="1"/>
    <col min="9735" max="9735" width="12.140625" style="533" customWidth="1"/>
    <col min="9736" max="9736" width="15.7109375" style="533" customWidth="1"/>
    <col min="9737" max="9737" width="16.28515625" style="533" customWidth="1"/>
    <col min="9738" max="9738" width="16" style="533" customWidth="1"/>
    <col min="9739" max="9739" width="14.85546875" style="533" customWidth="1"/>
    <col min="9740" max="9740" width="12.7109375" style="533" bestFit="1" customWidth="1"/>
    <col min="9741" max="9741" width="11.85546875" style="533" customWidth="1"/>
    <col min="9742" max="9742" width="19.5703125" style="533" customWidth="1"/>
    <col min="9743" max="9987" width="9.140625" style="533"/>
    <col min="9988" max="9988" width="6.7109375" style="533" customWidth="1"/>
    <col min="9989" max="9989" width="95.7109375" style="533" customWidth="1"/>
    <col min="9990" max="9990" width="16.28515625" style="533" customWidth="1"/>
    <col min="9991" max="9991" width="12.140625" style="533" customWidth="1"/>
    <col min="9992" max="9992" width="15.7109375" style="533" customWidth="1"/>
    <col min="9993" max="9993" width="16.28515625" style="533" customWidth="1"/>
    <col min="9994" max="9994" width="16" style="533" customWidth="1"/>
    <col min="9995" max="9995" width="14.85546875" style="533" customWidth="1"/>
    <col min="9996" max="9996" width="12.7109375" style="533" bestFit="1" customWidth="1"/>
    <col min="9997" max="9997" width="11.85546875" style="533" customWidth="1"/>
    <col min="9998" max="9998" width="19.5703125" style="533" customWidth="1"/>
    <col min="9999" max="10243" width="9.140625" style="533"/>
    <col min="10244" max="10244" width="6.7109375" style="533" customWidth="1"/>
    <col min="10245" max="10245" width="95.7109375" style="533" customWidth="1"/>
    <col min="10246" max="10246" width="16.28515625" style="533" customWidth="1"/>
    <col min="10247" max="10247" width="12.140625" style="533" customWidth="1"/>
    <col min="10248" max="10248" width="15.7109375" style="533" customWidth="1"/>
    <col min="10249" max="10249" width="16.28515625" style="533" customWidth="1"/>
    <col min="10250" max="10250" width="16" style="533" customWidth="1"/>
    <col min="10251" max="10251" width="14.85546875" style="533" customWidth="1"/>
    <col min="10252" max="10252" width="12.7109375" style="533" bestFit="1" customWidth="1"/>
    <col min="10253" max="10253" width="11.85546875" style="533" customWidth="1"/>
    <col min="10254" max="10254" width="19.5703125" style="533" customWidth="1"/>
    <col min="10255" max="10499" width="9.140625" style="533"/>
    <col min="10500" max="10500" width="6.7109375" style="533" customWidth="1"/>
    <col min="10501" max="10501" width="95.7109375" style="533" customWidth="1"/>
    <col min="10502" max="10502" width="16.28515625" style="533" customWidth="1"/>
    <col min="10503" max="10503" width="12.140625" style="533" customWidth="1"/>
    <col min="10504" max="10504" width="15.7109375" style="533" customWidth="1"/>
    <col min="10505" max="10505" width="16.28515625" style="533" customWidth="1"/>
    <col min="10506" max="10506" width="16" style="533" customWidth="1"/>
    <col min="10507" max="10507" width="14.85546875" style="533" customWidth="1"/>
    <col min="10508" max="10508" width="12.7109375" style="533" bestFit="1" customWidth="1"/>
    <col min="10509" max="10509" width="11.85546875" style="533" customWidth="1"/>
    <col min="10510" max="10510" width="19.5703125" style="533" customWidth="1"/>
    <col min="10511" max="10755" width="9.140625" style="533"/>
    <col min="10756" max="10756" width="6.7109375" style="533" customWidth="1"/>
    <col min="10757" max="10757" width="95.7109375" style="533" customWidth="1"/>
    <col min="10758" max="10758" width="16.28515625" style="533" customWidth="1"/>
    <col min="10759" max="10759" width="12.140625" style="533" customWidth="1"/>
    <col min="10760" max="10760" width="15.7109375" style="533" customWidth="1"/>
    <col min="10761" max="10761" width="16.28515625" style="533" customWidth="1"/>
    <col min="10762" max="10762" width="16" style="533" customWidth="1"/>
    <col min="10763" max="10763" width="14.85546875" style="533" customWidth="1"/>
    <col min="10764" max="10764" width="12.7109375" style="533" bestFit="1" customWidth="1"/>
    <col min="10765" max="10765" width="11.85546875" style="533" customWidth="1"/>
    <col min="10766" max="10766" width="19.5703125" style="533" customWidth="1"/>
    <col min="10767" max="11011" width="9.140625" style="533"/>
    <col min="11012" max="11012" width="6.7109375" style="533" customWidth="1"/>
    <col min="11013" max="11013" width="95.7109375" style="533" customWidth="1"/>
    <col min="11014" max="11014" width="16.28515625" style="533" customWidth="1"/>
    <col min="11015" max="11015" width="12.140625" style="533" customWidth="1"/>
    <col min="11016" max="11016" width="15.7109375" style="533" customWidth="1"/>
    <col min="11017" max="11017" width="16.28515625" style="533" customWidth="1"/>
    <col min="11018" max="11018" width="16" style="533" customWidth="1"/>
    <col min="11019" max="11019" width="14.85546875" style="533" customWidth="1"/>
    <col min="11020" max="11020" width="12.7109375" style="533" bestFit="1" customWidth="1"/>
    <col min="11021" max="11021" width="11.85546875" style="533" customWidth="1"/>
    <col min="11022" max="11022" width="19.5703125" style="533" customWidth="1"/>
    <col min="11023" max="11267" width="9.140625" style="533"/>
    <col min="11268" max="11268" width="6.7109375" style="533" customWidth="1"/>
    <col min="11269" max="11269" width="95.7109375" style="533" customWidth="1"/>
    <col min="11270" max="11270" width="16.28515625" style="533" customWidth="1"/>
    <col min="11271" max="11271" width="12.140625" style="533" customWidth="1"/>
    <col min="11272" max="11272" width="15.7109375" style="533" customWidth="1"/>
    <col min="11273" max="11273" width="16.28515625" style="533" customWidth="1"/>
    <col min="11274" max="11274" width="16" style="533" customWidth="1"/>
    <col min="11275" max="11275" width="14.85546875" style="533" customWidth="1"/>
    <col min="11276" max="11276" width="12.7109375" style="533" bestFit="1" customWidth="1"/>
    <col min="11277" max="11277" width="11.85546875" style="533" customWidth="1"/>
    <col min="11278" max="11278" width="19.5703125" style="533" customWidth="1"/>
    <col min="11279" max="11523" width="9.140625" style="533"/>
    <col min="11524" max="11524" width="6.7109375" style="533" customWidth="1"/>
    <col min="11525" max="11525" width="95.7109375" style="533" customWidth="1"/>
    <col min="11526" max="11526" width="16.28515625" style="533" customWidth="1"/>
    <col min="11527" max="11527" width="12.140625" style="533" customWidth="1"/>
    <col min="11528" max="11528" width="15.7109375" style="533" customWidth="1"/>
    <col min="11529" max="11529" width="16.28515625" style="533" customWidth="1"/>
    <col min="11530" max="11530" width="16" style="533" customWidth="1"/>
    <col min="11531" max="11531" width="14.85546875" style="533" customWidth="1"/>
    <col min="11532" max="11532" width="12.7109375" style="533" bestFit="1" customWidth="1"/>
    <col min="11533" max="11533" width="11.85546875" style="533" customWidth="1"/>
    <col min="11534" max="11534" width="19.5703125" style="533" customWidth="1"/>
    <col min="11535" max="11779" width="9.140625" style="533"/>
    <col min="11780" max="11780" width="6.7109375" style="533" customWidth="1"/>
    <col min="11781" max="11781" width="95.7109375" style="533" customWidth="1"/>
    <col min="11782" max="11782" width="16.28515625" style="533" customWidth="1"/>
    <col min="11783" max="11783" width="12.140625" style="533" customWidth="1"/>
    <col min="11784" max="11784" width="15.7109375" style="533" customWidth="1"/>
    <col min="11785" max="11785" width="16.28515625" style="533" customWidth="1"/>
    <col min="11786" max="11786" width="16" style="533" customWidth="1"/>
    <col min="11787" max="11787" width="14.85546875" style="533" customWidth="1"/>
    <col min="11788" max="11788" width="12.7109375" style="533" bestFit="1" customWidth="1"/>
    <col min="11789" max="11789" width="11.85546875" style="533" customWidth="1"/>
    <col min="11790" max="11790" width="19.5703125" style="533" customWidth="1"/>
    <col min="11791" max="12035" width="9.140625" style="533"/>
    <col min="12036" max="12036" width="6.7109375" style="533" customWidth="1"/>
    <col min="12037" max="12037" width="95.7109375" style="533" customWidth="1"/>
    <col min="12038" max="12038" width="16.28515625" style="533" customWidth="1"/>
    <col min="12039" max="12039" width="12.140625" style="533" customWidth="1"/>
    <col min="12040" max="12040" width="15.7109375" style="533" customWidth="1"/>
    <col min="12041" max="12041" width="16.28515625" style="533" customWidth="1"/>
    <col min="12042" max="12042" width="16" style="533" customWidth="1"/>
    <col min="12043" max="12043" width="14.85546875" style="533" customWidth="1"/>
    <col min="12044" max="12044" width="12.7109375" style="533" bestFit="1" customWidth="1"/>
    <col min="12045" max="12045" width="11.85546875" style="533" customWidth="1"/>
    <col min="12046" max="12046" width="19.5703125" style="533" customWidth="1"/>
    <col min="12047" max="12291" width="9.140625" style="533"/>
    <col min="12292" max="12292" width="6.7109375" style="533" customWidth="1"/>
    <col min="12293" max="12293" width="95.7109375" style="533" customWidth="1"/>
    <col min="12294" max="12294" width="16.28515625" style="533" customWidth="1"/>
    <col min="12295" max="12295" width="12.140625" style="533" customWidth="1"/>
    <col min="12296" max="12296" width="15.7109375" style="533" customWidth="1"/>
    <col min="12297" max="12297" width="16.28515625" style="533" customWidth="1"/>
    <col min="12298" max="12298" width="16" style="533" customWidth="1"/>
    <col min="12299" max="12299" width="14.85546875" style="533" customWidth="1"/>
    <col min="12300" max="12300" width="12.7109375" style="533" bestFit="1" customWidth="1"/>
    <col min="12301" max="12301" width="11.85546875" style="533" customWidth="1"/>
    <col min="12302" max="12302" width="19.5703125" style="533" customWidth="1"/>
    <col min="12303" max="12547" width="9.140625" style="533"/>
    <col min="12548" max="12548" width="6.7109375" style="533" customWidth="1"/>
    <col min="12549" max="12549" width="95.7109375" style="533" customWidth="1"/>
    <col min="12550" max="12550" width="16.28515625" style="533" customWidth="1"/>
    <col min="12551" max="12551" width="12.140625" style="533" customWidth="1"/>
    <col min="12552" max="12552" width="15.7109375" style="533" customWidth="1"/>
    <col min="12553" max="12553" width="16.28515625" style="533" customWidth="1"/>
    <col min="12554" max="12554" width="16" style="533" customWidth="1"/>
    <col min="12555" max="12555" width="14.85546875" style="533" customWidth="1"/>
    <col min="12556" max="12556" width="12.7109375" style="533" bestFit="1" customWidth="1"/>
    <col min="12557" max="12557" width="11.85546875" style="533" customWidth="1"/>
    <col min="12558" max="12558" width="19.5703125" style="533" customWidth="1"/>
    <col min="12559" max="12803" width="9.140625" style="533"/>
    <col min="12804" max="12804" width="6.7109375" style="533" customWidth="1"/>
    <col min="12805" max="12805" width="95.7109375" style="533" customWidth="1"/>
    <col min="12806" max="12806" width="16.28515625" style="533" customWidth="1"/>
    <col min="12807" max="12807" width="12.140625" style="533" customWidth="1"/>
    <col min="12808" max="12808" width="15.7109375" style="533" customWidth="1"/>
    <col min="12809" max="12809" width="16.28515625" style="533" customWidth="1"/>
    <col min="12810" max="12810" width="16" style="533" customWidth="1"/>
    <col min="12811" max="12811" width="14.85546875" style="533" customWidth="1"/>
    <col min="12812" max="12812" width="12.7109375" style="533" bestFit="1" customWidth="1"/>
    <col min="12813" max="12813" width="11.85546875" style="533" customWidth="1"/>
    <col min="12814" max="12814" width="19.5703125" style="533" customWidth="1"/>
    <col min="12815" max="13059" width="9.140625" style="533"/>
    <col min="13060" max="13060" width="6.7109375" style="533" customWidth="1"/>
    <col min="13061" max="13061" width="95.7109375" style="533" customWidth="1"/>
    <col min="13062" max="13062" width="16.28515625" style="533" customWidth="1"/>
    <col min="13063" max="13063" width="12.140625" style="533" customWidth="1"/>
    <col min="13064" max="13064" width="15.7109375" style="533" customWidth="1"/>
    <col min="13065" max="13065" width="16.28515625" style="533" customWidth="1"/>
    <col min="13066" max="13066" width="16" style="533" customWidth="1"/>
    <col min="13067" max="13067" width="14.85546875" style="533" customWidth="1"/>
    <col min="13068" max="13068" width="12.7109375" style="533" bestFit="1" customWidth="1"/>
    <col min="13069" max="13069" width="11.85546875" style="533" customWidth="1"/>
    <col min="13070" max="13070" width="19.5703125" style="533" customWidth="1"/>
    <col min="13071" max="13315" width="9.140625" style="533"/>
    <col min="13316" max="13316" width="6.7109375" style="533" customWidth="1"/>
    <col min="13317" max="13317" width="95.7109375" style="533" customWidth="1"/>
    <col min="13318" max="13318" width="16.28515625" style="533" customWidth="1"/>
    <col min="13319" max="13319" width="12.140625" style="533" customWidth="1"/>
    <col min="13320" max="13320" width="15.7109375" style="533" customWidth="1"/>
    <col min="13321" max="13321" width="16.28515625" style="533" customWidth="1"/>
    <col min="13322" max="13322" width="16" style="533" customWidth="1"/>
    <col min="13323" max="13323" width="14.85546875" style="533" customWidth="1"/>
    <col min="13324" max="13324" width="12.7109375" style="533" bestFit="1" customWidth="1"/>
    <col min="13325" max="13325" width="11.85546875" style="533" customWidth="1"/>
    <col min="13326" max="13326" width="19.5703125" style="533" customWidth="1"/>
    <col min="13327" max="13571" width="9.140625" style="533"/>
    <col min="13572" max="13572" width="6.7109375" style="533" customWidth="1"/>
    <col min="13573" max="13573" width="95.7109375" style="533" customWidth="1"/>
    <col min="13574" max="13574" width="16.28515625" style="533" customWidth="1"/>
    <col min="13575" max="13575" width="12.140625" style="533" customWidth="1"/>
    <col min="13576" max="13576" width="15.7109375" style="533" customWidth="1"/>
    <col min="13577" max="13577" width="16.28515625" style="533" customWidth="1"/>
    <col min="13578" max="13578" width="16" style="533" customWidth="1"/>
    <col min="13579" max="13579" width="14.85546875" style="533" customWidth="1"/>
    <col min="13580" max="13580" width="12.7109375" style="533" bestFit="1" customWidth="1"/>
    <col min="13581" max="13581" width="11.85546875" style="533" customWidth="1"/>
    <col min="13582" max="13582" width="19.5703125" style="533" customWidth="1"/>
    <col min="13583" max="13827" width="9.140625" style="533"/>
    <col min="13828" max="13828" width="6.7109375" style="533" customWidth="1"/>
    <col min="13829" max="13829" width="95.7109375" style="533" customWidth="1"/>
    <col min="13830" max="13830" width="16.28515625" style="533" customWidth="1"/>
    <col min="13831" max="13831" width="12.140625" style="533" customWidth="1"/>
    <col min="13832" max="13832" width="15.7109375" style="533" customWidth="1"/>
    <col min="13833" max="13833" width="16.28515625" style="533" customWidth="1"/>
    <col min="13834" max="13834" width="16" style="533" customWidth="1"/>
    <col min="13835" max="13835" width="14.85546875" style="533" customWidth="1"/>
    <col min="13836" max="13836" width="12.7109375" style="533" bestFit="1" customWidth="1"/>
    <col min="13837" max="13837" width="11.85546875" style="533" customWidth="1"/>
    <col min="13838" max="13838" width="19.5703125" style="533" customWidth="1"/>
    <col min="13839" max="14083" width="9.140625" style="533"/>
    <col min="14084" max="14084" width="6.7109375" style="533" customWidth="1"/>
    <col min="14085" max="14085" width="95.7109375" style="533" customWidth="1"/>
    <col min="14086" max="14086" width="16.28515625" style="533" customWidth="1"/>
    <col min="14087" max="14087" width="12.140625" style="533" customWidth="1"/>
    <col min="14088" max="14088" width="15.7109375" style="533" customWidth="1"/>
    <col min="14089" max="14089" width="16.28515625" style="533" customWidth="1"/>
    <col min="14090" max="14090" width="16" style="533" customWidth="1"/>
    <col min="14091" max="14091" width="14.85546875" style="533" customWidth="1"/>
    <col min="14092" max="14092" width="12.7109375" style="533" bestFit="1" customWidth="1"/>
    <col min="14093" max="14093" width="11.85546875" style="533" customWidth="1"/>
    <col min="14094" max="14094" width="19.5703125" style="533" customWidth="1"/>
    <col min="14095" max="14339" width="9.140625" style="533"/>
    <col min="14340" max="14340" width="6.7109375" style="533" customWidth="1"/>
    <col min="14341" max="14341" width="95.7109375" style="533" customWidth="1"/>
    <col min="14342" max="14342" width="16.28515625" style="533" customWidth="1"/>
    <col min="14343" max="14343" width="12.140625" style="533" customWidth="1"/>
    <col min="14344" max="14344" width="15.7109375" style="533" customWidth="1"/>
    <col min="14345" max="14345" width="16.28515625" style="533" customWidth="1"/>
    <col min="14346" max="14346" width="16" style="533" customWidth="1"/>
    <col min="14347" max="14347" width="14.85546875" style="533" customWidth="1"/>
    <col min="14348" max="14348" width="12.7109375" style="533" bestFit="1" customWidth="1"/>
    <col min="14349" max="14349" width="11.85546875" style="533" customWidth="1"/>
    <col min="14350" max="14350" width="19.5703125" style="533" customWidth="1"/>
    <col min="14351" max="14595" width="9.140625" style="533"/>
    <col min="14596" max="14596" width="6.7109375" style="533" customWidth="1"/>
    <col min="14597" max="14597" width="95.7109375" style="533" customWidth="1"/>
    <col min="14598" max="14598" width="16.28515625" style="533" customWidth="1"/>
    <col min="14599" max="14599" width="12.140625" style="533" customWidth="1"/>
    <col min="14600" max="14600" width="15.7109375" style="533" customWidth="1"/>
    <col min="14601" max="14601" width="16.28515625" style="533" customWidth="1"/>
    <col min="14602" max="14602" width="16" style="533" customWidth="1"/>
    <col min="14603" max="14603" width="14.85546875" style="533" customWidth="1"/>
    <col min="14604" max="14604" width="12.7109375" style="533" bestFit="1" customWidth="1"/>
    <col min="14605" max="14605" width="11.85546875" style="533" customWidth="1"/>
    <col min="14606" max="14606" width="19.5703125" style="533" customWidth="1"/>
    <col min="14607" max="14851" width="9.140625" style="533"/>
    <col min="14852" max="14852" width="6.7109375" style="533" customWidth="1"/>
    <col min="14853" max="14853" width="95.7109375" style="533" customWidth="1"/>
    <col min="14854" max="14854" width="16.28515625" style="533" customWidth="1"/>
    <col min="14855" max="14855" width="12.140625" style="533" customWidth="1"/>
    <col min="14856" max="14856" width="15.7109375" style="533" customWidth="1"/>
    <col min="14857" max="14857" width="16.28515625" style="533" customWidth="1"/>
    <col min="14858" max="14858" width="16" style="533" customWidth="1"/>
    <col min="14859" max="14859" width="14.85546875" style="533" customWidth="1"/>
    <col min="14860" max="14860" width="12.7109375" style="533" bestFit="1" customWidth="1"/>
    <col min="14861" max="14861" width="11.85546875" style="533" customWidth="1"/>
    <col min="14862" max="14862" width="19.5703125" style="533" customWidth="1"/>
    <col min="14863" max="15107" width="9.140625" style="533"/>
    <col min="15108" max="15108" width="6.7109375" style="533" customWidth="1"/>
    <col min="15109" max="15109" width="95.7109375" style="533" customWidth="1"/>
    <col min="15110" max="15110" width="16.28515625" style="533" customWidth="1"/>
    <col min="15111" max="15111" width="12.140625" style="533" customWidth="1"/>
    <col min="15112" max="15112" width="15.7109375" style="533" customWidth="1"/>
    <col min="15113" max="15113" width="16.28515625" style="533" customWidth="1"/>
    <col min="15114" max="15114" width="16" style="533" customWidth="1"/>
    <col min="15115" max="15115" width="14.85546875" style="533" customWidth="1"/>
    <col min="15116" max="15116" width="12.7109375" style="533" bestFit="1" customWidth="1"/>
    <col min="15117" max="15117" width="11.85546875" style="533" customWidth="1"/>
    <col min="15118" max="15118" width="19.5703125" style="533" customWidth="1"/>
    <col min="15119" max="15363" width="9.140625" style="533"/>
    <col min="15364" max="15364" width="6.7109375" style="533" customWidth="1"/>
    <col min="15365" max="15365" width="95.7109375" style="533" customWidth="1"/>
    <col min="15366" max="15366" width="16.28515625" style="533" customWidth="1"/>
    <col min="15367" max="15367" width="12.140625" style="533" customWidth="1"/>
    <col min="15368" max="15368" width="15.7109375" style="533" customWidth="1"/>
    <col min="15369" max="15369" width="16.28515625" style="533" customWidth="1"/>
    <col min="15370" max="15370" width="16" style="533" customWidth="1"/>
    <col min="15371" max="15371" width="14.85546875" style="533" customWidth="1"/>
    <col min="15372" max="15372" width="12.7109375" style="533" bestFit="1" customWidth="1"/>
    <col min="15373" max="15373" width="11.85546875" style="533" customWidth="1"/>
    <col min="15374" max="15374" width="19.5703125" style="533" customWidth="1"/>
    <col min="15375" max="15619" width="9.140625" style="533"/>
    <col min="15620" max="15620" width="6.7109375" style="533" customWidth="1"/>
    <col min="15621" max="15621" width="95.7109375" style="533" customWidth="1"/>
    <col min="15622" max="15622" width="16.28515625" style="533" customWidth="1"/>
    <col min="15623" max="15623" width="12.140625" style="533" customWidth="1"/>
    <col min="15624" max="15624" width="15.7109375" style="533" customWidth="1"/>
    <col min="15625" max="15625" width="16.28515625" style="533" customWidth="1"/>
    <col min="15626" max="15626" width="16" style="533" customWidth="1"/>
    <col min="15627" max="15627" width="14.85546875" style="533" customWidth="1"/>
    <col min="15628" max="15628" width="12.7109375" style="533" bestFit="1" customWidth="1"/>
    <col min="15629" max="15629" width="11.85546875" style="533" customWidth="1"/>
    <col min="15630" max="15630" width="19.5703125" style="533" customWidth="1"/>
    <col min="15631" max="15875" width="9.140625" style="533"/>
    <col min="15876" max="15876" width="6.7109375" style="533" customWidth="1"/>
    <col min="15877" max="15877" width="95.7109375" style="533" customWidth="1"/>
    <col min="15878" max="15878" width="16.28515625" style="533" customWidth="1"/>
    <col min="15879" max="15879" width="12.140625" style="533" customWidth="1"/>
    <col min="15880" max="15880" width="15.7109375" style="533" customWidth="1"/>
    <col min="15881" max="15881" width="16.28515625" style="533" customWidth="1"/>
    <col min="15882" max="15882" width="16" style="533" customWidth="1"/>
    <col min="15883" max="15883" width="14.85546875" style="533" customWidth="1"/>
    <col min="15884" max="15884" width="12.7109375" style="533" bestFit="1" customWidth="1"/>
    <col min="15885" max="15885" width="11.85546875" style="533" customWidth="1"/>
    <col min="15886" max="15886" width="19.5703125" style="533" customWidth="1"/>
    <col min="15887" max="16131" width="9.140625" style="533"/>
    <col min="16132" max="16132" width="6.7109375" style="533" customWidth="1"/>
    <col min="16133" max="16133" width="95.7109375" style="533" customWidth="1"/>
    <col min="16134" max="16134" width="16.28515625" style="533" customWidth="1"/>
    <col min="16135" max="16135" width="12.140625" style="533" customWidth="1"/>
    <col min="16136" max="16136" width="15.7109375" style="533" customWidth="1"/>
    <col min="16137" max="16137" width="16.28515625" style="533" customWidth="1"/>
    <col min="16138" max="16138" width="16" style="533" customWidth="1"/>
    <col min="16139" max="16139" width="14.85546875" style="533" customWidth="1"/>
    <col min="16140" max="16140" width="12.7109375" style="533" bestFit="1" customWidth="1"/>
    <col min="16141" max="16141" width="11.85546875" style="533" customWidth="1"/>
    <col min="16142" max="16142" width="19.5703125" style="533" customWidth="1"/>
    <col min="16143" max="16383" width="9.140625" style="533"/>
    <col min="16384" max="16384" width="8.85546875" style="533" customWidth="1"/>
  </cols>
  <sheetData>
    <row r="2" spans="3:28" ht="18">
      <c r="C2" s="843" t="s">
        <v>738</v>
      </c>
      <c r="D2" s="843"/>
      <c r="E2" s="843"/>
      <c r="F2" s="843"/>
      <c r="G2" s="843"/>
      <c r="H2" s="843"/>
      <c r="I2" s="843"/>
      <c r="J2" s="843"/>
      <c r="K2" s="843"/>
      <c r="L2" s="843"/>
      <c r="M2" s="843"/>
      <c r="AB2" s="533">
        <v>100000</v>
      </c>
    </row>
    <row r="3" spans="3:28">
      <c r="C3" s="844" t="s">
        <v>739</v>
      </c>
      <c r="D3" s="844"/>
      <c r="E3" s="844"/>
      <c r="F3" s="844"/>
      <c r="G3" s="844"/>
      <c r="H3" s="844"/>
      <c r="I3" s="844"/>
      <c r="J3" s="844"/>
      <c r="K3" s="844"/>
      <c r="L3" s="844"/>
      <c r="M3" s="844"/>
    </row>
    <row r="4" spans="3:28" ht="6" customHeight="1">
      <c r="C4" s="534"/>
    </row>
    <row r="5" spans="3:28">
      <c r="D5" s="618" t="s">
        <v>851</v>
      </c>
      <c r="F5" s="535"/>
      <c r="G5" s="535"/>
      <c r="H5" s="535"/>
      <c r="I5" s="535"/>
      <c r="J5" s="535"/>
      <c r="K5" s="535"/>
      <c r="M5" s="595" t="s">
        <v>776</v>
      </c>
    </row>
    <row r="6" spans="3:28">
      <c r="D6" s="561" t="s">
        <v>852</v>
      </c>
      <c r="E6" s="860" t="s">
        <v>853</v>
      </c>
      <c r="F6" s="860"/>
      <c r="G6" s="860"/>
      <c r="H6" s="860" t="s">
        <v>854</v>
      </c>
      <c r="I6" s="860"/>
      <c r="J6" s="860"/>
      <c r="K6" s="860" t="s">
        <v>855</v>
      </c>
      <c r="L6" s="860"/>
      <c r="M6" s="860"/>
    </row>
    <row r="7" spans="3:28" ht="47.25">
      <c r="D7" s="619" t="s">
        <v>534</v>
      </c>
      <c r="E7" s="561" t="s">
        <v>856</v>
      </c>
      <c r="F7" s="619" t="s">
        <v>857</v>
      </c>
      <c r="G7" s="619" t="s">
        <v>858</v>
      </c>
      <c r="H7" s="561" t="s">
        <v>856</v>
      </c>
      <c r="I7" s="619" t="s">
        <v>857</v>
      </c>
      <c r="J7" s="619" t="s">
        <v>858</v>
      </c>
      <c r="K7" s="561" t="s">
        <v>856</v>
      </c>
      <c r="L7" s="619" t="s">
        <v>857</v>
      </c>
      <c r="M7" s="619" t="s">
        <v>858</v>
      </c>
      <c r="N7" s="533">
        <v>100000</v>
      </c>
    </row>
    <row r="8" spans="3:28">
      <c r="D8" s="859" t="s">
        <v>859</v>
      </c>
      <c r="E8" s="620">
        <v>-7.0400000000000004E-2</v>
      </c>
      <c r="F8" s="621">
        <f>218727910/N7</f>
        <v>2187.2791000000002</v>
      </c>
      <c r="G8" s="621">
        <f>-16573524/N7</f>
        <v>-165.73524</v>
      </c>
      <c r="H8" s="620">
        <v>-8.0100000000000005E-2</v>
      </c>
      <c r="I8" s="621">
        <f>204966608/N7</f>
        <v>2049.66608</v>
      </c>
      <c r="J8" s="621">
        <f>+-17845593/N7</f>
        <v>-178.45593</v>
      </c>
      <c r="K8" s="620">
        <v>-4.1500000000000002E-2</v>
      </c>
      <c r="L8" s="622">
        <f>1350624927/N7</f>
        <v>13506.24927</v>
      </c>
      <c r="M8" s="623">
        <f>-58477230/N7</f>
        <v>-584.77229999999997</v>
      </c>
    </row>
    <row r="9" spans="3:28">
      <c r="D9" s="859"/>
      <c r="E9" s="624">
        <v>8.3099999999999993E-2</v>
      </c>
      <c r="F9" s="621">
        <f>254843998/N7</f>
        <v>2548.4399800000001</v>
      </c>
      <c r="G9" s="621">
        <f>19542564/N7</f>
        <v>195.42563999999999</v>
      </c>
      <c r="H9" s="620">
        <v>9.6699999999999994E-2</v>
      </c>
      <c r="I9" s="621">
        <f>244351567/N7</f>
        <v>2443.5156699999998</v>
      </c>
      <c r="J9" s="621">
        <f>21539366/N7</f>
        <v>215.39366000000001</v>
      </c>
      <c r="K9" s="620">
        <v>4.5600000000000002E-2</v>
      </c>
      <c r="L9" s="622">
        <f>1473380746/N7</f>
        <v>14733.80746</v>
      </c>
      <c r="M9" s="623">
        <f>64268589/N7</f>
        <v>642.68588999999997</v>
      </c>
    </row>
    <row r="10" spans="3:28">
      <c r="D10" s="859" t="s">
        <v>860</v>
      </c>
      <c r="E10" s="624">
        <v>5.8400000000000001E-2</v>
      </c>
      <c r="F10" s="625">
        <f>249051211/N7</f>
        <v>2490.5121100000001</v>
      </c>
      <c r="G10" s="625">
        <f>13749777/N7</f>
        <v>137.49777</v>
      </c>
      <c r="H10" s="626">
        <v>9.6799999999999997E-2</v>
      </c>
      <c r="I10" s="621">
        <f>244378400/N7</f>
        <v>2443.7840000000001</v>
      </c>
      <c r="J10" s="621">
        <f>21566199/N7</f>
        <v>215.66199</v>
      </c>
      <c r="K10" s="620">
        <v>4.1300000000000003E-2</v>
      </c>
      <c r="L10" s="627">
        <f>1467279974/N7</f>
        <v>14672.79974</v>
      </c>
      <c r="M10" s="623">
        <f>58167817/N7</f>
        <v>581.67817000000002</v>
      </c>
    </row>
    <row r="11" spans="3:28">
      <c r="D11" s="859"/>
      <c r="E11" s="624">
        <v>-5.8599999999999999E-2</v>
      </c>
      <c r="F11" s="625">
        <f>221508615/N7</f>
        <v>2215.0861500000001</v>
      </c>
      <c r="G11" s="625">
        <f>-13792819/N7</f>
        <v>-137.92819</v>
      </c>
      <c r="H11" s="626">
        <v>-8.1000000000000003E-2</v>
      </c>
      <c r="I11" s="621">
        <f>204757715/N7</f>
        <v>2047.5771500000001</v>
      </c>
      <c r="J11" s="621">
        <f>+-18054486/N7</f>
        <v>-180.54486</v>
      </c>
      <c r="K11" s="620">
        <v>-3.9399999999999998E-2</v>
      </c>
      <c r="L11" s="627">
        <f>1353566313/N7</f>
        <v>13535.663130000001</v>
      </c>
      <c r="M11" s="623">
        <f>-55545844/N7</f>
        <v>-555.45844</v>
      </c>
    </row>
    <row r="12" spans="3:28">
      <c r="D12" s="861" t="s">
        <v>861</v>
      </c>
      <c r="E12" s="624">
        <v>3.7000000000000002E-3</v>
      </c>
      <c r="F12" s="621">
        <f>236174603/N7</f>
        <v>2361.7460299999998</v>
      </c>
      <c r="G12" s="621">
        <f>873169/N7</f>
        <v>8.7316900000000004</v>
      </c>
      <c r="H12" s="620">
        <v>5.2900000000000003E-2</v>
      </c>
      <c r="I12" s="621">
        <f>234608244/N7</f>
        <v>2346.0824400000001</v>
      </c>
      <c r="J12" s="621">
        <f>11796043/N7</f>
        <v>117.96043</v>
      </c>
      <c r="K12" s="620">
        <v>1.09E-2</v>
      </c>
      <c r="L12" s="622">
        <f>1424466206/N7</f>
        <v>14244.662060000001</v>
      </c>
      <c r="M12" s="628">
        <f>15354049/N7</f>
        <v>153.54049000000001</v>
      </c>
    </row>
    <row r="13" spans="3:28">
      <c r="D13" s="861"/>
      <c r="E13" s="624">
        <v>-0.42</v>
      </c>
      <c r="F13" s="621">
        <f>234311172/N7</f>
        <v>2343.1117199999999</v>
      </c>
      <c r="G13" s="621">
        <f>-990262/N7</f>
        <v>-9.9026200000000006</v>
      </c>
      <c r="H13" s="620">
        <v>-6.0600000000000001E-2</v>
      </c>
      <c r="I13" s="621">
        <f>209299623/N7</f>
        <v>2092.9962300000002</v>
      </c>
      <c r="J13" s="621">
        <f>+-13512578/N7</f>
        <v>-135.12577999999999</v>
      </c>
      <c r="K13" s="620">
        <v>-1.17E-2</v>
      </c>
      <c r="L13" s="622">
        <f>1392619771/N7</f>
        <v>13926.19771</v>
      </c>
      <c r="M13" s="628">
        <f>-16492386/N7</f>
        <v>-164.92385999999999</v>
      </c>
    </row>
    <row r="14" spans="3:28">
      <c r="D14" s="629" t="s">
        <v>862</v>
      </c>
      <c r="E14" s="624">
        <v>2.0000000000000001E-4</v>
      </c>
      <c r="F14" s="621">
        <f>235350306/N7</f>
        <v>2353.50306</v>
      </c>
      <c r="G14" s="621">
        <f>48872/N7</f>
        <v>0.48871999999999999</v>
      </c>
      <c r="H14" s="620">
        <v>1.4E-3</v>
      </c>
      <c r="I14" s="621">
        <f>223128861/N7</f>
        <v>2231.2886100000001</v>
      </c>
      <c r="J14" s="621">
        <f>316607/N7</f>
        <v>3.1660699999999999</v>
      </c>
      <c r="K14" s="620">
        <v>5.9999999999999995E-4</v>
      </c>
      <c r="L14" s="622">
        <f>1409977529/N7</f>
        <v>14099.77529</v>
      </c>
      <c r="M14" s="628">
        <f>865372/N7</f>
        <v>8.6537199999999999</v>
      </c>
    </row>
    <row r="15" spans="3:28" ht="47.25">
      <c r="D15" s="619" t="s">
        <v>459</v>
      </c>
      <c r="E15" s="561" t="s">
        <v>856</v>
      </c>
      <c r="F15" s="619" t="s">
        <v>857</v>
      </c>
      <c r="G15" s="619" t="s">
        <v>858</v>
      </c>
      <c r="H15" s="561" t="s">
        <v>856</v>
      </c>
      <c r="I15" s="619" t="s">
        <v>857</v>
      </c>
      <c r="J15" s="619" t="s">
        <v>858</v>
      </c>
      <c r="K15" s="561" t="s">
        <v>856</v>
      </c>
      <c r="L15" s="619" t="s">
        <v>857</v>
      </c>
      <c r="M15" s="619" t="s">
        <v>858</v>
      </c>
    </row>
    <row r="16" spans="3:28">
      <c r="D16" s="859" t="s">
        <v>769</v>
      </c>
      <c r="E16" s="624" t="s">
        <v>863</v>
      </c>
      <c r="F16" s="621">
        <v>-48.372709999999998</v>
      </c>
      <c r="G16" s="621">
        <v>0</v>
      </c>
      <c r="H16" s="621" t="s">
        <v>863</v>
      </c>
      <c r="I16" s="621">
        <v>-48.964860000000002</v>
      </c>
      <c r="J16" s="621">
        <v>0</v>
      </c>
      <c r="K16" s="621" t="s">
        <v>863</v>
      </c>
      <c r="L16" s="622">
        <v>-9549.7392299999992</v>
      </c>
      <c r="M16" s="630">
        <v>0</v>
      </c>
    </row>
    <row r="17" spans="1:27">
      <c r="D17" s="859"/>
      <c r="E17" s="624" t="s">
        <v>864</v>
      </c>
      <c r="F17" s="621">
        <v>52.062100000000001</v>
      </c>
      <c r="G17" s="621">
        <v>0</v>
      </c>
      <c r="H17" s="621" t="s">
        <v>864</v>
      </c>
      <c r="I17" s="621">
        <v>53.318660000000001</v>
      </c>
      <c r="J17" s="621">
        <v>0</v>
      </c>
      <c r="K17" s="621" t="s">
        <v>864</v>
      </c>
      <c r="L17" s="622">
        <v>9662.0314999999991</v>
      </c>
      <c r="M17" s="630">
        <v>0</v>
      </c>
    </row>
    <row r="18" spans="1:27">
      <c r="D18" s="859" t="s">
        <v>865</v>
      </c>
      <c r="E18" s="624" t="s">
        <v>863</v>
      </c>
      <c r="F18" s="621">
        <v>0</v>
      </c>
      <c r="G18" s="621">
        <v>0</v>
      </c>
      <c r="H18" s="621" t="s">
        <v>863</v>
      </c>
      <c r="I18" s="621">
        <v>0</v>
      </c>
      <c r="J18" s="621">
        <v>0</v>
      </c>
      <c r="K18" s="621" t="s">
        <v>863</v>
      </c>
      <c r="L18" s="631">
        <v>9719.5328599999993</v>
      </c>
      <c r="M18" s="630">
        <v>0</v>
      </c>
    </row>
    <row r="19" spans="1:27">
      <c r="D19" s="859"/>
      <c r="E19" s="624" t="s">
        <v>864</v>
      </c>
      <c r="F19" s="621">
        <v>0</v>
      </c>
      <c r="G19" s="621">
        <v>0</v>
      </c>
      <c r="H19" s="621" t="s">
        <v>864</v>
      </c>
      <c r="I19" s="621">
        <v>0</v>
      </c>
      <c r="J19" s="621">
        <v>0</v>
      </c>
      <c r="K19" s="621" t="s">
        <v>864</v>
      </c>
      <c r="L19" s="631">
        <v>-9584.7305099999994</v>
      </c>
      <c r="M19" s="630">
        <v>0</v>
      </c>
    </row>
    <row r="20" spans="1:27">
      <c r="D20" s="861" t="s">
        <v>866</v>
      </c>
      <c r="E20" s="624" t="s">
        <v>863</v>
      </c>
      <c r="F20" s="621">
        <v>39.35351</v>
      </c>
      <c r="G20" s="621">
        <v>0</v>
      </c>
      <c r="H20" s="621" t="s">
        <v>863</v>
      </c>
      <c r="I20" s="621">
        <v>53.437829999999998</v>
      </c>
      <c r="J20" s="621">
        <v>0</v>
      </c>
      <c r="K20" s="621" t="s">
        <v>863</v>
      </c>
      <c r="L20" s="622">
        <v>9719.5328599999993</v>
      </c>
      <c r="M20" s="630">
        <v>0</v>
      </c>
    </row>
    <row r="21" spans="1:27">
      <c r="D21" s="861"/>
      <c r="E21" s="624" t="s">
        <v>864</v>
      </c>
      <c r="F21" s="621">
        <v>-40.493859999999998</v>
      </c>
      <c r="G21" s="621">
        <v>0</v>
      </c>
      <c r="H21" s="621" t="s">
        <v>864</v>
      </c>
      <c r="I21" s="621">
        <v>-49.50712</v>
      </c>
      <c r="J21" s="621">
        <v>0</v>
      </c>
      <c r="K21" s="621" t="s">
        <v>864</v>
      </c>
      <c r="L21" s="622">
        <v>-9584.7305099999994</v>
      </c>
      <c r="M21" s="630">
        <v>0</v>
      </c>
    </row>
    <row r="22" spans="1:27" ht="6" customHeight="1">
      <c r="D22" s="632"/>
      <c r="E22" s="633"/>
      <c r="F22" s="577"/>
      <c r="G22" s="577"/>
      <c r="H22" s="577"/>
      <c r="I22" s="577"/>
      <c r="J22" s="577"/>
      <c r="K22" s="577"/>
      <c r="L22" s="577"/>
      <c r="M22" s="634"/>
    </row>
    <row r="23" spans="1:27" ht="16.5" thickBot="1">
      <c r="A23" s="632"/>
      <c r="B23" s="632"/>
      <c r="C23" s="632"/>
      <c r="D23" s="862" t="s">
        <v>867</v>
      </c>
      <c r="E23" s="862"/>
      <c r="F23" s="635"/>
      <c r="G23" s="635"/>
      <c r="H23" s="635"/>
      <c r="I23" s="635"/>
      <c r="J23" s="635"/>
      <c r="K23" s="858" t="s">
        <v>897</v>
      </c>
      <c r="L23" s="858"/>
      <c r="M23" s="858"/>
      <c r="N23" s="635"/>
    </row>
    <row r="24" spans="1:27" ht="47.25" customHeight="1">
      <c r="A24" s="632"/>
      <c r="B24" s="632"/>
      <c r="C24" s="632"/>
      <c r="D24" s="636" t="s">
        <v>868</v>
      </c>
      <c r="E24" s="637" t="s">
        <v>869</v>
      </c>
      <c r="F24" s="635"/>
      <c r="G24" s="635"/>
      <c r="H24" s="635"/>
      <c r="I24" s="635"/>
      <c r="J24" s="635"/>
      <c r="K24" s="858"/>
      <c r="L24" s="858"/>
      <c r="M24" s="858"/>
      <c r="N24" s="635"/>
    </row>
    <row r="25" spans="1:27" ht="16.5" thickBot="1">
      <c r="A25" s="632"/>
      <c r="B25" s="632"/>
      <c r="C25" s="632"/>
      <c r="D25" s="638" t="s">
        <v>870</v>
      </c>
      <c r="E25" s="639">
        <v>1</v>
      </c>
      <c r="F25" s="635"/>
      <c r="G25" s="635"/>
      <c r="H25" s="635"/>
      <c r="I25" s="635"/>
      <c r="J25" s="635"/>
      <c r="K25" s="858"/>
      <c r="L25" s="858"/>
      <c r="M25" s="858"/>
      <c r="N25" s="635"/>
    </row>
    <row r="26" spans="1:27" ht="6" customHeight="1">
      <c r="A26" s="632"/>
      <c r="B26" s="632"/>
      <c r="C26" s="632"/>
      <c r="D26" s="632"/>
      <c r="E26" s="640"/>
      <c r="F26" s="635"/>
      <c r="G26" s="635"/>
      <c r="H26" s="635"/>
      <c r="I26" s="635"/>
      <c r="J26" s="635"/>
      <c r="K26" s="858"/>
      <c r="L26" s="858"/>
      <c r="M26" s="858"/>
      <c r="N26" s="635"/>
    </row>
    <row r="27" spans="1:27">
      <c r="A27" s="632"/>
      <c r="B27" s="632"/>
      <c r="C27" s="632"/>
      <c r="D27" s="849" t="s">
        <v>871</v>
      </c>
      <c r="E27" s="849"/>
      <c r="F27" s="635"/>
      <c r="G27" s="635"/>
      <c r="H27" s="635"/>
      <c r="I27" s="635"/>
      <c r="J27" s="635"/>
      <c r="K27" s="858"/>
      <c r="L27" s="858"/>
      <c r="M27" s="858"/>
      <c r="N27" s="635"/>
    </row>
    <row r="28" spans="1:27">
      <c r="A28" s="632"/>
      <c r="B28" s="632"/>
      <c r="C28" s="632"/>
      <c r="D28" s="641" t="s">
        <v>872</v>
      </c>
      <c r="E28" s="641"/>
      <c r="F28" s="635"/>
      <c r="G28" s="635"/>
      <c r="H28" s="635"/>
      <c r="I28" s="635"/>
      <c r="J28" s="595" t="s">
        <v>776</v>
      </c>
      <c r="K28" s="858"/>
      <c r="L28" s="858"/>
      <c r="M28" s="858"/>
      <c r="N28" s="635"/>
    </row>
    <row r="29" spans="1:27" ht="94.5" customHeight="1">
      <c r="A29" s="632"/>
      <c r="B29" s="632"/>
      <c r="C29" s="632"/>
      <c r="D29" s="561" t="s">
        <v>873</v>
      </c>
      <c r="E29" s="561" t="s">
        <v>777</v>
      </c>
      <c r="F29" s="561" t="s">
        <v>778</v>
      </c>
      <c r="G29" s="561" t="s">
        <v>779</v>
      </c>
      <c r="H29" s="561" t="s">
        <v>810</v>
      </c>
      <c r="I29" s="561" t="s">
        <v>781</v>
      </c>
      <c r="J29" s="561" t="s">
        <v>782</v>
      </c>
      <c r="K29" s="858"/>
      <c r="L29" s="858"/>
      <c r="M29" s="858"/>
      <c r="N29" s="642"/>
      <c r="O29" s="643"/>
      <c r="P29" s="643"/>
      <c r="Q29" s="643"/>
      <c r="R29" s="643"/>
      <c r="S29" s="643"/>
      <c r="T29" s="643"/>
      <c r="U29" s="643"/>
      <c r="V29" s="643"/>
      <c r="W29" s="643"/>
      <c r="X29" s="643"/>
      <c r="Y29" s="643"/>
      <c r="Z29" s="643"/>
      <c r="AA29" s="643"/>
    </row>
    <row r="30" spans="1:27">
      <c r="A30" s="632"/>
      <c r="B30" s="632"/>
      <c r="C30" s="632"/>
      <c r="D30" s="53" t="s">
        <v>874</v>
      </c>
      <c r="E30" s="644">
        <f>19740129/N7</f>
        <v>197.40128999999999</v>
      </c>
      <c r="F30" s="644">
        <f>14616595/N7</f>
        <v>146.16595000000001</v>
      </c>
      <c r="G30" s="644">
        <v>849.43</v>
      </c>
      <c r="H30" s="644">
        <f>24841515/N7</f>
        <v>248.41515000000001</v>
      </c>
      <c r="I30" s="644">
        <f>27121521/N7</f>
        <v>271.21521000000001</v>
      </c>
      <c r="J30" s="644">
        <f>76672902/N7</f>
        <v>766.72901999999999</v>
      </c>
      <c r="K30" s="858"/>
      <c r="L30" s="858"/>
      <c r="M30" s="858"/>
      <c r="N30" s="645"/>
      <c r="O30" s="645"/>
      <c r="P30" s="645"/>
      <c r="Q30" s="645"/>
      <c r="R30" s="645"/>
      <c r="S30" s="645"/>
      <c r="T30" s="645"/>
      <c r="U30" s="645"/>
      <c r="V30" s="645"/>
      <c r="W30" s="645"/>
      <c r="X30" s="645"/>
      <c r="Y30" s="645"/>
      <c r="Z30" s="645"/>
      <c r="AA30" s="645"/>
    </row>
    <row r="31" spans="1:27">
      <c r="A31" s="632"/>
      <c r="B31" s="632"/>
      <c r="C31" s="632"/>
      <c r="D31" s="53" t="s">
        <v>875</v>
      </c>
      <c r="E31" s="644">
        <f>16840342/N7</f>
        <v>168.40342000000001</v>
      </c>
      <c r="F31" s="644">
        <f>11246533/N7</f>
        <v>112.46532999999999</v>
      </c>
      <c r="G31" s="644">
        <v>870.67</v>
      </c>
      <c r="H31" s="644">
        <f>19720524/N7</f>
        <v>197.20524</v>
      </c>
      <c r="I31" s="644">
        <f>20051810/N7</f>
        <v>200.5181</v>
      </c>
      <c r="J31" s="644">
        <f>81806758/N7</f>
        <v>818.06758000000002</v>
      </c>
      <c r="K31" s="858"/>
      <c r="L31" s="858"/>
      <c r="M31" s="858"/>
      <c r="N31" s="645"/>
      <c r="O31" s="645"/>
      <c r="P31" s="645"/>
      <c r="Q31" s="645"/>
      <c r="R31" s="645"/>
      <c r="S31" s="645"/>
      <c r="T31" s="645"/>
      <c r="U31" s="645"/>
      <c r="V31" s="645"/>
      <c r="W31" s="645"/>
      <c r="X31" s="645"/>
      <c r="Y31" s="645"/>
      <c r="Z31" s="645"/>
      <c r="AA31" s="645"/>
    </row>
    <row r="32" spans="1:27">
      <c r="A32" s="632"/>
      <c r="B32" s="632"/>
      <c r="C32" s="632"/>
      <c r="D32" s="53" t="s">
        <v>876</v>
      </c>
      <c r="E32" s="644">
        <f>14797932/N7</f>
        <v>147.97932</v>
      </c>
      <c r="F32" s="644">
        <f>10884593/N7</f>
        <v>108.84593</v>
      </c>
      <c r="G32" s="644">
        <v>900.27</v>
      </c>
      <c r="H32" s="644">
        <f>18340226/N7</f>
        <v>183.40226000000001</v>
      </c>
      <c r="I32" s="644">
        <f>12597862/N7</f>
        <v>125.97862000000001</v>
      </c>
      <c r="J32" s="644">
        <f>83243409/N7</f>
        <v>832.43408999999997</v>
      </c>
      <c r="K32" s="858"/>
      <c r="L32" s="858"/>
      <c r="M32" s="858"/>
      <c r="N32" s="645"/>
      <c r="O32" s="645"/>
      <c r="P32" s="645"/>
      <c r="Q32" s="645"/>
      <c r="R32" s="645"/>
      <c r="S32" s="645"/>
      <c r="T32" s="645"/>
      <c r="U32" s="645"/>
      <c r="V32" s="645"/>
      <c r="W32" s="645"/>
      <c r="X32" s="645"/>
      <c r="Y32" s="645"/>
      <c r="Z32" s="645"/>
      <c r="AA32" s="645"/>
    </row>
    <row r="33" spans="1:27">
      <c r="A33" s="632"/>
      <c r="B33" s="632"/>
      <c r="C33" s="632"/>
      <c r="D33" s="53" t="s">
        <v>877</v>
      </c>
      <c r="E33" s="644">
        <f>11964330/N7</f>
        <v>119.6433</v>
      </c>
      <c r="F33" s="644">
        <f>8884458/N7</f>
        <v>88.844579999999993</v>
      </c>
      <c r="G33" s="644">
        <v>923.67</v>
      </c>
      <c r="H33" s="644">
        <f>16853857/N7</f>
        <v>168.53856999999999</v>
      </c>
      <c r="I33" s="644">
        <f>12678977/N7</f>
        <v>126.78977</v>
      </c>
      <c r="J33" s="644">
        <f>86719636/N7</f>
        <v>867.19636000000003</v>
      </c>
      <c r="K33" s="858"/>
      <c r="L33" s="858"/>
      <c r="M33" s="858"/>
      <c r="N33" s="645"/>
      <c r="O33" s="645"/>
      <c r="P33" s="645"/>
      <c r="Q33" s="645"/>
      <c r="R33" s="645"/>
      <c r="S33" s="645"/>
      <c r="T33" s="645"/>
      <c r="U33" s="645"/>
      <c r="V33" s="645"/>
      <c r="W33" s="645"/>
      <c r="X33" s="645"/>
      <c r="Y33" s="645"/>
      <c r="Z33" s="645"/>
      <c r="AA33" s="645"/>
    </row>
    <row r="34" spans="1:27">
      <c r="A34" s="632"/>
      <c r="B34" s="632"/>
      <c r="C34" s="632"/>
      <c r="D34" s="53" t="s">
        <v>878</v>
      </c>
      <c r="E34" s="644">
        <f>8391351/N7</f>
        <v>83.913510000000002</v>
      </c>
      <c r="F34" s="644">
        <f>6369023/N7</f>
        <v>63.69023</v>
      </c>
      <c r="G34" s="644">
        <v>949.54</v>
      </c>
      <c r="H34" s="644">
        <f>11219496/N7</f>
        <v>112.19495999999999</v>
      </c>
      <c r="I34" s="644">
        <f>9275827/N7</f>
        <v>92.758269999999996</v>
      </c>
      <c r="J34" s="644">
        <f>90552107/N7</f>
        <v>905.52107000000001</v>
      </c>
      <c r="K34" s="858"/>
      <c r="L34" s="858"/>
      <c r="M34" s="858"/>
      <c r="N34" s="645"/>
      <c r="O34" s="645"/>
      <c r="P34" s="645"/>
      <c r="Q34" s="645"/>
      <c r="R34" s="645"/>
      <c r="S34" s="645"/>
      <c r="T34" s="645"/>
      <c r="U34" s="645"/>
      <c r="V34" s="645"/>
      <c r="W34" s="645"/>
      <c r="X34" s="645"/>
      <c r="Y34" s="645"/>
      <c r="Z34" s="645"/>
      <c r="AA34" s="645"/>
    </row>
    <row r="35" spans="1:27">
      <c r="A35" s="632"/>
      <c r="B35" s="632"/>
      <c r="C35" s="632"/>
      <c r="D35" s="53" t="s">
        <v>879</v>
      </c>
      <c r="E35" s="644"/>
      <c r="F35" s="547"/>
      <c r="G35" s="644"/>
      <c r="H35" s="644">
        <f>3879318/N7</f>
        <v>38.79318</v>
      </c>
      <c r="I35" s="644">
        <f>4647088/N7</f>
        <v>46.470880000000001</v>
      </c>
      <c r="J35" s="644">
        <f>94496461/N7</f>
        <v>944.96460999999999</v>
      </c>
      <c r="K35" s="858"/>
      <c r="L35" s="858"/>
      <c r="M35" s="858"/>
      <c r="N35" s="645"/>
      <c r="O35" s="645"/>
      <c r="P35" s="645"/>
      <c r="Q35" s="645"/>
      <c r="R35" s="645"/>
      <c r="S35" s="645"/>
      <c r="T35" s="645"/>
      <c r="U35" s="645"/>
      <c r="V35" s="645"/>
      <c r="W35" s="645"/>
      <c r="X35" s="645"/>
      <c r="Y35" s="645"/>
      <c r="Z35" s="645"/>
      <c r="AA35" s="645"/>
    </row>
    <row r="36" spans="1:27">
      <c r="A36" s="632"/>
      <c r="B36" s="632"/>
      <c r="C36" s="632"/>
      <c r="D36" s="53" t="s">
        <v>880</v>
      </c>
      <c r="E36" s="644">
        <f>163567349/N7</f>
        <v>1635.6734899999999</v>
      </c>
      <c r="F36" s="644">
        <f>170811000/N7</f>
        <v>1708.11</v>
      </c>
      <c r="G36" s="644">
        <v>9597.5499999999993</v>
      </c>
      <c r="H36" s="644">
        <f>86699746/N7</f>
        <v>866.99746000000005</v>
      </c>
      <c r="I36" s="644">
        <f>109192865/N7</f>
        <v>1091.9286500000001</v>
      </c>
      <c r="J36" s="644">
        <f>738769406/N7</f>
        <v>7387.6940599999998</v>
      </c>
      <c r="K36" s="858"/>
      <c r="L36" s="858"/>
      <c r="M36" s="858"/>
      <c r="N36" s="645"/>
      <c r="O36" s="645"/>
      <c r="P36" s="645"/>
      <c r="Q36" s="645"/>
      <c r="R36" s="645"/>
      <c r="S36" s="645"/>
      <c r="T36" s="645"/>
      <c r="U36" s="645"/>
      <c r="V36" s="645"/>
      <c r="W36" s="645"/>
      <c r="X36" s="645"/>
      <c r="Y36" s="645"/>
      <c r="Z36" s="645"/>
      <c r="AA36" s="645"/>
    </row>
    <row r="37" spans="1:27" ht="16.5" customHeight="1">
      <c r="D37" s="646" t="s">
        <v>881</v>
      </c>
      <c r="E37" s="547"/>
      <c r="F37" s="547"/>
      <c r="G37" s="547"/>
      <c r="H37" s="547"/>
      <c r="I37" s="547"/>
      <c r="J37" s="547"/>
      <c r="K37" s="858"/>
      <c r="L37" s="858"/>
      <c r="M37" s="858"/>
    </row>
    <row r="96" ht="16.5" thickBot="1"/>
    <row r="97" spans="1:12">
      <c r="A97" s="647"/>
      <c r="B97" s="648"/>
      <c r="C97" s="649"/>
      <c r="D97" s="649"/>
      <c r="E97" s="649"/>
      <c r="F97" s="649"/>
      <c r="G97" s="650"/>
      <c r="H97" s="650"/>
      <c r="I97" s="650"/>
      <c r="J97" s="650"/>
      <c r="K97" s="650"/>
      <c r="L97" s="651"/>
    </row>
    <row r="98" spans="1:12">
      <c r="A98" s="652"/>
      <c r="B98" s="545"/>
      <c r="C98" s="646"/>
      <c r="D98" s="646"/>
      <c r="E98" s="646"/>
      <c r="F98" s="646"/>
      <c r="G98" s="653"/>
      <c r="H98" s="653"/>
      <c r="I98" s="653"/>
      <c r="J98" s="653"/>
      <c r="K98" s="653"/>
      <c r="L98" s="654"/>
    </row>
    <row r="99" spans="1:12">
      <c r="A99" s="652"/>
      <c r="B99" s="545"/>
      <c r="C99" s="646"/>
      <c r="D99" s="646"/>
      <c r="E99" s="646"/>
      <c r="F99" s="646"/>
      <c r="G99" s="653"/>
      <c r="H99" s="653"/>
      <c r="I99" s="653"/>
      <c r="J99" s="653"/>
      <c r="K99" s="653"/>
      <c r="L99" s="654"/>
    </row>
    <row r="100" spans="1:12">
      <c r="A100" s="652"/>
      <c r="B100" s="545"/>
      <c r="C100" s="646"/>
      <c r="D100" s="646"/>
      <c r="E100" s="646"/>
      <c r="F100" s="646"/>
      <c r="G100" s="653"/>
      <c r="H100" s="653"/>
      <c r="I100" s="653"/>
      <c r="J100" s="653"/>
      <c r="K100" s="653"/>
      <c r="L100" s="654"/>
    </row>
    <row r="101" spans="1:12">
      <c r="A101" s="652"/>
      <c r="B101" s="545"/>
      <c r="C101" s="646"/>
      <c r="D101" s="646"/>
      <c r="E101" s="646"/>
      <c r="F101" s="646"/>
      <c r="G101" s="653"/>
      <c r="H101" s="653"/>
      <c r="I101" s="653"/>
      <c r="J101" s="653"/>
      <c r="K101" s="653"/>
      <c r="L101" s="654"/>
    </row>
    <row r="102" spans="1:12">
      <c r="A102" s="652"/>
      <c r="B102" s="545"/>
      <c r="C102" s="646"/>
      <c r="D102" s="646"/>
      <c r="E102" s="646"/>
      <c r="F102" s="646"/>
      <c r="G102" s="653"/>
      <c r="H102" s="653"/>
      <c r="I102" s="653"/>
      <c r="J102" s="653"/>
      <c r="K102" s="653"/>
      <c r="L102" s="654"/>
    </row>
    <row r="103" spans="1:12">
      <c r="A103" s="652"/>
      <c r="B103" s="545"/>
      <c r="C103" s="646"/>
      <c r="D103" s="646"/>
      <c r="E103" s="646"/>
      <c r="F103" s="646"/>
      <c r="G103" s="653"/>
      <c r="H103" s="653"/>
      <c r="I103" s="653"/>
      <c r="J103" s="653"/>
      <c r="K103" s="653"/>
      <c r="L103" s="654"/>
    </row>
    <row r="104" spans="1:12">
      <c r="A104" s="652"/>
      <c r="B104" s="545"/>
      <c r="C104" s="646"/>
      <c r="D104" s="646"/>
      <c r="E104" s="646"/>
      <c r="F104" s="646"/>
      <c r="G104" s="653"/>
      <c r="H104" s="653"/>
      <c r="I104" s="653"/>
      <c r="J104" s="653"/>
      <c r="K104" s="653"/>
      <c r="L104" s="654"/>
    </row>
    <row r="105" spans="1:12">
      <c r="A105" s="652"/>
      <c r="B105" s="545"/>
      <c r="C105" s="646"/>
      <c r="D105" s="646"/>
      <c r="E105" s="646"/>
      <c r="F105" s="646"/>
      <c r="G105" s="653"/>
      <c r="H105" s="653"/>
      <c r="I105" s="653"/>
      <c r="J105" s="653"/>
      <c r="K105" s="653"/>
      <c r="L105" s="654"/>
    </row>
    <row r="106" spans="1:12">
      <c r="A106" s="652"/>
      <c r="B106" s="545"/>
      <c r="C106" s="646"/>
      <c r="D106" s="646"/>
      <c r="E106" s="646"/>
      <c r="F106" s="646"/>
      <c r="G106" s="653"/>
      <c r="H106" s="653"/>
      <c r="I106" s="653"/>
      <c r="J106" s="653"/>
      <c r="K106" s="653"/>
      <c r="L106" s="654"/>
    </row>
    <row r="107" spans="1:12">
      <c r="A107" s="652"/>
      <c r="B107" s="545"/>
      <c r="C107" s="646"/>
      <c r="D107" s="646"/>
      <c r="E107" s="646"/>
      <c r="F107" s="646"/>
      <c r="G107" s="653"/>
      <c r="H107" s="653"/>
      <c r="I107" s="653"/>
      <c r="J107" s="653"/>
      <c r="K107" s="653"/>
      <c r="L107" s="654"/>
    </row>
    <row r="108" spans="1:12">
      <c r="A108" s="652"/>
      <c r="B108" s="545"/>
      <c r="C108" s="646"/>
      <c r="D108" s="646"/>
      <c r="E108" s="646"/>
      <c r="F108" s="646"/>
      <c r="G108" s="653"/>
      <c r="H108" s="653"/>
      <c r="I108" s="653"/>
      <c r="J108" s="653"/>
      <c r="K108" s="653"/>
      <c r="L108" s="654"/>
    </row>
    <row r="109" spans="1:12">
      <c r="A109" s="652"/>
      <c r="B109" s="545"/>
      <c r="C109" s="646"/>
      <c r="D109" s="646"/>
      <c r="E109" s="646"/>
      <c r="F109" s="646"/>
      <c r="G109" s="653"/>
      <c r="H109" s="653"/>
      <c r="I109" s="653"/>
      <c r="J109" s="653"/>
      <c r="K109" s="653"/>
      <c r="L109" s="654"/>
    </row>
    <row r="110" spans="1:12">
      <c r="A110" s="652"/>
      <c r="B110" s="545"/>
      <c r="C110" s="646"/>
      <c r="D110" s="646"/>
      <c r="E110" s="646"/>
      <c r="F110" s="646"/>
      <c r="G110" s="653"/>
      <c r="H110" s="653"/>
      <c r="I110" s="653"/>
      <c r="J110" s="653"/>
      <c r="K110" s="653"/>
      <c r="L110" s="654"/>
    </row>
    <row r="111" spans="1:12">
      <c r="A111" s="652"/>
      <c r="B111" s="545"/>
      <c r="C111" s="646"/>
      <c r="D111" s="646"/>
      <c r="E111" s="646"/>
      <c r="F111" s="646"/>
      <c r="G111" s="653"/>
      <c r="H111" s="653"/>
      <c r="I111" s="653"/>
      <c r="J111" s="653"/>
      <c r="K111" s="653"/>
      <c r="L111" s="654"/>
    </row>
    <row r="112" spans="1:12">
      <c r="A112" s="652"/>
      <c r="B112" s="545"/>
      <c r="C112" s="646"/>
      <c r="D112" s="646"/>
      <c r="E112" s="646"/>
      <c r="F112" s="646"/>
      <c r="G112" s="653"/>
      <c r="H112" s="653"/>
      <c r="I112" s="653"/>
      <c r="J112" s="653"/>
      <c r="K112" s="653"/>
      <c r="L112" s="654"/>
    </row>
    <row r="113" spans="1:12">
      <c r="A113" s="652"/>
      <c r="B113" s="545"/>
      <c r="C113" s="646"/>
      <c r="D113" s="646"/>
      <c r="E113" s="646"/>
      <c r="F113" s="646"/>
      <c r="G113" s="653"/>
      <c r="H113" s="653"/>
      <c r="I113" s="653"/>
      <c r="J113" s="653"/>
      <c r="K113" s="653"/>
      <c r="L113" s="654"/>
    </row>
    <row r="114" spans="1:12">
      <c r="A114" s="652"/>
      <c r="B114" s="545"/>
      <c r="C114" s="646"/>
      <c r="D114" s="646"/>
      <c r="E114" s="646"/>
      <c r="F114" s="646"/>
      <c r="G114" s="653"/>
      <c r="H114" s="653"/>
      <c r="I114" s="653"/>
      <c r="J114" s="653"/>
      <c r="K114" s="653"/>
      <c r="L114" s="654"/>
    </row>
    <row r="115" spans="1:12">
      <c r="A115" s="652"/>
      <c r="B115" s="545"/>
      <c r="C115" s="646"/>
      <c r="D115" s="646"/>
      <c r="E115" s="646"/>
      <c r="F115" s="646"/>
      <c r="G115" s="653"/>
      <c r="H115" s="653"/>
      <c r="I115" s="653"/>
      <c r="J115" s="653"/>
      <c r="K115" s="653"/>
      <c r="L115" s="654"/>
    </row>
    <row r="116" spans="1:12">
      <c r="A116" s="652"/>
      <c r="B116" s="545"/>
      <c r="C116" s="646"/>
      <c r="D116" s="646"/>
      <c r="E116" s="646"/>
      <c r="F116" s="646"/>
      <c r="G116" s="653"/>
      <c r="H116" s="653"/>
      <c r="I116" s="653"/>
      <c r="J116" s="653"/>
      <c r="K116" s="653"/>
      <c r="L116" s="654"/>
    </row>
    <row r="117" spans="1:12">
      <c r="A117" s="652"/>
      <c r="B117" s="545"/>
      <c r="C117" s="646"/>
      <c r="D117" s="646"/>
      <c r="E117" s="646"/>
      <c r="F117" s="646"/>
      <c r="G117" s="653"/>
      <c r="H117" s="653"/>
      <c r="I117" s="653"/>
      <c r="J117" s="653"/>
      <c r="K117" s="653"/>
      <c r="L117" s="654"/>
    </row>
    <row r="118" spans="1:12">
      <c r="A118" s="652"/>
      <c r="B118" s="545"/>
      <c r="C118" s="646"/>
      <c r="D118" s="646"/>
      <c r="E118" s="646"/>
      <c r="F118" s="646"/>
      <c r="G118" s="653"/>
      <c r="H118" s="653"/>
      <c r="I118" s="653"/>
      <c r="J118" s="653"/>
      <c r="K118" s="653"/>
      <c r="L118" s="654"/>
    </row>
    <row r="119" spans="1:12">
      <c r="A119" s="652"/>
      <c r="B119" s="545"/>
      <c r="C119" s="646"/>
      <c r="D119" s="646"/>
      <c r="E119" s="646"/>
      <c r="F119" s="646"/>
      <c r="G119" s="653"/>
      <c r="H119" s="653"/>
      <c r="I119" s="653"/>
      <c r="J119" s="653"/>
      <c r="K119" s="653"/>
      <c r="L119" s="654"/>
    </row>
    <row r="120" spans="1:12">
      <c r="A120" s="652"/>
      <c r="B120" s="545"/>
      <c r="C120" s="646"/>
      <c r="D120" s="646"/>
      <c r="E120" s="646"/>
      <c r="F120" s="646"/>
      <c r="G120" s="653"/>
      <c r="H120" s="653"/>
      <c r="I120" s="653"/>
      <c r="J120" s="653"/>
      <c r="K120" s="653"/>
      <c r="L120" s="654"/>
    </row>
    <row r="121" spans="1:12">
      <c r="A121" s="652"/>
      <c r="B121" s="545"/>
      <c r="C121" s="646"/>
      <c r="D121" s="646"/>
      <c r="E121" s="646"/>
      <c r="F121" s="646"/>
      <c r="G121" s="653"/>
      <c r="H121" s="653"/>
      <c r="I121" s="653"/>
      <c r="J121" s="653"/>
      <c r="K121" s="653"/>
      <c r="L121" s="654"/>
    </row>
    <row r="122" spans="1:12">
      <c r="A122" s="652"/>
      <c r="B122" s="545"/>
      <c r="C122" s="646"/>
      <c r="D122" s="646"/>
      <c r="E122" s="646"/>
      <c r="F122" s="646"/>
      <c r="G122" s="653"/>
      <c r="H122" s="653"/>
      <c r="I122" s="653"/>
      <c r="J122" s="653"/>
      <c r="K122" s="653"/>
      <c r="L122" s="654"/>
    </row>
    <row r="123" spans="1:12">
      <c r="A123" s="652"/>
      <c r="B123" s="545"/>
      <c r="C123" s="646"/>
      <c r="D123" s="646"/>
      <c r="E123" s="646"/>
      <c r="F123" s="646"/>
      <c r="G123" s="653"/>
      <c r="H123" s="653"/>
      <c r="I123" s="653"/>
      <c r="J123" s="653"/>
      <c r="K123" s="653"/>
      <c r="L123" s="654"/>
    </row>
    <row r="124" spans="1:12">
      <c r="A124" s="652"/>
      <c r="B124" s="545"/>
      <c r="C124" s="646"/>
      <c r="D124" s="646"/>
      <c r="E124" s="646"/>
      <c r="F124" s="646"/>
      <c r="G124" s="653"/>
      <c r="H124" s="653"/>
      <c r="I124" s="653"/>
      <c r="J124" s="653"/>
      <c r="K124" s="653"/>
      <c r="L124" s="654"/>
    </row>
    <row r="125" spans="1:12">
      <c r="A125" s="652"/>
      <c r="B125" s="545"/>
      <c r="C125" s="646"/>
      <c r="D125" s="646"/>
      <c r="E125" s="646"/>
      <c r="F125" s="646"/>
      <c r="G125" s="653"/>
      <c r="H125" s="653"/>
      <c r="I125" s="653"/>
      <c r="J125" s="653"/>
      <c r="K125" s="653"/>
      <c r="L125" s="654"/>
    </row>
    <row r="126" spans="1:12">
      <c r="A126" s="652"/>
      <c r="B126" s="545"/>
      <c r="C126" s="646"/>
      <c r="D126" s="646"/>
      <c r="E126" s="646"/>
      <c r="F126" s="646"/>
      <c r="G126" s="653"/>
      <c r="H126" s="653"/>
      <c r="I126" s="653"/>
      <c r="J126" s="653"/>
      <c r="K126" s="653"/>
      <c r="L126" s="654"/>
    </row>
    <row r="127" spans="1:12">
      <c r="A127" s="652"/>
      <c r="B127" s="545"/>
      <c r="C127" s="646"/>
      <c r="D127" s="646"/>
      <c r="E127" s="646"/>
      <c r="F127" s="646"/>
      <c r="G127" s="653"/>
      <c r="H127" s="653"/>
      <c r="I127" s="653"/>
      <c r="J127" s="653"/>
      <c r="K127" s="653"/>
      <c r="L127" s="654"/>
    </row>
    <row r="128" spans="1:12">
      <c r="A128" s="652"/>
      <c r="B128" s="545"/>
      <c r="C128" s="646"/>
      <c r="D128" s="646"/>
      <c r="E128" s="646"/>
      <c r="F128" s="646"/>
      <c r="G128" s="653"/>
      <c r="H128" s="653"/>
      <c r="I128" s="653"/>
      <c r="J128" s="653"/>
      <c r="K128" s="653"/>
      <c r="L128" s="654"/>
    </row>
    <row r="129" spans="1:12">
      <c r="A129" s="652"/>
      <c r="B129" s="545"/>
      <c r="C129" s="646"/>
      <c r="D129" s="646"/>
      <c r="E129" s="646"/>
      <c r="F129" s="646"/>
      <c r="G129" s="653"/>
      <c r="H129" s="653"/>
      <c r="I129" s="653"/>
      <c r="J129" s="653"/>
      <c r="K129" s="653"/>
      <c r="L129" s="654"/>
    </row>
    <row r="130" spans="1:12">
      <c r="A130" s="652"/>
      <c r="B130" s="545"/>
      <c r="C130" s="646"/>
      <c r="D130" s="646"/>
      <c r="E130" s="646"/>
      <c r="F130" s="646"/>
      <c r="G130" s="653"/>
      <c r="H130" s="653"/>
      <c r="I130" s="653"/>
      <c r="J130" s="653"/>
      <c r="K130" s="653"/>
      <c r="L130" s="654"/>
    </row>
    <row r="131" spans="1:12">
      <c r="A131" s="652"/>
      <c r="B131" s="545"/>
      <c r="C131" s="646"/>
      <c r="D131" s="646"/>
      <c r="E131" s="646"/>
      <c r="F131" s="646"/>
      <c r="G131" s="653"/>
      <c r="H131" s="653"/>
      <c r="I131" s="653"/>
      <c r="J131" s="653"/>
      <c r="K131" s="653"/>
      <c r="L131" s="654"/>
    </row>
    <row r="132" spans="1:12" ht="16.5" thickBot="1">
      <c r="A132" s="655"/>
      <c r="B132" s="656"/>
      <c r="C132" s="657"/>
      <c r="D132" s="657"/>
      <c r="E132" s="657"/>
      <c r="F132" s="657"/>
      <c r="G132" s="658"/>
      <c r="H132" s="658"/>
      <c r="I132" s="658"/>
      <c r="J132" s="658"/>
      <c r="K132" s="658"/>
      <c r="L132" s="659"/>
    </row>
    <row r="174" spans="3:11">
      <c r="C174" s="573"/>
      <c r="D174" s="573"/>
      <c r="E174" s="573"/>
      <c r="F174" s="573"/>
      <c r="G174" s="573"/>
      <c r="H174" s="573"/>
      <c r="I174" s="573"/>
      <c r="J174" s="573"/>
      <c r="K174" s="573"/>
    </row>
  </sheetData>
  <mergeCells count="14">
    <mergeCell ref="K23:M37"/>
    <mergeCell ref="D8:D9"/>
    <mergeCell ref="C2:M2"/>
    <mergeCell ref="C3:M3"/>
    <mergeCell ref="E6:G6"/>
    <mergeCell ref="H6:J6"/>
    <mergeCell ref="K6:M6"/>
    <mergeCell ref="D27:E27"/>
    <mergeCell ref="D10:D11"/>
    <mergeCell ref="D12:D13"/>
    <mergeCell ref="D16:D17"/>
    <mergeCell ref="D18:D19"/>
    <mergeCell ref="D20:D21"/>
    <mergeCell ref="D23:E23"/>
  </mergeCells>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19.xml><?xml version="1.0" encoding="utf-8"?>
<worksheet xmlns="http://schemas.openxmlformats.org/spreadsheetml/2006/main" xmlns:r="http://schemas.openxmlformats.org/officeDocument/2006/relationships">
  <dimension ref="A1:K38"/>
  <sheetViews>
    <sheetView workbookViewId="0">
      <selection activeCell="B24" sqref="B24"/>
    </sheetView>
  </sheetViews>
  <sheetFormatPr defaultRowHeight="15"/>
  <cols>
    <col min="1" max="1" width="7" customWidth="1"/>
    <col min="3" max="3" width="10.85546875" customWidth="1"/>
  </cols>
  <sheetData>
    <row r="1" spans="1:11" s="328" customFormat="1" ht="18">
      <c r="A1" s="784" t="str">
        <f>'[4]Prior Period Error_1'!B1</f>
        <v>Bihar State Power Transmission Company Limited.</v>
      </c>
      <c r="B1" s="784"/>
      <c r="C1" s="784"/>
      <c r="D1" s="784"/>
      <c r="E1" s="784"/>
      <c r="F1" s="784"/>
      <c r="G1" s="784"/>
      <c r="H1" s="784"/>
      <c r="I1" s="784"/>
      <c r="J1" s="784"/>
      <c r="K1" s="784"/>
    </row>
    <row r="2" spans="1:11" s="328" customFormat="1" ht="15.75">
      <c r="A2" s="785" t="s">
        <v>553</v>
      </c>
      <c r="B2" s="785"/>
      <c r="C2" s="785"/>
      <c r="D2" s="785"/>
      <c r="E2" s="785"/>
      <c r="F2" s="785"/>
      <c r="G2" s="785"/>
      <c r="H2" s="785"/>
      <c r="I2" s="785"/>
      <c r="J2" s="785"/>
      <c r="K2" s="785"/>
    </row>
    <row r="3" spans="1:11" s="328" customFormat="1" ht="15.75">
      <c r="A3" s="429"/>
      <c r="B3" s="429"/>
      <c r="C3" s="429"/>
      <c r="D3" s="429"/>
      <c r="E3" s="429"/>
      <c r="F3" s="429"/>
      <c r="G3" s="429"/>
      <c r="H3" s="430"/>
    </row>
    <row r="4" spans="1:11" ht="15.75">
      <c r="A4" s="429">
        <v>9</v>
      </c>
      <c r="B4" s="474" t="s">
        <v>558</v>
      </c>
      <c r="C4" s="475"/>
      <c r="D4" s="475"/>
      <c r="E4" s="475"/>
      <c r="F4" s="475"/>
      <c r="G4" s="475"/>
      <c r="H4" s="475"/>
      <c r="I4" s="473"/>
      <c r="J4" s="473"/>
    </row>
    <row r="5" spans="1:11" ht="106.5" customHeight="1">
      <c r="A5" s="499"/>
      <c r="B5" s="866" t="s">
        <v>559</v>
      </c>
      <c r="C5" s="866"/>
      <c r="D5" s="866"/>
      <c r="E5" s="866"/>
      <c r="F5" s="866"/>
      <c r="G5" s="866"/>
      <c r="H5" s="866"/>
      <c r="I5" s="866"/>
      <c r="J5" s="866"/>
      <c r="K5" s="866"/>
    </row>
    <row r="6" spans="1:11" ht="43.5" customHeight="1">
      <c r="A6" s="499"/>
      <c r="B6" s="866" t="s">
        <v>560</v>
      </c>
      <c r="C6" s="866"/>
      <c r="D6" s="866"/>
      <c r="E6" s="866"/>
      <c r="F6" s="866"/>
      <c r="G6" s="866"/>
      <c r="H6" s="866"/>
      <c r="I6" s="866"/>
      <c r="J6" s="866"/>
      <c r="K6" s="866"/>
    </row>
    <row r="7" spans="1:11" ht="15.75">
      <c r="A7" s="499"/>
      <c r="B7" s="475"/>
      <c r="C7" s="475"/>
      <c r="D7" s="475"/>
      <c r="E7" s="475"/>
      <c r="F7" s="475"/>
      <c r="G7" s="475"/>
      <c r="H7" s="475"/>
      <c r="I7" s="473"/>
      <c r="J7" s="473"/>
    </row>
    <row r="8" spans="1:11" ht="15.75">
      <c r="A8" s="531">
        <f>A4+0.1</f>
        <v>9.1</v>
      </c>
      <c r="B8" s="476" t="s">
        <v>561</v>
      </c>
      <c r="C8" s="475"/>
      <c r="D8" s="475"/>
      <c r="E8" s="475"/>
      <c r="F8" s="475"/>
      <c r="G8" s="475"/>
      <c r="H8" s="475"/>
      <c r="I8" s="473"/>
      <c r="J8" s="473"/>
    </row>
    <row r="9" spans="1:11" ht="15.75">
      <c r="A9" s="499"/>
      <c r="B9" s="477" t="s">
        <v>562</v>
      </c>
      <c r="C9" s="475"/>
      <c r="D9" s="475"/>
      <c r="E9" s="475"/>
      <c r="F9" s="475"/>
      <c r="G9" s="475"/>
      <c r="H9" s="475"/>
      <c r="I9" s="473"/>
      <c r="J9" s="473"/>
    </row>
    <row r="10" spans="1:11" ht="15.75">
      <c r="A10" s="499"/>
      <c r="B10" s="477"/>
      <c r="C10" s="475"/>
      <c r="D10" s="475"/>
      <c r="G10" s="525" t="s">
        <v>728</v>
      </c>
      <c r="H10" s="525"/>
      <c r="I10" s="473"/>
      <c r="J10" s="473"/>
    </row>
    <row r="11" spans="1:11" ht="15.75">
      <c r="A11" s="499"/>
      <c r="B11" s="864" t="s">
        <v>563</v>
      </c>
      <c r="C11" s="864"/>
      <c r="D11" s="864"/>
      <c r="E11" s="889" t="s">
        <v>564</v>
      </c>
      <c r="F11" s="889"/>
      <c r="G11" s="889"/>
      <c r="H11" s="889"/>
      <c r="I11" s="473"/>
      <c r="J11" s="473"/>
    </row>
    <row r="12" spans="1:11" ht="47.25" customHeight="1">
      <c r="A12" s="499"/>
      <c r="B12" s="864"/>
      <c r="C12" s="864"/>
      <c r="D12" s="864"/>
      <c r="E12" s="867" t="s">
        <v>565</v>
      </c>
      <c r="F12" s="867"/>
      <c r="G12" s="867" t="s">
        <v>566</v>
      </c>
      <c r="H12" s="867"/>
      <c r="I12" s="473"/>
      <c r="J12" s="473"/>
    </row>
    <row r="13" spans="1:11" ht="15.75">
      <c r="A13" s="499"/>
      <c r="B13" s="865" t="s">
        <v>893</v>
      </c>
      <c r="C13" s="865"/>
      <c r="D13" s="865"/>
      <c r="E13" s="878">
        <f>+'P&amp;L21-22'!B9</f>
        <v>42971.36004</v>
      </c>
      <c r="F13" s="878"/>
      <c r="G13" s="878">
        <f>+'P&amp;L21-22'!C9</f>
        <v>26032.183219999999</v>
      </c>
      <c r="H13" s="878"/>
      <c r="I13" s="473"/>
      <c r="J13" s="473"/>
    </row>
    <row r="14" spans="1:11" ht="15.75">
      <c r="A14" s="499"/>
      <c r="B14" s="865" t="s">
        <v>894</v>
      </c>
      <c r="C14" s="865"/>
      <c r="D14" s="865"/>
      <c r="E14" s="878">
        <f>+'P&amp;L21-22'!B10</f>
        <v>50444.639999999999</v>
      </c>
      <c r="F14" s="878"/>
      <c r="G14" s="878">
        <f>+'P&amp;L21-22'!C10</f>
        <v>32296.48227</v>
      </c>
      <c r="H14" s="878"/>
      <c r="I14" s="473"/>
      <c r="J14" s="473"/>
    </row>
    <row r="15" spans="1:11" ht="15.75">
      <c r="A15" s="499"/>
      <c r="B15" s="475"/>
      <c r="C15" s="475"/>
      <c r="D15" s="475"/>
      <c r="E15" s="475"/>
      <c r="F15" s="475"/>
      <c r="G15" s="475"/>
      <c r="H15" s="475"/>
      <c r="I15" s="473"/>
      <c r="J15" s="473"/>
    </row>
    <row r="16" spans="1:11" ht="15.75" customHeight="1">
      <c r="A16" s="499"/>
      <c r="B16" s="879" t="s">
        <v>895</v>
      </c>
      <c r="C16" s="879"/>
      <c r="D16" s="879"/>
      <c r="E16" s="879"/>
      <c r="F16" s="879"/>
      <c r="G16" s="879"/>
      <c r="H16" s="879"/>
      <c r="I16" s="879"/>
      <c r="J16" s="879"/>
      <c r="K16" s="879"/>
    </row>
    <row r="17" spans="1:11" ht="15.75">
      <c r="A17" s="499"/>
      <c r="B17" s="475"/>
      <c r="C17" s="475"/>
      <c r="D17" s="475"/>
      <c r="E17" s="475"/>
      <c r="F17" s="475"/>
      <c r="G17" s="475"/>
      <c r="H17" s="475"/>
      <c r="I17" s="473"/>
      <c r="J17" s="473"/>
    </row>
    <row r="18" spans="1:11" ht="15.75">
      <c r="A18" s="499"/>
      <c r="B18" s="474" t="s">
        <v>567</v>
      </c>
      <c r="C18" s="475"/>
      <c r="D18" s="475"/>
      <c r="E18" s="475"/>
      <c r="F18" s="475"/>
      <c r="G18" s="475"/>
      <c r="H18" s="475"/>
      <c r="I18" s="473"/>
      <c r="J18" s="473"/>
    </row>
    <row r="19" spans="1:11" ht="15.75">
      <c r="A19" s="499"/>
      <c r="B19" s="475"/>
      <c r="C19" s="475"/>
      <c r="D19" s="475"/>
      <c r="E19" s="475"/>
      <c r="F19" s="475"/>
      <c r="G19" s="475"/>
      <c r="H19" s="475"/>
      <c r="I19" s="473"/>
      <c r="J19" s="473"/>
    </row>
    <row r="20" spans="1:11" ht="37.5" customHeight="1">
      <c r="A20" s="499"/>
      <c r="B20" s="880" t="s">
        <v>568</v>
      </c>
      <c r="C20" s="880"/>
      <c r="D20" s="880"/>
      <c r="E20" s="880"/>
      <c r="F20" s="880"/>
      <c r="G20" s="880"/>
      <c r="H20" s="880"/>
      <c r="I20" s="880"/>
      <c r="J20" s="880"/>
      <c r="K20" s="880"/>
    </row>
    <row r="21" spans="1:11" ht="16.5" thickBot="1">
      <c r="A21" s="16"/>
      <c r="F21" s="525" t="s">
        <v>728</v>
      </c>
      <c r="G21" s="482"/>
    </row>
    <row r="22" spans="1:11" ht="15.75">
      <c r="A22" s="499"/>
      <c r="B22" s="868" t="s">
        <v>576</v>
      </c>
      <c r="C22" s="873" t="s">
        <v>569</v>
      </c>
      <c r="D22" s="874"/>
      <c r="E22" s="874"/>
      <c r="F22" s="875"/>
    </row>
    <row r="23" spans="1:11" ht="15.75">
      <c r="A23" s="499"/>
      <c r="B23" s="869"/>
      <c r="C23" s="876">
        <v>43555</v>
      </c>
      <c r="D23" s="877"/>
      <c r="E23" s="876">
        <v>43190</v>
      </c>
      <c r="F23" s="877"/>
    </row>
    <row r="24" spans="1:11" ht="33.75" customHeight="1">
      <c r="A24" s="499"/>
      <c r="B24" s="481" t="s">
        <v>571</v>
      </c>
      <c r="C24" s="881">
        <f>+'P&amp;L'!E7</f>
        <v>96588</v>
      </c>
      <c r="D24" s="882"/>
      <c r="E24" s="881">
        <f>+'P&amp;L'!F7</f>
        <v>63491</v>
      </c>
      <c r="F24" s="885"/>
    </row>
    <row r="25" spans="1:11" ht="15.75">
      <c r="A25" s="499"/>
      <c r="B25" s="886"/>
      <c r="C25" s="887"/>
      <c r="D25" s="887"/>
      <c r="E25" s="887"/>
      <c r="F25" s="888"/>
    </row>
    <row r="26" spans="1:11" ht="16.5" thickBot="1">
      <c r="A26" s="499"/>
      <c r="B26" s="478" t="s">
        <v>8</v>
      </c>
      <c r="C26" s="883">
        <f>C24</f>
        <v>96588</v>
      </c>
      <c r="D26" s="884"/>
      <c r="E26" s="883">
        <f>E24</f>
        <v>63491</v>
      </c>
      <c r="F26" s="884"/>
    </row>
    <row r="27" spans="1:11" ht="15.75">
      <c r="A27" s="499"/>
      <c r="B27" s="870" t="s">
        <v>572</v>
      </c>
      <c r="C27" s="870"/>
      <c r="D27" s="870"/>
      <c r="E27" s="870"/>
      <c r="F27" s="870"/>
      <c r="G27" s="475"/>
      <c r="H27" s="475"/>
      <c r="I27" s="473"/>
      <c r="J27" s="473"/>
    </row>
    <row r="28" spans="1:11" ht="15.75">
      <c r="A28" s="499"/>
      <c r="B28" s="483"/>
      <c r="C28" s="483"/>
      <c r="D28" s="483"/>
      <c r="E28" s="483"/>
      <c r="F28" s="483"/>
      <c r="G28" s="475"/>
      <c r="H28" s="475"/>
      <c r="I28" s="473"/>
      <c r="J28" s="473"/>
    </row>
    <row r="29" spans="1:11" ht="15.75">
      <c r="A29" s="499"/>
      <c r="B29" s="479"/>
      <c r="C29" s="479"/>
      <c r="D29" s="479"/>
      <c r="E29" s="479"/>
      <c r="F29" s="479"/>
      <c r="G29" s="475"/>
      <c r="H29" s="475"/>
      <c r="I29" s="473"/>
      <c r="J29" s="473"/>
    </row>
    <row r="30" spans="1:11" ht="15.75">
      <c r="A30" s="499"/>
      <c r="B30" s="474" t="s">
        <v>573</v>
      </c>
      <c r="C30" s="475"/>
      <c r="D30" s="475"/>
      <c r="E30" s="475"/>
      <c r="F30" s="475"/>
      <c r="G30" s="475"/>
      <c r="H30" s="475"/>
      <c r="I30" s="473"/>
      <c r="J30" s="473"/>
    </row>
    <row r="31" spans="1:11" ht="15.75">
      <c r="A31" s="499"/>
      <c r="B31" s="475"/>
      <c r="C31" s="475"/>
      <c r="D31" s="475"/>
      <c r="E31" s="475"/>
      <c r="F31" s="475"/>
      <c r="G31" s="475"/>
      <c r="H31" s="475"/>
      <c r="I31" s="473"/>
      <c r="J31" s="473"/>
    </row>
    <row r="32" spans="1:11" ht="15.75">
      <c r="A32" s="499"/>
      <c r="B32" s="475" t="s">
        <v>574</v>
      </c>
      <c r="C32" s="475"/>
      <c r="D32" s="475"/>
      <c r="E32" s="475"/>
      <c r="F32" s="475"/>
      <c r="G32" s="475"/>
      <c r="H32" s="475"/>
      <c r="I32" s="473"/>
      <c r="J32" s="473"/>
    </row>
    <row r="33" spans="1:10" ht="15.75">
      <c r="A33" s="499"/>
      <c r="B33" s="475"/>
      <c r="C33" s="475"/>
      <c r="D33" s="475"/>
      <c r="E33" s="475"/>
      <c r="F33" s="475"/>
      <c r="G33" s="475"/>
      <c r="H33" s="475"/>
      <c r="I33" s="473"/>
      <c r="J33" s="473"/>
    </row>
    <row r="34" spans="1:10" ht="15.75">
      <c r="A34" s="499"/>
      <c r="B34" s="480"/>
      <c r="C34" s="480"/>
      <c r="D34" s="480"/>
      <c r="E34" s="871"/>
      <c r="F34" s="871"/>
      <c r="I34" s="473"/>
      <c r="J34" s="473"/>
    </row>
    <row r="35" spans="1:10" ht="15.75">
      <c r="A35" s="499"/>
      <c r="B35" s="480"/>
      <c r="C35" s="480"/>
      <c r="D35" s="480"/>
      <c r="E35" s="484"/>
      <c r="F35" s="484"/>
      <c r="G35" s="475"/>
      <c r="H35" s="525" t="s">
        <v>728</v>
      </c>
      <c r="I35" s="473"/>
      <c r="J35" s="473"/>
    </row>
    <row r="36" spans="1:10" ht="15.75">
      <c r="A36" s="499"/>
      <c r="B36" s="872" t="s">
        <v>3</v>
      </c>
      <c r="C36" s="872"/>
      <c r="D36" s="872"/>
      <c r="E36" s="864" t="s">
        <v>666</v>
      </c>
      <c r="F36" s="864"/>
      <c r="G36" s="864" t="s">
        <v>570</v>
      </c>
      <c r="H36" s="864"/>
      <c r="I36" s="473"/>
      <c r="J36" s="473"/>
    </row>
    <row r="37" spans="1:10" ht="15.75">
      <c r="A37" s="499"/>
      <c r="B37" s="865" t="s">
        <v>575</v>
      </c>
      <c r="C37" s="865"/>
      <c r="D37" s="865"/>
      <c r="E37" s="863">
        <f>+C24</f>
        <v>96588</v>
      </c>
      <c r="F37" s="863"/>
      <c r="G37" s="863">
        <f>+E24</f>
        <v>63491</v>
      </c>
      <c r="H37" s="863"/>
      <c r="I37" s="473"/>
      <c r="J37" s="473"/>
    </row>
    <row r="38" spans="1:10">
      <c r="A38" s="16"/>
    </row>
  </sheetData>
  <mergeCells count="33">
    <mergeCell ref="B11:D12"/>
    <mergeCell ref="B13:D13"/>
    <mergeCell ref="G12:H12"/>
    <mergeCell ref="E11:H11"/>
    <mergeCell ref="E13:F13"/>
    <mergeCell ref="G13:H13"/>
    <mergeCell ref="E36:F36"/>
    <mergeCell ref="B14:D14"/>
    <mergeCell ref="E14:F14"/>
    <mergeCell ref="G14:H14"/>
    <mergeCell ref="B16:K16"/>
    <mergeCell ref="B20:K20"/>
    <mergeCell ref="C24:D24"/>
    <mergeCell ref="C26:D26"/>
    <mergeCell ref="E24:F24"/>
    <mergeCell ref="E26:F26"/>
    <mergeCell ref="B25:F25"/>
    <mergeCell ref="E37:F37"/>
    <mergeCell ref="G36:H36"/>
    <mergeCell ref="G37:H37"/>
    <mergeCell ref="B37:D37"/>
    <mergeCell ref="A1:K1"/>
    <mergeCell ref="A2:K2"/>
    <mergeCell ref="B5:K5"/>
    <mergeCell ref="B6:K6"/>
    <mergeCell ref="E12:F12"/>
    <mergeCell ref="B22:B23"/>
    <mergeCell ref="B27:F27"/>
    <mergeCell ref="E34:F34"/>
    <mergeCell ref="B36:D36"/>
    <mergeCell ref="C22:F22"/>
    <mergeCell ref="C23:D23"/>
    <mergeCell ref="E23:F23"/>
  </mergeCells>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dimension ref="A1:I111"/>
  <sheetViews>
    <sheetView topLeftCell="A14" workbookViewId="0">
      <selection activeCell="F20" sqref="F20"/>
    </sheetView>
  </sheetViews>
  <sheetFormatPr defaultRowHeight="18" customHeight="1"/>
  <cols>
    <col min="1" max="1" width="6.28515625" style="1" customWidth="1"/>
    <col min="2" max="2" width="6.7109375" style="1" customWidth="1"/>
    <col min="3" max="3" width="45.7109375" style="1" customWidth="1"/>
    <col min="4" max="4" width="6.5703125" style="1" customWidth="1"/>
    <col min="5" max="6" width="18.42578125" style="1" customWidth="1"/>
    <col min="7" max="8" width="9.140625" style="1"/>
    <col min="9" max="9" width="16" style="1" bestFit="1" customWidth="1"/>
    <col min="10" max="16384" width="9.140625" style="1"/>
  </cols>
  <sheetData>
    <row r="1" spans="1:9" ht="21" customHeight="1">
      <c r="A1" s="741" t="s">
        <v>346</v>
      </c>
      <c r="B1" s="741"/>
      <c r="C1" s="741"/>
      <c r="D1" s="741"/>
      <c r="E1" s="741"/>
      <c r="F1" s="741"/>
    </row>
    <row r="2" spans="1:9" ht="18" customHeight="1">
      <c r="A2" s="742" t="s">
        <v>295</v>
      </c>
      <c r="B2" s="742"/>
      <c r="C2" s="742"/>
      <c r="D2" s="742"/>
      <c r="E2" s="742"/>
      <c r="F2" s="742"/>
    </row>
    <row r="3" spans="1:9" ht="18" customHeight="1">
      <c r="A3" s="41"/>
      <c r="B3" s="41"/>
      <c r="C3" s="41"/>
      <c r="D3" s="41"/>
      <c r="E3" s="41"/>
      <c r="F3" s="525" t="s">
        <v>728</v>
      </c>
    </row>
    <row r="4" spans="1:9" ht="65.25" customHeight="1">
      <c r="A4" s="316" t="s">
        <v>296</v>
      </c>
      <c r="B4" s="747" t="s">
        <v>3</v>
      </c>
      <c r="C4" s="747"/>
      <c r="D4" s="316" t="s">
        <v>297</v>
      </c>
      <c r="E4" s="316" t="s">
        <v>298</v>
      </c>
      <c r="F4" s="316" t="s">
        <v>299</v>
      </c>
    </row>
    <row r="5" spans="1:9" ht="18" customHeight="1">
      <c r="A5" s="149"/>
      <c r="B5" s="748"/>
      <c r="C5" s="748"/>
      <c r="D5" s="149"/>
      <c r="E5" s="149"/>
      <c r="F5" s="149"/>
    </row>
    <row r="6" spans="1:9" ht="18" customHeight="1">
      <c r="A6" s="154" t="s">
        <v>300</v>
      </c>
      <c r="B6" s="163" t="s">
        <v>301</v>
      </c>
      <c r="C6" s="152"/>
      <c r="D6" s="5"/>
      <c r="E6" s="172"/>
      <c r="F6" s="172"/>
    </row>
    <row r="7" spans="1:9" ht="18" customHeight="1">
      <c r="A7" s="149"/>
      <c r="B7" s="150" t="s">
        <v>302</v>
      </c>
      <c r="C7" s="5" t="s">
        <v>303</v>
      </c>
      <c r="D7" s="151">
        <v>21</v>
      </c>
      <c r="E7" s="222">
        <f>+'P&amp;L21-22'!B23</f>
        <v>96588</v>
      </c>
      <c r="F7" s="222">
        <f>ROUND((+'P&amp;L21-22'!C23),0)</f>
        <v>63491</v>
      </c>
    </row>
    <row r="8" spans="1:9" ht="18" customHeight="1">
      <c r="A8" s="149"/>
      <c r="B8" s="151" t="s">
        <v>304</v>
      </c>
      <c r="C8" s="152" t="s">
        <v>182</v>
      </c>
      <c r="D8" s="151">
        <f>D7+1</f>
        <v>22</v>
      </c>
      <c r="E8" s="222">
        <f>+'P&amp;L21-22'!B45</f>
        <v>16266.294159900001</v>
      </c>
      <c r="F8" s="222">
        <f>ROUND((+'P&amp;L21-22'!C45),0)</f>
        <v>9523</v>
      </c>
    </row>
    <row r="9" spans="1:9" ht="18" customHeight="1">
      <c r="A9" s="149"/>
      <c r="B9" s="149"/>
      <c r="C9" s="153" t="s">
        <v>305</v>
      </c>
      <c r="D9" s="151"/>
      <c r="E9" s="223">
        <f>+E7+E8</f>
        <v>112854.2941599</v>
      </c>
      <c r="F9" s="223">
        <f>SUM(F7:F8)</f>
        <v>73014</v>
      </c>
    </row>
    <row r="10" spans="1:9" ht="18" customHeight="1">
      <c r="A10" s="154" t="s">
        <v>306</v>
      </c>
      <c r="B10" s="155" t="s">
        <v>307</v>
      </c>
      <c r="C10" s="152"/>
      <c r="D10" s="151"/>
      <c r="E10" s="224"/>
      <c r="F10" s="222"/>
    </row>
    <row r="11" spans="1:9" ht="18" customHeight="1">
      <c r="A11" s="154"/>
      <c r="B11" s="150" t="s">
        <v>302</v>
      </c>
      <c r="C11" s="156" t="s">
        <v>308</v>
      </c>
      <c r="D11" s="151"/>
      <c r="E11" s="224">
        <v>0</v>
      </c>
      <c r="F11" s="222">
        <v>0</v>
      </c>
    </row>
    <row r="12" spans="1:9" ht="18" customHeight="1">
      <c r="A12" s="149"/>
      <c r="B12" s="150" t="s">
        <v>304</v>
      </c>
      <c r="C12" s="156" t="s">
        <v>193</v>
      </c>
      <c r="D12" s="151">
        <f>+D8+1</f>
        <v>23</v>
      </c>
      <c r="E12" s="222">
        <f>ROUND((+'P&amp;L22-25'!B14),0)</f>
        <v>16284</v>
      </c>
      <c r="F12" s="222">
        <f>ROUND((+'P&amp;L22-25'!C14),0)</f>
        <v>14074</v>
      </c>
    </row>
    <row r="13" spans="1:9" ht="18" customHeight="1">
      <c r="A13" s="149"/>
      <c r="B13" s="150" t="s">
        <v>309</v>
      </c>
      <c r="C13" s="156" t="s">
        <v>201</v>
      </c>
      <c r="D13" s="151">
        <f>D12+1</f>
        <v>24</v>
      </c>
      <c r="E13" s="225">
        <f>ROUND((+'P&amp;L22-25'!B28),0)</f>
        <v>1976</v>
      </c>
      <c r="F13" s="225">
        <v>4270</v>
      </c>
    </row>
    <row r="14" spans="1:9" ht="18" customHeight="1">
      <c r="A14" s="149"/>
      <c r="B14" s="150" t="s">
        <v>310</v>
      </c>
      <c r="C14" s="5" t="s">
        <v>311</v>
      </c>
      <c r="D14" s="151">
        <f>D13+1</f>
        <v>25</v>
      </c>
      <c r="E14" s="222">
        <f>ROUND((+'P&amp;L22-25'!B34),0)</f>
        <v>29900</v>
      </c>
      <c r="F14" s="222">
        <f>ROUND((+'P&amp;L22-25'!C34),0)</f>
        <v>23680</v>
      </c>
    </row>
    <row r="15" spans="1:9" ht="18" customHeight="1">
      <c r="A15" s="149"/>
      <c r="B15" s="150" t="s">
        <v>312</v>
      </c>
      <c r="C15" s="156" t="s">
        <v>212</v>
      </c>
      <c r="D15" s="151">
        <f>D14+1</f>
        <v>26</v>
      </c>
      <c r="E15" s="222">
        <f>ROUND((+'P&amp;L22-25'!B84),0)</f>
        <v>8724</v>
      </c>
      <c r="F15" s="222">
        <f>ROUND((+'P&amp;L22-25'!C84),0)</f>
        <v>6907</v>
      </c>
      <c r="I15" s="157"/>
    </row>
    <row r="16" spans="1:9" ht="18" customHeight="1">
      <c r="A16" s="149"/>
      <c r="B16" s="149"/>
      <c r="C16" s="153" t="s">
        <v>313</v>
      </c>
      <c r="D16" s="151"/>
      <c r="E16" s="223">
        <f>ROUND(SUM(E11:E15),0)</f>
        <v>56884</v>
      </c>
      <c r="F16" s="223">
        <f>SUM(F11:F15)</f>
        <v>48931</v>
      </c>
    </row>
    <row r="17" spans="1:6" ht="18" customHeight="1">
      <c r="A17" s="158"/>
      <c r="B17" s="158"/>
      <c r="C17" s="155"/>
      <c r="D17" s="151"/>
      <c r="E17" s="226"/>
      <c r="F17" s="173"/>
    </row>
    <row r="18" spans="1:6" ht="18" customHeight="1">
      <c r="A18" s="149" t="s">
        <v>314</v>
      </c>
      <c r="B18" s="155" t="s">
        <v>315</v>
      </c>
      <c r="C18" s="159"/>
      <c r="D18" s="151"/>
      <c r="E18" s="223">
        <f>+ROUND((E9-E16),0)</f>
        <v>55970</v>
      </c>
      <c r="F18" s="223">
        <f>+F9-F16</f>
        <v>24083</v>
      </c>
    </row>
    <row r="19" spans="1:6" ht="18" customHeight="1">
      <c r="A19" s="158" t="s">
        <v>316</v>
      </c>
      <c r="B19" s="155" t="s">
        <v>124</v>
      </c>
      <c r="C19" s="160"/>
      <c r="D19" s="151"/>
      <c r="E19" s="226"/>
      <c r="F19" s="173"/>
    </row>
    <row r="20" spans="1:6" ht="18" customHeight="1">
      <c r="A20" s="149"/>
      <c r="B20" s="150" t="s">
        <v>302</v>
      </c>
      <c r="C20" s="161" t="s">
        <v>317</v>
      </c>
      <c r="D20" s="151"/>
      <c r="E20" s="224">
        <f>+E18*0.2134</f>
        <v>11943.998</v>
      </c>
      <c r="F20" s="224">
        <v>5140</v>
      </c>
    </row>
    <row r="21" spans="1:6" ht="18" customHeight="1">
      <c r="A21" s="149"/>
      <c r="B21" s="150" t="s">
        <v>318</v>
      </c>
      <c r="C21" s="161" t="s">
        <v>319</v>
      </c>
      <c r="D21" s="151"/>
      <c r="E21" s="221">
        <f>4124160935/100000</f>
        <v>41241.609349999999</v>
      </c>
      <c r="F21" s="221">
        <v>-2119</v>
      </c>
    </row>
    <row r="22" spans="1:6" ht="18" customHeight="1">
      <c r="A22" s="158"/>
      <c r="B22" s="150" t="s">
        <v>320</v>
      </c>
      <c r="C22" s="162" t="s">
        <v>321</v>
      </c>
      <c r="D22" s="5"/>
      <c r="E22" s="221">
        <f>-E20</f>
        <v>-11943.998</v>
      </c>
      <c r="F22" s="221">
        <f>-F20</f>
        <v>-5140</v>
      </c>
    </row>
    <row r="23" spans="1:6" s="6" customFormat="1" ht="18" customHeight="1">
      <c r="A23" s="154" t="s">
        <v>322</v>
      </c>
      <c r="B23" s="163" t="s">
        <v>323</v>
      </c>
      <c r="C23" s="163"/>
      <c r="D23" s="22"/>
      <c r="E23" s="223">
        <f>+E18-E20-E21-E22</f>
        <v>14728.390650000001</v>
      </c>
      <c r="F23" s="223">
        <f>+F18-F20-F21-F22</f>
        <v>26202</v>
      </c>
    </row>
    <row r="24" spans="1:6" ht="18" customHeight="1">
      <c r="A24" s="154" t="s">
        <v>324</v>
      </c>
      <c r="B24" s="164" t="s">
        <v>325</v>
      </c>
      <c r="C24" s="164"/>
      <c r="D24" s="5"/>
      <c r="E24" s="172"/>
      <c r="F24" s="174"/>
    </row>
    <row r="25" spans="1:6" ht="18" customHeight="1">
      <c r="A25" s="154"/>
      <c r="B25" s="165" t="s">
        <v>326</v>
      </c>
      <c r="C25" s="164"/>
      <c r="D25" s="5"/>
      <c r="E25" s="172"/>
      <c r="F25" s="174"/>
    </row>
    <row r="26" spans="1:6" ht="18" customHeight="1">
      <c r="A26" s="154"/>
      <c r="B26" s="166" t="s">
        <v>327</v>
      </c>
      <c r="C26" s="167" t="s">
        <v>328</v>
      </c>
      <c r="D26" s="5"/>
      <c r="E26" s="174"/>
      <c r="F26" s="174"/>
    </row>
    <row r="27" spans="1:6" ht="18" customHeight="1">
      <c r="A27" s="154"/>
      <c r="B27" s="164"/>
      <c r="C27" s="167" t="s">
        <v>329</v>
      </c>
      <c r="D27" s="5"/>
      <c r="E27" s="222">
        <f>127812535/100000</f>
        <v>1278.12535</v>
      </c>
      <c r="F27" s="174">
        <v>3843</v>
      </c>
    </row>
    <row r="28" spans="1:6" ht="18" customHeight="1">
      <c r="A28" s="154"/>
      <c r="B28" s="164"/>
      <c r="C28" s="167" t="s">
        <v>896</v>
      </c>
      <c r="D28" s="5"/>
      <c r="E28" s="221">
        <f>-E27</f>
        <v>-1278.12535</v>
      </c>
      <c r="F28" s="174">
        <v>-3843</v>
      </c>
    </row>
    <row r="29" spans="1:6" ht="18" customHeight="1">
      <c r="A29" s="154"/>
      <c r="B29" s="164"/>
      <c r="C29" s="167" t="s">
        <v>330</v>
      </c>
      <c r="D29" s="5"/>
      <c r="E29" s="219">
        <v>0</v>
      </c>
      <c r="F29" s="174">
        <v>0</v>
      </c>
    </row>
    <row r="30" spans="1:6" ht="18" customHeight="1">
      <c r="A30" s="168" t="s">
        <v>331</v>
      </c>
      <c r="B30" s="749" t="s">
        <v>332</v>
      </c>
      <c r="C30" s="749"/>
      <c r="D30" s="5"/>
      <c r="E30" s="175">
        <f>+E23+E27+E28+E29</f>
        <v>14728.390650000001</v>
      </c>
      <c r="F30" s="175">
        <f>+F23+F27+F28+F29</f>
        <v>26202</v>
      </c>
    </row>
    <row r="31" spans="1:6" ht="18" customHeight="1">
      <c r="A31" s="154" t="s">
        <v>333</v>
      </c>
      <c r="B31" s="164" t="s">
        <v>334</v>
      </c>
      <c r="C31" s="169"/>
      <c r="D31" s="5"/>
      <c r="E31" s="172"/>
      <c r="F31" s="174"/>
    </row>
    <row r="32" spans="1:6" ht="18" customHeight="1">
      <c r="A32" s="170"/>
      <c r="B32" s="170" t="s">
        <v>302</v>
      </c>
      <c r="C32" s="152" t="s">
        <v>335</v>
      </c>
      <c r="D32" s="5"/>
      <c r="E32" s="512">
        <f>+E30/'BS12'!B21*100000</f>
        <v>0.20327993347006434</v>
      </c>
      <c r="F32" s="178">
        <v>0.87</v>
      </c>
    </row>
    <row r="33" spans="1:8" ht="18" customHeight="1">
      <c r="A33" s="149"/>
      <c r="B33" s="150" t="s">
        <v>304</v>
      </c>
      <c r="C33" s="152" t="s">
        <v>336</v>
      </c>
      <c r="D33" s="5"/>
      <c r="E33" s="513">
        <f>+E32</f>
        <v>0.20327993347006434</v>
      </c>
      <c r="F33" s="178">
        <v>0.87</v>
      </c>
    </row>
    <row r="34" spans="1:8" ht="18" customHeight="1">
      <c r="A34" s="1" t="s">
        <v>337</v>
      </c>
      <c r="C34" s="93"/>
      <c r="E34" s="179"/>
      <c r="F34" s="180"/>
    </row>
    <row r="35" spans="1:8" ht="15" customHeight="1">
      <c r="A35" s="7" t="s">
        <v>338</v>
      </c>
      <c r="B35" s="7" t="s">
        <v>339</v>
      </c>
      <c r="C35" s="65"/>
      <c r="D35" s="7"/>
      <c r="E35" s="7"/>
      <c r="F35" s="7"/>
      <c r="G35" s="7"/>
      <c r="H35" s="7"/>
    </row>
    <row r="36" spans="1:8" ht="15" customHeight="1">
      <c r="A36" s="7"/>
      <c r="B36" s="7" t="s">
        <v>424</v>
      </c>
      <c r="C36" s="65"/>
      <c r="D36" s="7"/>
      <c r="E36" s="7"/>
      <c r="F36" s="7"/>
      <c r="G36" s="7"/>
      <c r="H36" s="7"/>
    </row>
    <row r="37" spans="1:8" ht="15" customHeight="1">
      <c r="A37" s="7"/>
      <c r="B37" s="7" t="s">
        <v>399</v>
      </c>
      <c r="C37" s="65"/>
      <c r="D37" s="7"/>
      <c r="E37" s="7"/>
      <c r="F37" s="7"/>
      <c r="G37" s="7"/>
      <c r="H37" s="7"/>
    </row>
    <row r="38" spans="1:8" ht="15" customHeight="1">
      <c r="A38" s="7"/>
      <c r="B38" s="7"/>
      <c r="C38" s="65"/>
      <c r="D38" s="7"/>
      <c r="E38" s="7"/>
      <c r="F38" s="7"/>
      <c r="G38" s="7"/>
      <c r="H38" s="7"/>
    </row>
    <row r="39" spans="1:8" ht="15" customHeight="1">
      <c r="A39" s="7"/>
      <c r="B39" s="7"/>
      <c r="C39" s="327" t="s">
        <v>680</v>
      </c>
      <c r="D39" s="66"/>
      <c r="E39" s="746" t="s">
        <v>340</v>
      </c>
      <c r="F39" s="746"/>
      <c r="G39" s="7"/>
      <c r="H39" s="7"/>
    </row>
    <row r="40" spans="1:8" ht="15" customHeight="1">
      <c r="A40" s="7"/>
      <c r="B40" s="7"/>
      <c r="C40" s="327" t="s">
        <v>681</v>
      </c>
      <c r="D40" s="66"/>
      <c r="E40" s="746" t="s">
        <v>402</v>
      </c>
      <c r="F40" s="746"/>
      <c r="G40" s="7"/>
      <c r="H40" s="7"/>
    </row>
    <row r="41" spans="1:8" ht="15" customHeight="1">
      <c r="A41" s="7"/>
      <c r="B41" s="176" t="s">
        <v>341</v>
      </c>
      <c r="C41" s="65"/>
      <c r="D41" s="7"/>
      <c r="E41" s="7"/>
      <c r="F41" s="7"/>
      <c r="G41" s="7"/>
      <c r="H41" s="7"/>
    </row>
    <row r="42" spans="1:8" ht="15" customHeight="1">
      <c r="A42" s="7"/>
      <c r="B42" s="7" t="s">
        <v>400</v>
      </c>
      <c r="C42" s="7"/>
      <c r="D42" s="7"/>
      <c r="E42" s="7"/>
      <c r="F42" s="7"/>
      <c r="G42" s="7"/>
      <c r="H42" s="7"/>
    </row>
    <row r="43" spans="1:8" ht="15" customHeight="1">
      <c r="A43" s="7"/>
      <c r="B43" s="7" t="s">
        <v>342</v>
      </c>
      <c r="C43" s="7"/>
      <c r="D43" s="7"/>
      <c r="E43" s="7"/>
      <c r="F43" s="7"/>
      <c r="G43" s="7"/>
      <c r="H43" s="7"/>
    </row>
    <row r="44" spans="1:8" ht="15" customHeight="1">
      <c r="A44" s="7" t="s">
        <v>343</v>
      </c>
      <c r="B44" s="7" t="s">
        <v>344</v>
      </c>
      <c r="C44" s="327"/>
      <c r="D44" s="7"/>
      <c r="E44" s="746" t="s">
        <v>396</v>
      </c>
      <c r="F44" s="746"/>
      <c r="G44" s="7"/>
      <c r="H44" s="7"/>
    </row>
    <row r="45" spans="1:8" ht="15" customHeight="1">
      <c r="A45" s="7" t="s">
        <v>345</v>
      </c>
      <c r="B45" s="7"/>
      <c r="C45" s="327"/>
      <c r="D45" s="7"/>
      <c r="E45" s="746" t="s">
        <v>403</v>
      </c>
      <c r="F45" s="746"/>
      <c r="G45" s="7"/>
      <c r="H45" s="7"/>
    </row>
    <row r="111" spans="1:1" ht="18" customHeight="1">
      <c r="A111" s="1" t="s">
        <v>33</v>
      </c>
    </row>
  </sheetData>
  <mergeCells count="9">
    <mergeCell ref="A1:F1"/>
    <mergeCell ref="E39:F39"/>
    <mergeCell ref="E40:F40"/>
    <mergeCell ref="E44:F44"/>
    <mergeCell ref="E45:F45"/>
    <mergeCell ref="A2:F2"/>
    <mergeCell ref="B4:C4"/>
    <mergeCell ref="B5:C5"/>
    <mergeCell ref="B30:C30"/>
  </mergeCells>
  <pageMargins left="0.70866141732283472" right="0.70866141732283472" top="0.74803149606299213" bottom="0.74803149606299213" header="0.31496062992125984" footer="0.31496062992125984"/>
  <pageSetup paperSize="9" scale="85" orientation="portrait" r:id="rId1"/>
</worksheet>
</file>

<file path=xl/worksheets/sheet20.xml><?xml version="1.0" encoding="utf-8"?>
<worksheet xmlns="http://schemas.openxmlformats.org/spreadsheetml/2006/main" xmlns:r="http://schemas.openxmlformats.org/officeDocument/2006/relationships">
  <dimension ref="A1:K145"/>
  <sheetViews>
    <sheetView workbookViewId="0">
      <selection activeCell="M6" sqref="M6"/>
    </sheetView>
  </sheetViews>
  <sheetFormatPr defaultRowHeight="14.25"/>
  <cols>
    <col min="1" max="1" width="5.28515625" style="16" customWidth="1"/>
    <col min="2" max="2" width="9.140625" style="16"/>
    <col min="3" max="3" width="10.85546875" style="16" customWidth="1"/>
    <col min="4" max="4" width="9.7109375" style="16" bestFit="1" customWidth="1"/>
    <col min="5" max="12" width="9.140625" style="16"/>
    <col min="13" max="13" width="20.28515625" style="16" customWidth="1"/>
    <col min="14" max="16384" width="9.140625" style="16"/>
  </cols>
  <sheetData>
    <row r="1" spans="1:11" s="328" customFormat="1" ht="18">
      <c r="A1" s="784" t="str">
        <f>'[4]Prior Period Error_1'!B1</f>
        <v>Bihar State Power Transmission Company Limited.</v>
      </c>
      <c r="B1" s="784"/>
      <c r="C1" s="784"/>
      <c r="D1" s="784"/>
      <c r="E1" s="784"/>
      <c r="F1" s="784"/>
      <c r="G1" s="784"/>
      <c r="H1" s="784"/>
      <c r="I1" s="784"/>
      <c r="J1" s="784"/>
      <c r="K1" s="784"/>
    </row>
    <row r="2" spans="1:11" s="328" customFormat="1" ht="15.75">
      <c r="A2" s="785" t="s">
        <v>553</v>
      </c>
      <c r="B2" s="785"/>
      <c r="C2" s="785"/>
      <c r="D2" s="785"/>
      <c r="E2" s="785"/>
      <c r="F2" s="785"/>
      <c r="G2" s="785"/>
      <c r="H2" s="785"/>
      <c r="I2" s="785"/>
      <c r="J2" s="785"/>
      <c r="K2" s="785"/>
    </row>
    <row r="3" spans="1:11" s="328" customFormat="1" ht="15.75">
      <c r="A3" s="429"/>
      <c r="B3" s="429"/>
      <c r="C3" s="429"/>
      <c r="D3" s="429"/>
      <c r="E3" s="429"/>
      <c r="F3" s="429"/>
      <c r="G3" s="429"/>
      <c r="H3" s="430"/>
    </row>
    <row r="4" spans="1:11" ht="16.5" customHeight="1">
      <c r="A4" s="485">
        <f>'[4]Disclosures 6-9'!B140+1</f>
        <v>10</v>
      </c>
      <c r="B4" s="944" t="s">
        <v>577</v>
      </c>
      <c r="C4" s="944"/>
      <c r="D4" s="944"/>
      <c r="E4" s="944"/>
      <c r="F4" s="944"/>
      <c r="G4" s="944"/>
      <c r="H4" s="944"/>
      <c r="I4" s="944"/>
      <c r="J4" s="944"/>
      <c r="K4" s="944"/>
    </row>
    <row r="5" spans="1:11" ht="15.75">
      <c r="A5" s="486"/>
      <c r="B5" s="486" t="s">
        <v>578</v>
      </c>
      <c r="C5" s="486"/>
      <c r="D5" s="486"/>
      <c r="E5" s="486"/>
      <c r="F5" s="486"/>
    </row>
    <row r="6" spans="1:11" ht="15.75">
      <c r="A6" s="486"/>
      <c r="B6" s="487"/>
      <c r="C6" s="486"/>
      <c r="D6" s="488"/>
      <c r="E6" s="486"/>
      <c r="F6" s="486"/>
    </row>
    <row r="7" spans="1:11" ht="15.75">
      <c r="A7" s="486"/>
      <c r="B7" s="487"/>
      <c r="C7" s="486"/>
      <c r="D7" s="488"/>
      <c r="E7" s="486"/>
      <c r="F7" s="943" t="s">
        <v>728</v>
      </c>
      <c r="G7" s="943"/>
    </row>
    <row r="8" spans="1:11" ht="15.75">
      <c r="A8" s="486"/>
      <c r="B8" s="924" t="s">
        <v>579</v>
      </c>
      <c r="C8" s="924"/>
      <c r="D8" s="924" t="s">
        <v>580</v>
      </c>
      <c r="E8" s="924"/>
      <c r="F8" s="924" t="s">
        <v>581</v>
      </c>
      <c r="G8" s="924"/>
    </row>
    <row r="9" spans="1:11" ht="15.75">
      <c r="A9" s="486"/>
      <c r="B9" s="939" t="s">
        <v>582</v>
      </c>
      <c r="C9" s="939"/>
      <c r="D9" s="945">
        <f>56640000/100000</f>
        <v>566.4</v>
      </c>
      <c r="E9" s="945"/>
      <c r="F9" s="945">
        <v>0</v>
      </c>
      <c r="G9" s="945"/>
    </row>
    <row r="10" spans="1:11" ht="15.75">
      <c r="A10" s="486"/>
      <c r="B10" s="489"/>
      <c r="C10" s="490"/>
      <c r="D10" s="491"/>
      <c r="E10" s="486"/>
      <c r="F10" s="486"/>
    </row>
    <row r="11" spans="1:11" ht="15.75">
      <c r="A11" s="486"/>
      <c r="B11" s="489"/>
      <c r="C11" s="490"/>
      <c r="D11" s="491"/>
      <c r="E11" s="486"/>
      <c r="F11" s="486"/>
    </row>
    <row r="12" spans="1:11" ht="15.75">
      <c r="A12" s="486"/>
      <c r="B12" s="492" t="s">
        <v>583</v>
      </c>
      <c r="C12" s="490"/>
      <c r="D12" s="491"/>
      <c r="E12" s="486"/>
      <c r="F12" s="486"/>
    </row>
    <row r="13" spans="1:11" ht="15.75">
      <c r="A13" s="486"/>
      <c r="B13" s="926" t="s">
        <v>3</v>
      </c>
      <c r="C13" s="926"/>
      <c r="D13" s="926"/>
      <c r="E13" s="926"/>
      <c r="F13" s="926"/>
      <c r="G13" s="924" t="s">
        <v>580</v>
      </c>
      <c r="H13" s="924"/>
      <c r="I13" s="924" t="s">
        <v>581</v>
      </c>
      <c r="J13" s="924"/>
    </row>
    <row r="14" spans="1:11" ht="15.75">
      <c r="A14" s="486"/>
      <c r="B14" s="927" t="s">
        <v>584</v>
      </c>
      <c r="C14" s="927"/>
      <c r="D14" s="927"/>
      <c r="E14" s="927"/>
      <c r="F14" s="927"/>
      <c r="G14" s="940">
        <f>I18</f>
        <v>1868.2671700000001</v>
      </c>
      <c r="H14" s="940"/>
      <c r="I14" s="936">
        <f>186826717/100000</f>
        <v>1868.2671700000001</v>
      </c>
      <c r="J14" s="936"/>
    </row>
    <row r="15" spans="1:11" ht="15.75">
      <c r="A15" s="486"/>
      <c r="B15" s="927" t="s">
        <v>585</v>
      </c>
      <c r="C15" s="927"/>
      <c r="D15" s="927"/>
      <c r="E15" s="927"/>
      <c r="F15" s="927"/>
      <c r="G15" s="940">
        <f>+D9</f>
        <v>566.4</v>
      </c>
      <c r="H15" s="940"/>
      <c r="I15" s="936">
        <v>0</v>
      </c>
      <c r="J15" s="936"/>
    </row>
    <row r="16" spans="1:11" ht="15.75">
      <c r="A16" s="486"/>
      <c r="B16" s="927" t="s">
        <v>586</v>
      </c>
      <c r="C16" s="927"/>
      <c r="D16" s="927"/>
      <c r="E16" s="927"/>
      <c r="F16" s="927"/>
      <c r="G16" s="940">
        <v>0</v>
      </c>
      <c r="H16" s="940"/>
      <c r="I16" s="936">
        <v>0</v>
      </c>
      <c r="J16" s="936"/>
    </row>
    <row r="17" spans="1:10" ht="15.75">
      <c r="A17" s="486"/>
      <c r="B17" s="927" t="s">
        <v>587</v>
      </c>
      <c r="C17" s="927"/>
      <c r="D17" s="927"/>
      <c r="E17" s="927"/>
      <c r="F17" s="927"/>
      <c r="G17" s="940">
        <v>0</v>
      </c>
      <c r="H17" s="940"/>
      <c r="I17" s="936">
        <v>0</v>
      </c>
      <c r="J17" s="936"/>
    </row>
    <row r="18" spans="1:10" ht="15.75">
      <c r="A18" s="486"/>
      <c r="B18" s="942" t="s">
        <v>588</v>
      </c>
      <c r="C18" s="942"/>
      <c r="D18" s="942"/>
      <c r="E18" s="942"/>
      <c r="F18" s="942"/>
      <c r="G18" s="941">
        <f>G14+G15-G16-G17</f>
        <v>2434.6671700000002</v>
      </c>
      <c r="H18" s="941"/>
      <c r="I18" s="941">
        <f>I14+J15-I16-I17</f>
        <v>1868.2671700000001</v>
      </c>
      <c r="J18" s="941"/>
    </row>
    <row r="19" spans="1:10" ht="15.75">
      <c r="A19" s="486"/>
      <c r="B19" s="937"/>
      <c r="C19" s="937"/>
      <c r="D19" s="938"/>
      <c r="E19" s="486"/>
      <c r="F19" s="486"/>
    </row>
    <row r="20" spans="1:10" ht="15.75">
      <c r="A20" s="486"/>
      <c r="B20" s="489"/>
      <c r="C20" s="490"/>
      <c r="D20" s="491"/>
      <c r="E20" s="486"/>
      <c r="F20" s="486"/>
    </row>
    <row r="21" spans="1:10" ht="15.75">
      <c r="A21" s="486"/>
      <c r="B21" s="492" t="s">
        <v>589</v>
      </c>
      <c r="C21" s="490"/>
      <c r="D21" s="491"/>
      <c r="E21" s="486"/>
      <c r="F21" s="486"/>
    </row>
    <row r="22" spans="1:10" ht="15.75">
      <c r="A22" s="486"/>
      <c r="B22" s="926" t="s">
        <v>3</v>
      </c>
      <c r="C22" s="926"/>
      <c r="D22" s="926"/>
      <c r="E22" s="926"/>
      <c r="F22" s="926"/>
      <c r="G22" s="924" t="s">
        <v>580</v>
      </c>
      <c r="H22" s="924"/>
      <c r="I22" s="924" t="s">
        <v>581</v>
      </c>
      <c r="J22" s="924"/>
    </row>
    <row r="23" spans="1:10" ht="15.75">
      <c r="A23" s="486"/>
      <c r="B23" s="927" t="s">
        <v>584</v>
      </c>
      <c r="C23" s="927"/>
      <c r="D23" s="927"/>
      <c r="E23" s="927"/>
      <c r="F23" s="927"/>
      <c r="G23" s="933">
        <f>I27</f>
        <v>-13698.287064</v>
      </c>
      <c r="H23" s="933"/>
      <c r="I23" s="930">
        <f>-684914353.2/100000</f>
        <v>-6849.1435320000001</v>
      </c>
      <c r="J23" s="930"/>
    </row>
    <row r="24" spans="1:10" ht="15.75">
      <c r="A24" s="486"/>
      <c r="B24" s="927" t="s">
        <v>585</v>
      </c>
      <c r="C24" s="927"/>
      <c r="D24" s="927"/>
      <c r="E24" s="927"/>
      <c r="F24" s="927"/>
      <c r="G24" s="934">
        <v>0</v>
      </c>
      <c r="H24" s="934"/>
      <c r="I24" s="931">
        <v>0</v>
      </c>
      <c r="J24" s="931"/>
    </row>
    <row r="25" spans="1:10" ht="15.75">
      <c r="A25" s="486"/>
      <c r="B25" s="928" t="s">
        <v>590</v>
      </c>
      <c r="C25" s="928"/>
      <c r="D25" s="928"/>
      <c r="E25" s="928"/>
      <c r="F25" s="928"/>
      <c r="G25" s="935">
        <v>0</v>
      </c>
      <c r="H25" s="935"/>
      <c r="I25" s="931">
        <v>0</v>
      </c>
      <c r="J25" s="931"/>
    </row>
    <row r="26" spans="1:10" ht="15.75">
      <c r="A26" s="486"/>
      <c r="B26" s="928" t="s">
        <v>591</v>
      </c>
      <c r="C26" s="928"/>
      <c r="D26" s="928"/>
      <c r="E26" s="928"/>
      <c r="F26" s="928"/>
      <c r="G26" s="931">
        <f>684914353.2/100000</f>
        <v>6849.1435320000001</v>
      </c>
      <c r="H26" s="931"/>
      <c r="I26" s="931">
        <f>684914353.2/100000</f>
        <v>6849.1435320000001</v>
      </c>
      <c r="J26" s="931"/>
    </row>
    <row r="27" spans="1:10" ht="15.75">
      <c r="A27" s="493"/>
      <c r="B27" s="942" t="s">
        <v>592</v>
      </c>
      <c r="C27" s="942"/>
      <c r="D27" s="942"/>
      <c r="E27" s="942"/>
      <c r="F27" s="942"/>
      <c r="G27" s="932">
        <f>G23+G24-G25-G26</f>
        <v>-20547.430595999998</v>
      </c>
      <c r="H27" s="932"/>
      <c r="I27" s="932">
        <f>I23+I24-I25-I26</f>
        <v>-13698.287064</v>
      </c>
      <c r="J27" s="932"/>
    </row>
    <row r="28" spans="1:10" ht="15.75">
      <c r="A28" s="494"/>
      <c r="B28" s="929" t="s">
        <v>593</v>
      </c>
      <c r="C28" s="929"/>
      <c r="D28" s="929"/>
      <c r="E28" s="929"/>
      <c r="F28" s="929"/>
      <c r="G28" s="925">
        <f>G27+G18</f>
        <v>-18112.763425999998</v>
      </c>
      <c r="H28" s="925"/>
      <c r="I28" s="925">
        <f>I27+I18</f>
        <v>-11830.019894000001</v>
      </c>
      <c r="J28" s="925"/>
    </row>
    <row r="29" spans="1:10">
      <c r="A29" s="50"/>
      <c r="B29" s="50"/>
      <c r="C29" s="50"/>
      <c r="D29" s="50"/>
      <c r="E29" s="50"/>
      <c r="F29" s="50"/>
    </row>
    <row r="30" spans="1:10">
      <c r="A30" s="50"/>
      <c r="B30" s="50"/>
      <c r="C30" s="50"/>
      <c r="D30" s="50"/>
      <c r="E30" s="50"/>
      <c r="F30" s="50"/>
    </row>
    <row r="31" spans="1:10" ht="15.75">
      <c r="A31" s="494"/>
      <c r="B31" s="493"/>
      <c r="C31" s="495"/>
      <c r="D31" s="495"/>
      <c r="E31" s="486"/>
      <c r="F31" s="486"/>
    </row>
    <row r="32" spans="1:10" ht="15.75">
      <c r="A32" s="486"/>
      <c r="B32" s="926" t="s">
        <v>3</v>
      </c>
      <c r="C32" s="926"/>
      <c r="D32" s="926"/>
      <c r="E32" s="926"/>
      <c r="F32" s="926"/>
      <c r="G32" s="924" t="s">
        <v>580</v>
      </c>
      <c r="H32" s="924"/>
      <c r="I32" s="924" t="s">
        <v>581</v>
      </c>
      <c r="J32" s="924"/>
    </row>
    <row r="33" spans="1:10" ht="15.75">
      <c r="A33" s="486"/>
      <c r="B33" s="927" t="s">
        <v>594</v>
      </c>
      <c r="C33" s="927"/>
      <c r="D33" s="927"/>
      <c r="E33" s="927"/>
      <c r="F33" s="927"/>
      <c r="G33" s="923">
        <f>+G26</f>
        <v>6849.1435320000001</v>
      </c>
      <c r="H33" s="923"/>
      <c r="I33" s="923">
        <f>+I26</f>
        <v>6849.1435320000001</v>
      </c>
      <c r="J33" s="923"/>
    </row>
    <row r="34" spans="1:10" ht="15.75">
      <c r="A34" s="486"/>
      <c r="B34" s="927" t="s">
        <v>595</v>
      </c>
      <c r="C34" s="927"/>
      <c r="D34" s="927"/>
      <c r="E34" s="927"/>
      <c r="F34" s="927"/>
      <c r="G34" s="923">
        <f>+G28-G33</f>
        <v>-24961.906958</v>
      </c>
      <c r="H34" s="923"/>
      <c r="I34" s="923">
        <f>+I28-I33</f>
        <v>-18679.163425999999</v>
      </c>
      <c r="J34" s="923"/>
    </row>
    <row r="35" spans="1:10" ht="15.75">
      <c r="A35" s="486"/>
      <c r="B35" s="496"/>
      <c r="C35" s="497"/>
      <c r="D35" s="497"/>
      <c r="E35" s="486"/>
      <c r="F35" s="486"/>
    </row>
    <row r="37" spans="1:10" ht="15.75">
      <c r="A37" s="429">
        <v>11</v>
      </c>
      <c r="B37" s="498" t="s">
        <v>596</v>
      </c>
      <c r="C37" s="499"/>
    </row>
    <row r="38" spans="1:10" ht="15.75">
      <c r="A38" s="429"/>
      <c r="B38" s="498"/>
      <c r="C38" s="499"/>
    </row>
    <row r="39" spans="1:10" ht="15.75">
      <c r="A39" s="499"/>
      <c r="B39" s="498" t="s">
        <v>597</v>
      </c>
      <c r="C39" s="499"/>
    </row>
    <row r="40" spans="1:10" ht="15.75">
      <c r="A40" s="499"/>
      <c r="B40" s="498" t="s">
        <v>598</v>
      </c>
      <c r="C40" s="499"/>
    </row>
    <row r="41" spans="1:10" ht="15.75">
      <c r="A41" s="499"/>
      <c r="B41" s="498"/>
      <c r="C41" s="499"/>
    </row>
    <row r="42" spans="1:10" ht="15" customHeight="1">
      <c r="A42" s="499"/>
      <c r="B42" s="899" t="s">
        <v>599</v>
      </c>
      <c r="C42" s="899"/>
      <c r="D42" s="899"/>
      <c r="E42" s="899"/>
      <c r="F42" s="899"/>
      <c r="G42" s="899" t="s">
        <v>600</v>
      </c>
      <c r="H42" s="899"/>
      <c r="I42" s="899"/>
      <c r="J42" s="899"/>
    </row>
    <row r="43" spans="1:10" ht="15" customHeight="1">
      <c r="A43" s="499"/>
      <c r="B43" s="921" t="s">
        <v>396</v>
      </c>
      <c r="C43" s="921"/>
      <c r="D43" s="921"/>
      <c r="E43" s="921"/>
      <c r="F43" s="921"/>
      <c r="G43" s="922" t="s">
        <v>601</v>
      </c>
      <c r="H43" s="922"/>
      <c r="I43" s="922"/>
      <c r="J43" s="922"/>
    </row>
    <row r="44" spans="1:10" ht="15" customHeight="1">
      <c r="A44" s="499"/>
      <c r="B44" s="921" t="s">
        <v>340</v>
      </c>
      <c r="C44" s="921"/>
      <c r="D44" s="921"/>
      <c r="E44" s="921"/>
      <c r="F44" s="921"/>
      <c r="G44" s="922" t="s">
        <v>605</v>
      </c>
      <c r="H44" s="922"/>
      <c r="I44" s="922"/>
      <c r="J44" s="922"/>
    </row>
    <row r="45" spans="1:10" ht="15" customHeight="1">
      <c r="A45" s="499"/>
      <c r="B45" s="921" t="s">
        <v>667</v>
      </c>
      <c r="C45" s="921"/>
      <c r="D45" s="921"/>
      <c r="E45" s="921"/>
      <c r="F45" s="921"/>
      <c r="G45" s="922" t="s">
        <v>602</v>
      </c>
      <c r="H45" s="922"/>
      <c r="I45" s="922"/>
      <c r="J45" s="922"/>
    </row>
    <row r="46" spans="1:10" ht="15" customHeight="1">
      <c r="A46" s="499"/>
      <c r="B46" s="921" t="s">
        <v>603</v>
      </c>
      <c r="C46" s="921"/>
      <c r="D46" s="921"/>
      <c r="E46" s="921"/>
      <c r="F46" s="921"/>
      <c r="G46" s="922" t="s">
        <v>604</v>
      </c>
      <c r="H46" s="922"/>
      <c r="I46" s="922"/>
      <c r="J46" s="922"/>
    </row>
    <row r="47" spans="1:10" ht="15" customHeight="1">
      <c r="A47" s="499"/>
      <c r="B47" s="921" t="s">
        <v>606</v>
      </c>
      <c r="C47" s="921"/>
      <c r="D47" s="921"/>
      <c r="E47" s="921"/>
      <c r="F47" s="921"/>
      <c r="G47" s="922" t="s">
        <v>602</v>
      </c>
      <c r="H47" s="922"/>
      <c r="I47" s="922"/>
      <c r="J47" s="922"/>
    </row>
    <row r="48" spans="1:10" ht="15" customHeight="1">
      <c r="A48" s="499"/>
      <c r="B48" s="921" t="s">
        <v>607</v>
      </c>
      <c r="C48" s="921"/>
      <c r="D48" s="921"/>
      <c r="E48" s="921"/>
      <c r="F48" s="921"/>
      <c r="G48" s="922" t="s">
        <v>602</v>
      </c>
      <c r="H48" s="922"/>
      <c r="I48" s="922"/>
      <c r="J48" s="922"/>
    </row>
    <row r="49" spans="1:11" ht="15" customHeight="1">
      <c r="A49" s="499"/>
      <c r="B49" s="921" t="s">
        <v>608</v>
      </c>
      <c r="C49" s="921"/>
      <c r="D49" s="921"/>
      <c r="E49" s="921"/>
      <c r="F49" s="921"/>
      <c r="G49" s="922" t="s">
        <v>602</v>
      </c>
      <c r="H49" s="922"/>
      <c r="I49" s="922"/>
      <c r="J49" s="922"/>
    </row>
    <row r="50" spans="1:11" ht="15" customHeight="1">
      <c r="A50" s="499"/>
      <c r="B50" s="921" t="s">
        <v>609</v>
      </c>
      <c r="C50" s="921"/>
      <c r="D50" s="921"/>
      <c r="E50" s="921"/>
      <c r="F50" s="921"/>
      <c r="G50" s="922" t="s">
        <v>610</v>
      </c>
      <c r="H50" s="922"/>
      <c r="I50" s="922"/>
      <c r="J50" s="922"/>
    </row>
    <row r="51" spans="1:11" ht="15" customHeight="1">
      <c r="A51" s="499"/>
      <c r="B51" s="921" t="s">
        <v>611</v>
      </c>
      <c r="C51" s="921"/>
      <c r="D51" s="921"/>
      <c r="E51" s="921"/>
      <c r="F51" s="921"/>
      <c r="G51" s="922" t="s">
        <v>612</v>
      </c>
      <c r="H51" s="922"/>
      <c r="I51" s="922"/>
      <c r="J51" s="922"/>
    </row>
    <row r="52" spans="1:11" ht="15" customHeight="1">
      <c r="A52" s="499"/>
      <c r="B52" s="921" t="s">
        <v>613</v>
      </c>
      <c r="C52" s="921"/>
      <c r="D52" s="921"/>
      <c r="E52" s="921"/>
      <c r="F52" s="921"/>
      <c r="G52" s="922" t="s">
        <v>612</v>
      </c>
      <c r="H52" s="922"/>
      <c r="I52" s="922"/>
      <c r="J52" s="922"/>
    </row>
    <row r="53" spans="1:11" ht="15" customHeight="1">
      <c r="A53" s="499"/>
      <c r="B53" s="921" t="s">
        <v>614</v>
      </c>
      <c r="C53" s="921"/>
      <c r="D53" s="921"/>
      <c r="E53" s="921"/>
      <c r="F53" s="921"/>
      <c r="G53" s="922" t="s">
        <v>612</v>
      </c>
      <c r="H53" s="922"/>
      <c r="I53" s="922"/>
      <c r="J53" s="922"/>
    </row>
    <row r="58" spans="1:11" s="328" customFormat="1" ht="18">
      <c r="A58" s="784" t="str">
        <f>+A1</f>
        <v>Bihar State Power Transmission Company Limited.</v>
      </c>
      <c r="B58" s="784"/>
      <c r="C58" s="784"/>
      <c r="D58" s="784"/>
      <c r="E58" s="784"/>
      <c r="F58" s="784"/>
      <c r="G58" s="784"/>
      <c r="H58" s="784"/>
      <c r="I58" s="784"/>
      <c r="J58" s="784"/>
      <c r="K58" s="784"/>
    </row>
    <row r="59" spans="1:11" s="328" customFormat="1" ht="15.75">
      <c r="A59" s="785" t="s">
        <v>553</v>
      </c>
      <c r="B59" s="785"/>
      <c r="C59" s="785"/>
      <c r="D59" s="785"/>
      <c r="E59" s="785"/>
      <c r="F59" s="785"/>
      <c r="G59" s="785"/>
      <c r="H59" s="785"/>
      <c r="I59" s="785"/>
      <c r="J59" s="785"/>
      <c r="K59" s="785"/>
    </row>
    <row r="60" spans="1:11" ht="18" customHeight="1"/>
    <row r="61" spans="1:11" ht="15.75">
      <c r="A61" s="498" t="s">
        <v>615</v>
      </c>
      <c r="B61" s="499"/>
      <c r="C61" s="499"/>
      <c r="D61" s="499"/>
      <c r="E61" s="499"/>
    </row>
    <row r="62" spans="1:11" ht="15.75">
      <c r="A62" s="498"/>
      <c r="B62" s="499"/>
      <c r="C62" s="499"/>
      <c r="D62" s="499"/>
      <c r="J62" s="943" t="s">
        <v>728</v>
      </c>
      <c r="K62" s="943"/>
    </row>
    <row r="63" spans="1:11" ht="16.5" customHeight="1">
      <c r="A63" s="899" t="s">
        <v>3</v>
      </c>
      <c r="B63" s="899"/>
      <c r="C63" s="899"/>
      <c r="D63" s="899" t="s">
        <v>616</v>
      </c>
      <c r="E63" s="899"/>
      <c r="F63" s="899"/>
      <c r="G63" s="899"/>
      <c r="H63" s="899" t="s">
        <v>617</v>
      </c>
      <c r="I63" s="899"/>
      <c r="J63" s="899"/>
      <c r="K63" s="899"/>
    </row>
    <row r="64" spans="1:11" ht="82.5" customHeight="1">
      <c r="A64" s="899"/>
      <c r="B64" s="899"/>
      <c r="C64" s="899"/>
      <c r="D64" s="899" t="s">
        <v>618</v>
      </c>
      <c r="E64" s="899"/>
      <c r="F64" s="899" t="s">
        <v>619</v>
      </c>
      <c r="G64" s="899"/>
      <c r="H64" s="899" t="s">
        <v>618</v>
      </c>
      <c r="I64" s="899"/>
      <c r="J64" s="899" t="s">
        <v>619</v>
      </c>
      <c r="K64" s="899"/>
    </row>
    <row r="65" spans="1:11" ht="17.100000000000001" customHeight="1">
      <c r="A65" s="920" t="s">
        <v>620</v>
      </c>
      <c r="B65" s="920"/>
      <c r="C65" s="920"/>
      <c r="D65" s="910">
        <f>77200/100000</f>
        <v>0.77200000000000002</v>
      </c>
      <c r="E65" s="910"/>
      <c r="F65" s="910">
        <f>74400/100000</f>
        <v>0.74399999999999999</v>
      </c>
      <c r="G65" s="910"/>
      <c r="H65" s="910">
        <v>0</v>
      </c>
      <c r="I65" s="910"/>
      <c r="J65" s="914">
        <v>0</v>
      </c>
      <c r="K65" s="914"/>
    </row>
    <row r="66" spans="1:11" ht="17.100000000000001" customHeight="1">
      <c r="A66" s="920" t="s">
        <v>621</v>
      </c>
      <c r="B66" s="920"/>
      <c r="C66" s="920"/>
      <c r="D66" s="910">
        <v>0</v>
      </c>
      <c r="E66" s="910"/>
      <c r="F66" s="910">
        <v>0</v>
      </c>
      <c r="G66" s="910"/>
      <c r="H66" s="910">
        <f>(2183399+63462)/100000</f>
        <v>22.468610000000002</v>
      </c>
      <c r="I66" s="910"/>
      <c r="J66" s="910">
        <f>210221/100000</f>
        <v>2.1022099999999999</v>
      </c>
      <c r="K66" s="910"/>
    </row>
    <row r="67" spans="1:11" ht="17.100000000000001" customHeight="1">
      <c r="A67" s="906" t="s">
        <v>622</v>
      </c>
      <c r="B67" s="906"/>
      <c r="C67" s="906"/>
      <c r="D67" s="914">
        <v>0</v>
      </c>
      <c r="E67" s="914"/>
      <c r="F67" s="914">
        <v>0</v>
      </c>
      <c r="G67" s="914"/>
      <c r="H67" s="914"/>
      <c r="I67" s="914"/>
      <c r="J67" s="914">
        <v>0</v>
      </c>
      <c r="K67" s="914"/>
    </row>
    <row r="68" spans="1:11" ht="17.100000000000001" customHeight="1">
      <c r="A68" s="906" t="s">
        <v>623</v>
      </c>
      <c r="B68" s="906"/>
      <c r="C68" s="906"/>
      <c r="D68" s="914">
        <v>0</v>
      </c>
      <c r="E68" s="914"/>
      <c r="F68" s="914">
        <v>0</v>
      </c>
      <c r="G68" s="914"/>
      <c r="H68" s="914">
        <v>0</v>
      </c>
      <c r="I68" s="914"/>
      <c r="J68" s="914">
        <v>0</v>
      </c>
      <c r="K68" s="914"/>
    </row>
    <row r="69" spans="1:11" ht="17.100000000000001" customHeight="1">
      <c r="A69" s="906" t="s">
        <v>624</v>
      </c>
      <c r="B69" s="906"/>
      <c r="C69" s="906"/>
      <c r="D69" s="914">
        <v>0</v>
      </c>
      <c r="E69" s="914"/>
      <c r="F69" s="914">
        <v>0</v>
      </c>
      <c r="G69" s="914"/>
      <c r="H69" s="914">
        <v>0</v>
      </c>
      <c r="I69" s="914"/>
      <c r="J69" s="914">
        <v>0</v>
      </c>
      <c r="K69" s="914"/>
    </row>
    <row r="70" spans="1:11" ht="17.100000000000001" customHeight="1">
      <c r="A70" s="906" t="s">
        <v>625</v>
      </c>
      <c r="B70" s="906"/>
      <c r="C70" s="906"/>
      <c r="D70" s="914">
        <v>0</v>
      </c>
      <c r="E70" s="914"/>
      <c r="F70" s="914">
        <v>0</v>
      </c>
      <c r="G70" s="914"/>
      <c r="H70" s="914">
        <v>0</v>
      </c>
      <c r="I70" s="914"/>
      <c r="J70" s="914">
        <v>0</v>
      </c>
      <c r="K70" s="914"/>
    </row>
    <row r="71" spans="1:11" ht="17.100000000000001" customHeight="1">
      <c r="A71" s="917" t="s">
        <v>8</v>
      </c>
      <c r="B71" s="917"/>
      <c r="C71" s="917"/>
      <c r="D71" s="914">
        <f>SUM(D65:E70)</f>
        <v>0.77200000000000002</v>
      </c>
      <c r="E71" s="914"/>
      <c r="F71" s="914">
        <f t="shared" ref="F71" si="0">SUM(F65:G70)</f>
        <v>0.74399999999999999</v>
      </c>
      <c r="G71" s="914"/>
      <c r="H71" s="914">
        <f t="shared" ref="H71" si="1">SUM(H65:I70)</f>
        <v>22.468610000000002</v>
      </c>
      <c r="I71" s="914"/>
      <c r="J71" s="914">
        <f t="shared" ref="J71" si="2">SUM(J65:K70)</f>
        <v>2.1022099999999999</v>
      </c>
      <c r="K71" s="914"/>
    </row>
    <row r="73" spans="1:11" ht="12.75" customHeight="1"/>
    <row r="74" spans="1:11" ht="15.75">
      <c r="A74" s="899" t="s">
        <v>3</v>
      </c>
      <c r="B74" s="899"/>
      <c r="C74" s="899"/>
      <c r="D74" s="899" t="s">
        <v>626</v>
      </c>
      <c r="E74" s="899"/>
      <c r="F74" s="899"/>
      <c r="G74" s="899"/>
    </row>
    <row r="75" spans="1:11" ht="50.25" customHeight="1">
      <c r="A75" s="899"/>
      <c r="B75" s="899"/>
      <c r="C75" s="899"/>
      <c r="D75" s="899" t="s">
        <v>618</v>
      </c>
      <c r="E75" s="899"/>
      <c r="F75" s="899" t="s">
        <v>619</v>
      </c>
      <c r="G75" s="899"/>
    </row>
    <row r="76" spans="1:11" ht="15.75">
      <c r="A76" s="920" t="s">
        <v>620</v>
      </c>
      <c r="B76" s="920"/>
      <c r="C76" s="920"/>
      <c r="D76" s="910">
        <v>0</v>
      </c>
      <c r="E76" s="910"/>
      <c r="F76" s="910">
        <v>0</v>
      </c>
      <c r="G76" s="910"/>
    </row>
    <row r="77" spans="1:11" ht="15.75">
      <c r="A77" s="920" t="s">
        <v>621</v>
      </c>
      <c r="B77" s="920"/>
      <c r="C77" s="920"/>
      <c r="D77" s="910">
        <v>30.78</v>
      </c>
      <c r="E77" s="910"/>
      <c r="F77" s="910">
        <v>0</v>
      </c>
      <c r="G77" s="910"/>
    </row>
    <row r="78" spans="1:11" ht="15.75">
      <c r="A78" s="906" t="s">
        <v>622</v>
      </c>
      <c r="B78" s="906"/>
      <c r="C78" s="906"/>
      <c r="D78" s="910">
        <v>0</v>
      </c>
      <c r="E78" s="910"/>
      <c r="F78" s="910">
        <v>0</v>
      </c>
      <c r="G78" s="910"/>
    </row>
    <row r="79" spans="1:11" ht="15.75">
      <c r="A79" s="906" t="s">
        <v>623</v>
      </c>
      <c r="B79" s="906"/>
      <c r="C79" s="906"/>
      <c r="D79" s="910">
        <v>0</v>
      </c>
      <c r="E79" s="910"/>
      <c r="F79" s="910">
        <v>0</v>
      </c>
      <c r="G79" s="910"/>
    </row>
    <row r="80" spans="1:11" ht="15.75">
      <c r="A80" s="906" t="s">
        <v>624</v>
      </c>
      <c r="B80" s="906"/>
      <c r="C80" s="906"/>
      <c r="D80" s="910">
        <v>0</v>
      </c>
      <c r="E80" s="910"/>
      <c r="F80" s="910">
        <v>0</v>
      </c>
      <c r="G80" s="910"/>
    </row>
    <row r="81" spans="1:11" ht="15.75">
      <c r="A81" s="906" t="s">
        <v>625</v>
      </c>
      <c r="B81" s="906"/>
      <c r="C81" s="906"/>
      <c r="D81" s="910">
        <v>0</v>
      </c>
      <c r="E81" s="910"/>
      <c r="F81" s="910">
        <v>0</v>
      </c>
      <c r="G81" s="910"/>
    </row>
    <row r="82" spans="1:11" ht="15.75">
      <c r="A82" s="917" t="s">
        <v>8</v>
      </c>
      <c r="B82" s="917"/>
      <c r="C82" s="917"/>
      <c r="D82" s="914">
        <f>SUM(D76:E81)</f>
        <v>30.78</v>
      </c>
      <c r="E82" s="914"/>
      <c r="F82" s="914">
        <f>SUM(F76:G81)</f>
        <v>0</v>
      </c>
      <c r="G82" s="914"/>
    </row>
    <row r="84" spans="1:11" ht="15.75">
      <c r="A84" s="494" t="s">
        <v>627</v>
      </c>
    </row>
    <row r="85" spans="1:11">
      <c r="J85" s="943" t="s">
        <v>728</v>
      </c>
      <c r="K85" s="943"/>
    </row>
    <row r="86" spans="1:11" ht="16.5" customHeight="1">
      <c r="A86" s="899" t="s">
        <v>3</v>
      </c>
      <c r="B86" s="899"/>
      <c r="C86" s="899"/>
      <c r="D86" s="899"/>
      <c r="E86" s="899"/>
      <c r="F86" s="899"/>
      <c r="G86" s="899"/>
      <c r="H86" s="899" t="s">
        <v>610</v>
      </c>
      <c r="I86" s="899"/>
      <c r="J86" s="899"/>
      <c r="K86" s="899"/>
    </row>
    <row r="87" spans="1:11" ht="54.75" customHeight="1">
      <c r="A87" s="899"/>
      <c r="B87" s="899"/>
      <c r="C87" s="899"/>
      <c r="D87" s="899"/>
      <c r="E87" s="899"/>
      <c r="F87" s="899"/>
      <c r="G87" s="899"/>
      <c r="H87" s="899" t="s">
        <v>618</v>
      </c>
      <c r="I87" s="899"/>
      <c r="J87" s="899" t="s">
        <v>619</v>
      </c>
      <c r="K87" s="899"/>
    </row>
    <row r="88" spans="1:11" ht="18" customHeight="1">
      <c r="A88" s="918" t="s">
        <v>628</v>
      </c>
      <c r="B88" s="918"/>
      <c r="C88" s="918"/>
      <c r="D88" s="918"/>
      <c r="E88" s="918"/>
      <c r="F88" s="918"/>
      <c r="G88" s="918"/>
      <c r="H88" s="910">
        <v>0</v>
      </c>
      <c r="I88" s="910"/>
      <c r="J88" s="910">
        <v>0</v>
      </c>
      <c r="K88" s="910"/>
    </row>
    <row r="89" spans="1:11" ht="18" customHeight="1">
      <c r="A89" s="918" t="s">
        <v>630</v>
      </c>
      <c r="B89" s="918"/>
      <c r="C89" s="918"/>
      <c r="D89" s="918"/>
      <c r="E89" s="918"/>
      <c r="F89" s="918"/>
      <c r="G89" s="918"/>
      <c r="H89" s="919">
        <v>16274</v>
      </c>
      <c r="I89" s="919"/>
      <c r="J89" s="919">
        <v>3237</v>
      </c>
      <c r="K89" s="919"/>
    </row>
    <row r="90" spans="1:11" ht="18" customHeight="1">
      <c r="A90" s="918" t="s">
        <v>631</v>
      </c>
      <c r="B90" s="918"/>
      <c r="C90" s="918"/>
      <c r="D90" s="918"/>
      <c r="E90" s="918"/>
      <c r="F90" s="918"/>
      <c r="G90" s="918"/>
      <c r="H90" s="910">
        <v>0</v>
      </c>
      <c r="I90" s="910"/>
      <c r="J90" s="910">
        <v>0</v>
      </c>
      <c r="K90" s="910"/>
    </row>
    <row r="91" spans="1:11" ht="18" customHeight="1">
      <c r="A91" s="918" t="s">
        <v>629</v>
      </c>
      <c r="B91" s="918"/>
      <c r="C91" s="918"/>
      <c r="D91" s="918"/>
      <c r="E91" s="918"/>
      <c r="F91" s="918"/>
      <c r="G91" s="918"/>
      <c r="H91" s="910">
        <v>0</v>
      </c>
      <c r="I91" s="910"/>
      <c r="J91" s="910">
        <v>0</v>
      </c>
      <c r="K91" s="910"/>
    </row>
    <row r="92" spans="1:11" ht="18" customHeight="1">
      <c r="A92" s="906" t="s">
        <v>632</v>
      </c>
      <c r="B92" s="906"/>
      <c r="C92" s="906"/>
      <c r="D92" s="906"/>
      <c r="E92" s="906"/>
      <c r="F92" s="906"/>
      <c r="G92" s="906"/>
      <c r="H92" s="910">
        <v>0</v>
      </c>
      <c r="I92" s="910"/>
      <c r="J92" s="910">
        <v>0</v>
      </c>
      <c r="K92" s="910"/>
    </row>
    <row r="93" spans="1:11" ht="15.75">
      <c r="A93" s="917" t="s">
        <v>8</v>
      </c>
      <c r="B93" s="917"/>
      <c r="C93" s="917"/>
      <c r="D93" s="917"/>
      <c r="E93" s="917"/>
      <c r="F93" s="917"/>
      <c r="G93" s="917"/>
      <c r="H93" s="910">
        <f>SUM(H89:I92)</f>
        <v>16274</v>
      </c>
      <c r="I93" s="910"/>
      <c r="J93" s="910">
        <f>SUM(J89:K92)</f>
        <v>3237</v>
      </c>
      <c r="K93" s="910"/>
    </row>
    <row r="95" spans="1:11" ht="15.75">
      <c r="A95" s="494" t="s">
        <v>633</v>
      </c>
    </row>
    <row r="96" spans="1:11" ht="15.75">
      <c r="A96" s="899" t="s">
        <v>3</v>
      </c>
      <c r="B96" s="899"/>
      <c r="C96" s="899"/>
      <c r="D96" s="899" t="s">
        <v>610</v>
      </c>
      <c r="E96" s="899"/>
      <c r="F96" s="899"/>
      <c r="G96" s="899"/>
    </row>
    <row r="97" spans="1:11" ht="49.5" customHeight="1">
      <c r="A97" s="899"/>
      <c r="B97" s="899"/>
      <c r="C97" s="899"/>
      <c r="D97" s="899" t="s">
        <v>618</v>
      </c>
      <c r="E97" s="899"/>
      <c r="F97" s="899" t="s">
        <v>619</v>
      </c>
      <c r="G97" s="899"/>
    </row>
    <row r="98" spans="1:11" ht="15.75">
      <c r="A98" s="911" t="s">
        <v>634</v>
      </c>
      <c r="B98" s="912"/>
      <c r="C98" s="913"/>
      <c r="D98" s="910">
        <f>+'BS13-20'!B57</f>
        <v>38847.317329999998</v>
      </c>
      <c r="E98" s="910"/>
      <c r="F98" s="910">
        <f>+'BS13-20'!C57</f>
        <v>22573.281589999999</v>
      </c>
      <c r="G98" s="910"/>
    </row>
    <row r="99" spans="1:11" ht="15.75">
      <c r="A99" s="911" t="s">
        <v>635</v>
      </c>
      <c r="B99" s="912"/>
      <c r="C99" s="913"/>
      <c r="D99" s="910">
        <f>+'BS13-20'!B123</f>
        <v>12144.5751069</v>
      </c>
      <c r="E99" s="910"/>
      <c r="F99" s="910">
        <v>15535</v>
      </c>
      <c r="G99" s="910"/>
    </row>
    <row r="100" spans="1:11" ht="15.75">
      <c r="A100" s="911" t="s">
        <v>8</v>
      </c>
      <c r="B100" s="912"/>
      <c r="C100" s="913"/>
      <c r="D100" s="914"/>
      <c r="E100" s="914"/>
      <c r="F100" s="914"/>
      <c r="G100" s="914"/>
    </row>
    <row r="102" spans="1:11" s="328" customFormat="1" ht="18">
      <c r="A102" s="784" t="str">
        <f>+A58</f>
        <v>Bihar State Power Transmission Company Limited.</v>
      </c>
      <c r="B102" s="784"/>
      <c r="C102" s="784"/>
      <c r="D102" s="784"/>
      <c r="E102" s="784"/>
      <c r="F102" s="784"/>
      <c r="G102" s="784"/>
      <c r="H102" s="784"/>
      <c r="I102" s="784"/>
      <c r="J102" s="784"/>
      <c r="K102" s="784"/>
    </row>
    <row r="103" spans="1:11" s="328" customFormat="1" ht="15.75">
      <c r="A103" s="785" t="s">
        <v>553</v>
      </c>
      <c r="B103" s="785"/>
      <c r="C103" s="785"/>
      <c r="D103" s="785"/>
      <c r="E103" s="785"/>
      <c r="F103" s="785"/>
      <c r="G103" s="785"/>
      <c r="H103" s="785"/>
      <c r="I103" s="785"/>
      <c r="J103" s="785"/>
      <c r="K103" s="785"/>
    </row>
    <row r="104" spans="1:11" ht="9.75" customHeight="1"/>
    <row r="105" spans="1:11" ht="15.75">
      <c r="A105" s="429">
        <v>12</v>
      </c>
      <c r="B105" s="498" t="s">
        <v>636</v>
      </c>
      <c r="C105" s="499"/>
      <c r="D105" s="499"/>
      <c r="E105" s="499"/>
      <c r="F105" s="499"/>
    </row>
    <row r="106" spans="1:11" ht="15.75">
      <c r="A106" s="499"/>
      <c r="B106" s="499" t="s">
        <v>637</v>
      </c>
      <c r="C106" s="499"/>
      <c r="D106" s="499"/>
      <c r="E106" s="499"/>
      <c r="F106" s="499"/>
    </row>
    <row r="107" spans="1:11" ht="15.75">
      <c r="A107" s="499"/>
      <c r="B107" s="499" t="s">
        <v>638</v>
      </c>
      <c r="C107" s="499"/>
      <c r="D107" s="499"/>
      <c r="E107" s="499"/>
      <c r="F107" s="499"/>
    </row>
    <row r="108" spans="1:11" ht="15.75">
      <c r="A108" s="503" t="s">
        <v>449</v>
      </c>
      <c r="B108" s="498" t="s">
        <v>639</v>
      </c>
      <c r="C108" s="499"/>
      <c r="D108" s="499"/>
      <c r="E108" s="499"/>
      <c r="F108" s="499"/>
    </row>
    <row r="109" spans="1:11" ht="15.75" customHeight="1">
      <c r="A109" s="499"/>
      <c r="B109" s="499"/>
      <c r="C109" s="499"/>
      <c r="D109" s="500"/>
      <c r="E109" s="500"/>
      <c r="J109" s="943" t="s">
        <v>728</v>
      </c>
      <c r="K109" s="943"/>
    </row>
    <row r="110" spans="1:11" ht="28.5">
      <c r="A110" s="499"/>
      <c r="B110" s="903" t="s">
        <v>246</v>
      </c>
      <c r="C110" s="903"/>
      <c r="D110" s="903"/>
      <c r="E110" s="903" t="s">
        <v>640</v>
      </c>
      <c r="F110" s="903"/>
      <c r="G110" s="903" t="s">
        <v>641</v>
      </c>
      <c r="H110" s="903"/>
      <c r="I110" s="903" t="s">
        <v>642</v>
      </c>
      <c r="J110" s="903"/>
      <c r="K110" s="504" t="s">
        <v>663</v>
      </c>
    </row>
    <row r="111" spans="1:11" ht="15" customHeight="1">
      <c r="A111" s="499"/>
      <c r="B111" s="905" t="s">
        <v>643</v>
      </c>
      <c r="C111" s="905"/>
      <c r="D111" s="905"/>
      <c r="E111" s="904" t="s">
        <v>501</v>
      </c>
      <c r="F111" s="904"/>
      <c r="G111" s="904"/>
      <c r="H111" s="904"/>
      <c r="I111" s="904"/>
      <c r="J111" s="904"/>
      <c r="K111" s="904"/>
    </row>
    <row r="112" spans="1:11" ht="15" customHeight="1">
      <c r="A112" s="499"/>
      <c r="B112" s="915" t="s">
        <v>644</v>
      </c>
      <c r="C112" s="915"/>
      <c r="D112" s="915"/>
      <c r="E112" s="904"/>
      <c r="F112" s="904"/>
      <c r="G112" s="904"/>
      <c r="H112" s="904"/>
      <c r="I112" s="904"/>
      <c r="J112" s="904"/>
      <c r="K112" s="904"/>
    </row>
    <row r="113" spans="1:11" ht="15" customHeight="1">
      <c r="A113" s="499"/>
      <c r="B113" s="905" t="s">
        <v>645</v>
      </c>
      <c r="C113" s="905"/>
      <c r="D113" s="905"/>
      <c r="E113" s="904"/>
      <c r="F113" s="904"/>
      <c r="G113" s="904"/>
      <c r="H113" s="904"/>
      <c r="I113" s="904"/>
      <c r="J113" s="904"/>
      <c r="K113" s="904"/>
    </row>
    <row r="114" spans="1:11" ht="15" customHeight="1">
      <c r="A114" s="499"/>
      <c r="B114" s="915" t="s">
        <v>644</v>
      </c>
      <c r="C114" s="915"/>
      <c r="D114" s="915"/>
      <c r="E114" s="904"/>
      <c r="F114" s="904"/>
      <c r="G114" s="904"/>
      <c r="H114" s="904"/>
      <c r="I114" s="904"/>
      <c r="J114" s="904"/>
      <c r="K114" s="904"/>
    </row>
    <row r="115" spans="1:11" ht="6.75" customHeight="1">
      <c r="A115" s="499"/>
      <c r="C115" s="501"/>
      <c r="D115" s="501"/>
      <c r="E115" s="501"/>
      <c r="F115" s="501"/>
    </row>
    <row r="116" spans="1:11" ht="15.75">
      <c r="A116" s="499"/>
      <c r="B116" s="499" t="s">
        <v>646</v>
      </c>
      <c r="C116" s="499"/>
      <c r="D116" s="499"/>
      <c r="E116" s="499"/>
      <c r="F116" s="499"/>
    </row>
    <row r="117" spans="1:11" ht="15.75">
      <c r="A117" s="503" t="s">
        <v>449</v>
      </c>
      <c r="B117" s="498" t="s">
        <v>647</v>
      </c>
      <c r="C117" s="499"/>
      <c r="D117" s="499"/>
      <c r="E117" s="499"/>
      <c r="F117" s="499"/>
    </row>
    <row r="118" spans="1:11" ht="20.25" customHeight="1">
      <c r="A118" s="499"/>
      <c r="B118" s="499"/>
      <c r="C118" s="902"/>
      <c r="D118" s="902"/>
      <c r="E118" s="902"/>
      <c r="F118" s="499"/>
      <c r="J118" s="943" t="s">
        <v>728</v>
      </c>
      <c r="K118" s="943"/>
    </row>
    <row r="119" spans="1:11" ht="45.75" customHeight="1">
      <c r="A119" s="499"/>
      <c r="B119" s="900" t="s">
        <v>3</v>
      </c>
      <c r="C119" s="900"/>
      <c r="D119" s="900"/>
      <c r="E119" s="900"/>
      <c r="F119" s="900"/>
      <c r="G119" s="899" t="s">
        <v>618</v>
      </c>
      <c r="H119" s="899"/>
      <c r="I119" s="899" t="s">
        <v>619</v>
      </c>
      <c r="J119" s="899"/>
    </row>
    <row r="120" spans="1:11" ht="18" customHeight="1">
      <c r="A120" s="499"/>
      <c r="B120" s="906" t="s">
        <v>648</v>
      </c>
      <c r="C120" s="906"/>
      <c r="D120" s="906"/>
      <c r="E120" s="906"/>
      <c r="F120" s="906"/>
      <c r="G120" s="907">
        <f>2356161/100000</f>
        <v>23.561610000000002</v>
      </c>
      <c r="H120" s="908"/>
      <c r="I120" s="907">
        <f>2419652/100000</f>
        <v>24.19652</v>
      </c>
      <c r="J120" s="908"/>
    </row>
    <row r="121" spans="1:11" ht="18" customHeight="1">
      <c r="A121" s="499"/>
      <c r="B121" s="906" t="s">
        <v>649</v>
      </c>
      <c r="C121" s="906"/>
      <c r="D121" s="906"/>
      <c r="E121" s="906"/>
      <c r="F121" s="906"/>
      <c r="G121" s="907">
        <f>2379986*1.1*11/12*1/100000</f>
        <v>23.998192166666669</v>
      </c>
      <c r="H121" s="908"/>
      <c r="I121" s="907">
        <f>2181653/100000</f>
        <v>21.81653</v>
      </c>
      <c r="J121" s="908"/>
    </row>
    <row r="122" spans="1:11" ht="15.75">
      <c r="A122" s="499"/>
      <c r="B122" s="906" t="s">
        <v>650</v>
      </c>
      <c r="C122" s="906"/>
      <c r="D122" s="906"/>
      <c r="E122" s="906"/>
      <c r="F122" s="906"/>
      <c r="G122" s="750"/>
      <c r="H122" s="752"/>
      <c r="I122" s="750"/>
      <c r="J122" s="752"/>
    </row>
    <row r="123" spans="1:11" ht="23.25" customHeight="1">
      <c r="A123" s="499"/>
      <c r="B123" s="916" t="s">
        <v>651</v>
      </c>
      <c r="C123" s="916"/>
      <c r="D123" s="916"/>
      <c r="E123" s="916"/>
      <c r="F123" s="916"/>
      <c r="G123" s="916"/>
      <c r="H123" s="916"/>
      <c r="I123" s="916"/>
      <c r="J123" s="916"/>
      <c r="K123" s="916"/>
    </row>
    <row r="124" spans="1:11" ht="40.5" customHeight="1">
      <c r="A124" s="499"/>
      <c r="B124" s="916"/>
      <c r="C124" s="916"/>
      <c r="D124" s="916"/>
      <c r="E124" s="916"/>
      <c r="F124" s="916"/>
      <c r="G124" s="916"/>
      <c r="H124" s="916"/>
      <c r="I124" s="916"/>
      <c r="J124" s="916"/>
      <c r="K124" s="916"/>
    </row>
    <row r="125" spans="1:11" ht="6.75" customHeight="1">
      <c r="A125" s="499"/>
      <c r="B125" s="505"/>
      <c r="C125" s="505"/>
      <c r="D125" s="505"/>
      <c r="E125" s="505"/>
      <c r="F125" s="505"/>
      <c r="G125" s="505"/>
      <c r="H125" s="505"/>
      <c r="I125" s="505"/>
      <c r="J125" s="505"/>
      <c r="K125" s="505"/>
    </row>
    <row r="126" spans="1:11" ht="15.75">
      <c r="A126" s="429">
        <f>A105+1</f>
        <v>13</v>
      </c>
      <c r="B126" s="329" t="s">
        <v>652</v>
      </c>
      <c r="C126" s="499"/>
      <c r="D126" s="499"/>
      <c r="E126" s="499"/>
      <c r="F126" s="499"/>
    </row>
    <row r="127" spans="1:11" ht="15.75">
      <c r="A127" s="499"/>
      <c r="B127" s="498" t="s">
        <v>653</v>
      </c>
      <c r="C127" s="499"/>
      <c r="D127" s="499"/>
      <c r="E127" s="499"/>
      <c r="F127" s="499"/>
    </row>
    <row r="128" spans="1:11" ht="15.75">
      <c r="A128" s="499"/>
      <c r="B128" s="909" t="s">
        <v>654</v>
      </c>
      <c r="C128" s="909"/>
      <c r="D128" s="909"/>
      <c r="E128" s="502"/>
      <c r="F128" s="502"/>
    </row>
    <row r="129" spans="1:10" ht="7.5" customHeight="1">
      <c r="A129" s="499"/>
      <c r="B129" s="502"/>
      <c r="C129" s="502"/>
      <c r="D129" s="502"/>
      <c r="E129" s="502"/>
      <c r="F129" s="502"/>
    </row>
    <row r="130" spans="1:10" ht="47.25" customHeight="1">
      <c r="A130" s="499"/>
      <c r="B130" s="900" t="s">
        <v>3</v>
      </c>
      <c r="C130" s="900"/>
      <c r="D130" s="900"/>
      <c r="E130" s="900"/>
      <c r="F130" s="900"/>
      <c r="G130" s="899" t="s">
        <v>618</v>
      </c>
      <c r="H130" s="899"/>
      <c r="I130" s="899" t="s">
        <v>619</v>
      </c>
      <c r="J130" s="899"/>
    </row>
    <row r="131" spans="1:10" ht="30.75" customHeight="1">
      <c r="A131" s="499"/>
      <c r="B131" s="897" t="s">
        <v>655</v>
      </c>
      <c r="C131" s="897"/>
      <c r="D131" s="897"/>
      <c r="E131" s="897"/>
      <c r="F131" s="897"/>
      <c r="G131" s="898">
        <f>+'P&amp;L'!E23</f>
        <v>14728.390650000001</v>
      </c>
      <c r="H131" s="898"/>
      <c r="I131" s="898">
        <f>+'P&amp;L'!F23</f>
        <v>26202</v>
      </c>
      <c r="J131" s="898"/>
    </row>
    <row r="132" spans="1:10" ht="31.5" customHeight="1">
      <c r="A132" s="499"/>
      <c r="B132" s="897" t="s">
        <v>656</v>
      </c>
      <c r="C132" s="897"/>
      <c r="D132" s="897"/>
      <c r="E132" s="897"/>
      <c r="F132" s="897"/>
      <c r="G132" s="898">
        <f>+G131</f>
        <v>14728.390650000001</v>
      </c>
      <c r="H132" s="898"/>
      <c r="I132" s="898">
        <f>+I131</f>
        <v>26202</v>
      </c>
      <c r="J132" s="898"/>
    </row>
    <row r="133" spans="1:10" ht="31.5" customHeight="1">
      <c r="A133" s="499"/>
      <c r="B133" s="897" t="s">
        <v>657</v>
      </c>
      <c r="C133" s="897"/>
      <c r="D133" s="897"/>
      <c r="E133" s="897"/>
      <c r="F133" s="897"/>
      <c r="G133" s="898">
        <f>+BS!E32/10</f>
        <v>72453.7</v>
      </c>
      <c r="H133" s="898"/>
      <c r="I133" s="898">
        <f>+BS!F32/10</f>
        <v>30000</v>
      </c>
      <c r="J133" s="898"/>
    </row>
    <row r="134" spans="1:10" ht="16.5" customHeight="1">
      <c r="A134" s="499"/>
      <c r="B134" s="890" t="s">
        <v>658</v>
      </c>
      <c r="C134" s="890"/>
      <c r="D134" s="890"/>
      <c r="E134" s="890"/>
      <c r="F134" s="890"/>
      <c r="G134" s="891">
        <v>0.22</v>
      </c>
      <c r="H134" s="891"/>
      <c r="I134" s="891">
        <v>0.87</v>
      </c>
      <c r="J134" s="891"/>
    </row>
    <row r="135" spans="1:10" ht="6" customHeight="1">
      <c r="A135" s="499"/>
      <c r="B135" s="502"/>
      <c r="C135" s="502"/>
      <c r="D135" s="502"/>
      <c r="E135" s="502"/>
      <c r="F135" s="502"/>
    </row>
    <row r="136" spans="1:10" ht="15.75">
      <c r="A136" s="499"/>
      <c r="B136" s="498" t="s">
        <v>659</v>
      </c>
      <c r="C136" s="499"/>
      <c r="D136" s="499"/>
      <c r="E136" s="499"/>
      <c r="F136" s="499"/>
    </row>
    <row r="137" spans="1:10" ht="15.75">
      <c r="A137" s="499"/>
      <c r="B137" s="901" t="s">
        <v>660</v>
      </c>
      <c r="C137" s="901"/>
      <c r="D137" s="901"/>
      <c r="E137" s="499"/>
      <c r="F137" s="499"/>
    </row>
    <row r="138" spans="1:10" ht="6.75" customHeight="1">
      <c r="A138" s="499"/>
      <c r="B138" s="506"/>
      <c r="C138" s="506"/>
      <c r="D138" s="506"/>
      <c r="E138" s="499"/>
      <c r="F138" s="499"/>
    </row>
    <row r="139" spans="1:10" ht="46.5" customHeight="1">
      <c r="A139" s="499"/>
      <c r="B139" s="900" t="s">
        <v>3</v>
      </c>
      <c r="C139" s="900"/>
      <c r="D139" s="900"/>
      <c r="E139" s="900"/>
      <c r="F139" s="900"/>
      <c r="G139" s="899" t="s">
        <v>618</v>
      </c>
      <c r="H139" s="899"/>
      <c r="I139" s="899" t="s">
        <v>619</v>
      </c>
      <c r="J139" s="899"/>
    </row>
    <row r="140" spans="1:10" ht="29.25" customHeight="1">
      <c r="A140" s="499"/>
      <c r="B140" s="897" t="s">
        <v>655</v>
      </c>
      <c r="C140" s="897"/>
      <c r="D140" s="897"/>
      <c r="E140" s="897"/>
      <c r="F140" s="897"/>
      <c r="G140" s="898">
        <f>+G131</f>
        <v>14728.390650000001</v>
      </c>
      <c r="H140" s="898"/>
      <c r="I140" s="898">
        <f>+I131</f>
        <v>26202</v>
      </c>
      <c r="J140" s="898"/>
    </row>
    <row r="141" spans="1:10" ht="30" customHeight="1">
      <c r="A141" s="499"/>
      <c r="B141" s="897" t="s">
        <v>669</v>
      </c>
      <c r="C141" s="897"/>
      <c r="D141" s="897"/>
      <c r="E141" s="897"/>
      <c r="F141" s="897"/>
      <c r="G141" s="898">
        <f>+G132</f>
        <v>14728.390650000001</v>
      </c>
      <c r="H141" s="898"/>
      <c r="I141" s="898">
        <f>+I132</f>
        <v>26202</v>
      </c>
      <c r="J141" s="898"/>
    </row>
    <row r="142" spans="1:10" ht="31.5" customHeight="1">
      <c r="A142" s="499"/>
      <c r="B142" s="897" t="s">
        <v>668</v>
      </c>
      <c r="C142" s="897"/>
      <c r="D142" s="897"/>
      <c r="E142" s="897"/>
      <c r="F142" s="897"/>
      <c r="G142" s="898">
        <f>+G133</f>
        <v>72453.7</v>
      </c>
      <c r="H142" s="898"/>
      <c r="I142" s="898">
        <f>+I133</f>
        <v>30000</v>
      </c>
      <c r="J142" s="898"/>
    </row>
    <row r="143" spans="1:10" ht="32.25" customHeight="1">
      <c r="A143" s="499"/>
      <c r="B143" s="892" t="s">
        <v>661</v>
      </c>
      <c r="C143" s="893"/>
      <c r="D143" s="893"/>
      <c r="E143" s="893"/>
      <c r="F143" s="894"/>
      <c r="G143" s="895">
        <f>+G142</f>
        <v>72453.7</v>
      </c>
      <c r="H143" s="896"/>
      <c r="I143" s="895">
        <f>+I142</f>
        <v>30000</v>
      </c>
      <c r="J143" s="896"/>
    </row>
    <row r="144" spans="1:10" ht="16.5" customHeight="1">
      <c r="A144" s="499"/>
      <c r="B144" s="890" t="s">
        <v>662</v>
      </c>
      <c r="C144" s="890"/>
      <c r="D144" s="890"/>
      <c r="E144" s="890"/>
      <c r="F144" s="890"/>
      <c r="G144" s="891">
        <f>+G134</f>
        <v>0.22</v>
      </c>
      <c r="H144" s="891"/>
      <c r="I144" s="891">
        <v>0.87</v>
      </c>
      <c r="J144" s="891"/>
    </row>
    <row r="145" spans="1:6" ht="15.75">
      <c r="A145" s="499"/>
      <c r="B145" s="902"/>
      <c r="C145" s="902"/>
      <c r="D145" s="902"/>
      <c r="E145" s="499"/>
      <c r="F145" s="499"/>
    </row>
  </sheetData>
  <mergeCells count="252">
    <mergeCell ref="B32:F32"/>
    <mergeCell ref="G33:H33"/>
    <mergeCell ref="A1:K1"/>
    <mergeCell ref="A2:K2"/>
    <mergeCell ref="J62:K62"/>
    <mergeCell ref="J85:K85"/>
    <mergeCell ref="J109:K109"/>
    <mergeCell ref="J118:K118"/>
    <mergeCell ref="B4:K4"/>
    <mergeCell ref="F8:G8"/>
    <mergeCell ref="D8:E8"/>
    <mergeCell ref="D9:E9"/>
    <mergeCell ref="B27:F27"/>
    <mergeCell ref="B34:F34"/>
    <mergeCell ref="I17:J17"/>
    <mergeCell ref="I18:J18"/>
    <mergeCell ref="G22:H22"/>
    <mergeCell ref="G13:H13"/>
    <mergeCell ref="G14:H14"/>
    <mergeCell ref="F9:G9"/>
    <mergeCell ref="F7:G7"/>
    <mergeCell ref="I13:J13"/>
    <mergeCell ref="I14:J14"/>
    <mergeCell ref="I15:J15"/>
    <mergeCell ref="I16:J16"/>
    <mergeCell ref="B19:D19"/>
    <mergeCell ref="B8:C8"/>
    <mergeCell ref="B9:C9"/>
    <mergeCell ref="G28:H28"/>
    <mergeCell ref="G15:H15"/>
    <mergeCell ref="G16:H16"/>
    <mergeCell ref="G17:H17"/>
    <mergeCell ref="G18:H18"/>
    <mergeCell ref="B13:F13"/>
    <mergeCell ref="B14:F14"/>
    <mergeCell ref="B15:F15"/>
    <mergeCell ref="B16:F16"/>
    <mergeCell ref="B17:F17"/>
    <mergeCell ref="B18:F18"/>
    <mergeCell ref="G34:H34"/>
    <mergeCell ref="I32:J32"/>
    <mergeCell ref="I33:J33"/>
    <mergeCell ref="I34:J34"/>
    <mergeCell ref="I28:J28"/>
    <mergeCell ref="B22:F22"/>
    <mergeCell ref="B23:F23"/>
    <mergeCell ref="B24:F24"/>
    <mergeCell ref="B25:F25"/>
    <mergeCell ref="B26:F26"/>
    <mergeCell ref="B28:F28"/>
    <mergeCell ref="I22:J22"/>
    <mergeCell ref="I23:J23"/>
    <mergeCell ref="I24:J24"/>
    <mergeCell ref="I25:J25"/>
    <mergeCell ref="I26:J26"/>
    <mergeCell ref="I27:J27"/>
    <mergeCell ref="G23:H23"/>
    <mergeCell ref="G24:H24"/>
    <mergeCell ref="G25:H25"/>
    <mergeCell ref="G26:H26"/>
    <mergeCell ref="G27:H27"/>
    <mergeCell ref="B33:F33"/>
    <mergeCell ref="G32:H32"/>
    <mergeCell ref="B42:F42"/>
    <mergeCell ref="B45:F45"/>
    <mergeCell ref="B46:F46"/>
    <mergeCell ref="B44:F44"/>
    <mergeCell ref="B47:F47"/>
    <mergeCell ref="B48:F48"/>
    <mergeCell ref="B49:F49"/>
    <mergeCell ref="G48:J48"/>
    <mergeCell ref="G49:J49"/>
    <mergeCell ref="G42:J42"/>
    <mergeCell ref="G43:J43"/>
    <mergeCell ref="G45:J45"/>
    <mergeCell ref="G46:J46"/>
    <mergeCell ref="G44:J44"/>
    <mergeCell ref="G47:J47"/>
    <mergeCell ref="B50:F50"/>
    <mergeCell ref="B51:F51"/>
    <mergeCell ref="A58:K58"/>
    <mergeCell ref="A59:K59"/>
    <mergeCell ref="H63:K63"/>
    <mergeCell ref="J64:K64"/>
    <mergeCell ref="B53:F53"/>
    <mergeCell ref="B52:F52"/>
    <mergeCell ref="B43:F43"/>
    <mergeCell ref="G50:J50"/>
    <mergeCell ref="G51:J51"/>
    <mergeCell ref="G52:J52"/>
    <mergeCell ref="G53:J53"/>
    <mergeCell ref="D63:G63"/>
    <mergeCell ref="A63:C64"/>
    <mergeCell ref="H71:I71"/>
    <mergeCell ref="J71:K71"/>
    <mergeCell ref="D64:E64"/>
    <mergeCell ref="F64:G64"/>
    <mergeCell ref="D65:E65"/>
    <mergeCell ref="F65:G65"/>
    <mergeCell ref="D66:E66"/>
    <mergeCell ref="F66:G66"/>
    <mergeCell ref="D67:E67"/>
    <mergeCell ref="F67:G67"/>
    <mergeCell ref="H68:I68"/>
    <mergeCell ref="J68:K68"/>
    <mergeCell ref="H69:I69"/>
    <mergeCell ref="J69:K69"/>
    <mergeCell ref="H70:I70"/>
    <mergeCell ref="J70:K70"/>
    <mergeCell ref="H64:I64"/>
    <mergeCell ref="H65:I65"/>
    <mergeCell ref="J65:K65"/>
    <mergeCell ref="H66:I66"/>
    <mergeCell ref="J66:K66"/>
    <mergeCell ref="H67:I67"/>
    <mergeCell ref="J67:K67"/>
    <mergeCell ref="A65:C65"/>
    <mergeCell ref="A66:C66"/>
    <mergeCell ref="A67:C67"/>
    <mergeCell ref="A68:C68"/>
    <mergeCell ref="A69:C69"/>
    <mergeCell ref="A70:C70"/>
    <mergeCell ref="D68:E68"/>
    <mergeCell ref="F68:G68"/>
    <mergeCell ref="F69:G69"/>
    <mergeCell ref="D69:E69"/>
    <mergeCell ref="D70:E70"/>
    <mergeCell ref="F70:G70"/>
    <mergeCell ref="A76:C76"/>
    <mergeCell ref="D76:E76"/>
    <mergeCell ref="F76:G76"/>
    <mergeCell ref="A77:C77"/>
    <mergeCell ref="D77:E77"/>
    <mergeCell ref="F77:G77"/>
    <mergeCell ref="A71:C71"/>
    <mergeCell ref="A74:C75"/>
    <mergeCell ref="D74:G74"/>
    <mergeCell ref="D75:E75"/>
    <mergeCell ref="F75:G75"/>
    <mergeCell ref="D71:E71"/>
    <mergeCell ref="F71:G71"/>
    <mergeCell ref="A80:C80"/>
    <mergeCell ref="D80:E80"/>
    <mergeCell ref="F80:G80"/>
    <mergeCell ref="A81:C81"/>
    <mergeCell ref="D81:E81"/>
    <mergeCell ref="F81:G81"/>
    <mergeCell ref="A78:C78"/>
    <mergeCell ref="D78:E78"/>
    <mergeCell ref="F78:G78"/>
    <mergeCell ref="A79:C79"/>
    <mergeCell ref="D79:E79"/>
    <mergeCell ref="F79:G79"/>
    <mergeCell ref="H88:I88"/>
    <mergeCell ref="J88:K88"/>
    <mergeCell ref="H89:I89"/>
    <mergeCell ref="J89:K89"/>
    <mergeCell ref="A88:G88"/>
    <mergeCell ref="A89:G89"/>
    <mergeCell ref="A82:C82"/>
    <mergeCell ref="D82:E82"/>
    <mergeCell ref="F82:G82"/>
    <mergeCell ref="H86:K86"/>
    <mergeCell ref="H87:I87"/>
    <mergeCell ref="J87:K87"/>
    <mergeCell ref="A86:G87"/>
    <mergeCell ref="H93:I93"/>
    <mergeCell ref="A96:C97"/>
    <mergeCell ref="D96:G96"/>
    <mergeCell ref="D97:E97"/>
    <mergeCell ref="F97:G97"/>
    <mergeCell ref="A98:C98"/>
    <mergeCell ref="D98:E98"/>
    <mergeCell ref="H90:I90"/>
    <mergeCell ref="J90:K90"/>
    <mergeCell ref="H91:I91"/>
    <mergeCell ref="J91:K91"/>
    <mergeCell ref="H92:I92"/>
    <mergeCell ref="J92:K92"/>
    <mergeCell ref="J93:K93"/>
    <mergeCell ref="A92:G92"/>
    <mergeCell ref="A93:G93"/>
    <mergeCell ref="A90:G90"/>
    <mergeCell ref="A91:G91"/>
    <mergeCell ref="A102:K102"/>
    <mergeCell ref="A103:K103"/>
    <mergeCell ref="C118:E118"/>
    <mergeCell ref="B128:D128"/>
    <mergeCell ref="G110:H110"/>
    <mergeCell ref="I110:J110"/>
    <mergeCell ref="F98:G98"/>
    <mergeCell ref="A99:C99"/>
    <mergeCell ref="D99:E99"/>
    <mergeCell ref="F99:G99"/>
    <mergeCell ref="A100:C100"/>
    <mergeCell ref="D100:E100"/>
    <mergeCell ref="F100:G100"/>
    <mergeCell ref="B112:D112"/>
    <mergeCell ref="B113:D113"/>
    <mergeCell ref="B114:D114"/>
    <mergeCell ref="B123:K124"/>
    <mergeCell ref="B145:D145"/>
    <mergeCell ref="B110:D110"/>
    <mergeCell ref="E110:F110"/>
    <mergeCell ref="E111:K114"/>
    <mergeCell ref="B111:D111"/>
    <mergeCell ref="I119:J119"/>
    <mergeCell ref="G119:H119"/>
    <mergeCell ref="B119:F119"/>
    <mergeCell ref="B120:F120"/>
    <mergeCell ref="B121:F121"/>
    <mergeCell ref="B122:F122"/>
    <mergeCell ref="G120:H120"/>
    <mergeCell ref="G121:H121"/>
    <mergeCell ref="G122:H122"/>
    <mergeCell ref="I120:J120"/>
    <mergeCell ref="B131:F131"/>
    <mergeCell ref="G131:H131"/>
    <mergeCell ref="I131:J131"/>
    <mergeCell ref="B132:F132"/>
    <mergeCell ref="G132:H132"/>
    <mergeCell ref="I132:J132"/>
    <mergeCell ref="I121:J121"/>
    <mergeCell ref="I122:J122"/>
    <mergeCell ref="B130:F130"/>
    <mergeCell ref="G130:H130"/>
    <mergeCell ref="I130:J130"/>
    <mergeCell ref="B139:F139"/>
    <mergeCell ref="G139:H139"/>
    <mergeCell ref="I139:J139"/>
    <mergeCell ref="B140:F140"/>
    <mergeCell ref="G140:H140"/>
    <mergeCell ref="I140:J140"/>
    <mergeCell ref="B133:F133"/>
    <mergeCell ref="G133:H133"/>
    <mergeCell ref="I133:J133"/>
    <mergeCell ref="B134:F134"/>
    <mergeCell ref="G134:H134"/>
    <mergeCell ref="I134:J134"/>
    <mergeCell ref="B137:D137"/>
    <mergeCell ref="B144:F144"/>
    <mergeCell ref="G144:H144"/>
    <mergeCell ref="I144:J144"/>
    <mergeCell ref="B143:F143"/>
    <mergeCell ref="G143:H143"/>
    <mergeCell ref="I143:J143"/>
    <mergeCell ref="B141:F141"/>
    <mergeCell ref="G141:H141"/>
    <mergeCell ref="I141:J141"/>
    <mergeCell ref="B142:F142"/>
    <mergeCell ref="G142:H142"/>
    <mergeCell ref="I142:J142"/>
  </mergeCells>
  <pageMargins left="0.70866141732283472" right="0.70866141732283472" top="0.74803149606299213" bottom="0.74803149606299213" header="0.31496062992125984" footer="0.31496062992125984"/>
  <pageSetup paperSize="9" scale="85" orientation="portrait" r:id="rId1"/>
</worksheet>
</file>

<file path=xl/worksheets/sheet21.xml><?xml version="1.0" encoding="utf-8"?>
<worksheet xmlns="http://schemas.openxmlformats.org/spreadsheetml/2006/main" xmlns:r="http://schemas.openxmlformats.org/officeDocument/2006/relationships">
  <dimension ref="A1:M59"/>
  <sheetViews>
    <sheetView topLeftCell="A46" workbookViewId="0">
      <selection activeCell="G57" sqref="G57"/>
    </sheetView>
  </sheetViews>
  <sheetFormatPr defaultRowHeight="15"/>
  <cols>
    <col min="1" max="1" width="5.28515625" customWidth="1"/>
    <col min="5" max="5" width="6.28515625" customWidth="1"/>
    <col min="7" max="7" width="10.7109375" customWidth="1"/>
    <col min="8" max="8" width="10.85546875" customWidth="1"/>
    <col min="9" max="9" width="12.7109375" customWidth="1"/>
    <col min="10" max="10" width="12.140625" customWidth="1"/>
  </cols>
  <sheetData>
    <row r="1" spans="1:11" s="328" customFormat="1" ht="18">
      <c r="A1" s="784" t="str">
        <f>'[4]Prior Period Error_1'!B1</f>
        <v>Bihar State Power Transmission Company Limited.</v>
      </c>
      <c r="B1" s="784"/>
      <c r="C1" s="784"/>
      <c r="D1" s="784"/>
      <c r="E1" s="784"/>
      <c r="F1" s="784"/>
      <c r="G1" s="784"/>
      <c r="H1" s="784"/>
      <c r="I1" s="784"/>
      <c r="J1" s="784"/>
      <c r="K1" s="784"/>
    </row>
    <row r="2" spans="1:11" s="328" customFormat="1" ht="15.75">
      <c r="A2" s="785" t="s">
        <v>553</v>
      </c>
      <c r="B2" s="785"/>
      <c r="C2" s="785"/>
      <c r="D2" s="785"/>
      <c r="E2" s="785"/>
      <c r="F2" s="785"/>
      <c r="G2" s="785"/>
      <c r="H2" s="785"/>
      <c r="I2" s="785"/>
      <c r="J2" s="785"/>
      <c r="K2" s="785"/>
    </row>
    <row r="4" spans="1:11" ht="15.75">
      <c r="A4" s="532">
        <v>14</v>
      </c>
      <c r="B4" s="51" t="s">
        <v>735</v>
      </c>
    </row>
    <row r="5" spans="1:11">
      <c r="A5" s="532"/>
    </row>
    <row r="6" spans="1:11" ht="15.75">
      <c r="A6" s="532"/>
      <c r="B6" s="926" t="s">
        <v>3</v>
      </c>
      <c r="C6" s="926"/>
      <c r="D6" s="926"/>
      <c r="E6" s="926"/>
      <c r="F6" s="926"/>
      <c r="G6" s="926" t="s">
        <v>719</v>
      </c>
      <c r="H6" s="926"/>
    </row>
    <row r="7" spans="1:11" ht="15.75">
      <c r="A7" s="532"/>
      <c r="B7" s="927" t="s">
        <v>734</v>
      </c>
      <c r="C7" s="927"/>
      <c r="D7" s="927"/>
      <c r="E7" s="927"/>
      <c r="F7" s="927"/>
      <c r="G7" s="952" t="s">
        <v>714</v>
      </c>
      <c r="H7" s="952"/>
    </row>
    <row r="8" spans="1:11" ht="15.75">
      <c r="A8" s="532"/>
      <c r="B8" s="927" t="s">
        <v>709</v>
      </c>
      <c r="C8" s="927"/>
      <c r="D8" s="927"/>
      <c r="E8" s="927"/>
      <c r="F8" s="927"/>
      <c r="G8" s="952" t="s">
        <v>715</v>
      </c>
      <c r="H8" s="952"/>
    </row>
    <row r="9" spans="1:11" ht="15.75">
      <c r="A9" s="532"/>
      <c r="B9" s="927" t="s">
        <v>710</v>
      </c>
      <c r="C9" s="927"/>
      <c r="D9" s="927"/>
      <c r="E9" s="927"/>
      <c r="F9" s="927"/>
      <c r="G9" s="952"/>
      <c r="H9" s="952"/>
    </row>
    <row r="10" spans="1:11" ht="15.75">
      <c r="A10" s="532"/>
      <c r="B10" s="956" t="s">
        <v>711</v>
      </c>
      <c r="C10" s="957"/>
      <c r="D10" s="957"/>
      <c r="E10" s="957"/>
      <c r="F10" s="958"/>
      <c r="G10" s="959" t="s">
        <v>716</v>
      </c>
      <c r="H10" s="960"/>
    </row>
    <row r="11" spans="1:11" ht="15.75">
      <c r="A11" s="532"/>
      <c r="B11" s="956" t="s">
        <v>712</v>
      </c>
      <c r="C11" s="957"/>
      <c r="D11" s="957"/>
      <c r="E11" s="957"/>
      <c r="F11" s="958"/>
      <c r="G11" s="959" t="s">
        <v>717</v>
      </c>
      <c r="H11" s="960"/>
    </row>
    <row r="12" spans="1:11" ht="15.75">
      <c r="A12" s="532"/>
      <c r="B12" s="956" t="s">
        <v>713</v>
      </c>
      <c r="C12" s="957"/>
      <c r="D12" s="957"/>
      <c r="E12" s="957"/>
      <c r="F12" s="958"/>
      <c r="G12" s="959" t="s">
        <v>718</v>
      </c>
      <c r="H12" s="960"/>
    </row>
    <row r="13" spans="1:11" ht="15.75">
      <c r="A13" s="532"/>
      <c r="B13" s="927" t="s">
        <v>736</v>
      </c>
      <c r="C13" s="927"/>
      <c r="D13" s="927"/>
      <c r="E13" s="927"/>
      <c r="F13" s="927"/>
      <c r="G13" s="952" t="s">
        <v>737</v>
      </c>
      <c r="H13" s="952"/>
    </row>
    <row r="14" spans="1:11">
      <c r="A14" s="532"/>
    </row>
    <row r="15" spans="1:11" ht="15.75">
      <c r="A15" s="532">
        <v>15</v>
      </c>
      <c r="B15" s="51" t="s">
        <v>720</v>
      </c>
    </row>
    <row r="16" spans="1:11" ht="15.75">
      <c r="A16" s="532"/>
      <c r="B16" s="51"/>
      <c r="I16" s="949" t="s">
        <v>728</v>
      </c>
      <c r="J16" s="949"/>
      <c r="K16" s="660"/>
    </row>
    <row r="17" spans="1:13" ht="33.75" customHeight="1">
      <c r="A17" s="532"/>
      <c r="B17" s="951" t="s">
        <v>3</v>
      </c>
      <c r="C17" s="951"/>
      <c r="D17" s="951"/>
      <c r="E17" s="951"/>
      <c r="F17" s="951"/>
      <c r="G17" s="950" t="s">
        <v>885</v>
      </c>
      <c r="H17" s="950"/>
      <c r="I17" s="948" t="s">
        <v>884</v>
      </c>
      <c r="J17" s="948"/>
    </row>
    <row r="18" spans="1:13" ht="33.75" customHeight="1">
      <c r="A18" s="532"/>
      <c r="B18" s="951"/>
      <c r="C18" s="951"/>
      <c r="D18" s="951"/>
      <c r="E18" s="951"/>
      <c r="F18" s="951"/>
      <c r="G18" s="663" t="s">
        <v>887</v>
      </c>
      <c r="H18" s="663" t="s">
        <v>888</v>
      </c>
      <c r="I18" s="663" t="s">
        <v>887</v>
      </c>
      <c r="J18" s="663" t="s">
        <v>888</v>
      </c>
      <c r="M18" s="661"/>
    </row>
    <row r="19" spans="1:13" ht="15.75">
      <c r="A19" s="532"/>
      <c r="B19" s="961" t="s">
        <v>721</v>
      </c>
      <c r="C19" s="961"/>
      <c r="D19" s="961"/>
      <c r="E19" s="961"/>
      <c r="F19" s="961"/>
      <c r="G19" s="664">
        <v>87</v>
      </c>
      <c r="H19" s="962">
        <v>99</v>
      </c>
      <c r="I19" s="664" t="s">
        <v>889</v>
      </c>
      <c r="J19" s="664" t="s">
        <v>889</v>
      </c>
      <c r="M19" s="661"/>
    </row>
    <row r="20" spans="1:13" ht="15.75">
      <c r="B20" s="961" t="s">
        <v>722</v>
      </c>
      <c r="C20" s="961"/>
      <c r="D20" s="961"/>
      <c r="E20" s="961"/>
      <c r="F20" s="961"/>
      <c r="G20" s="664">
        <v>7</v>
      </c>
      <c r="H20" s="963"/>
      <c r="I20" s="664" t="s">
        <v>889</v>
      </c>
      <c r="J20" s="664" t="s">
        <v>889</v>
      </c>
      <c r="M20" s="661"/>
    </row>
    <row r="21" spans="1:13" ht="15.75">
      <c r="B21" s="961" t="s">
        <v>723</v>
      </c>
      <c r="C21" s="961"/>
      <c r="D21" s="961"/>
      <c r="E21" s="961"/>
      <c r="F21" s="961"/>
      <c r="G21" s="664">
        <v>4</v>
      </c>
      <c r="H21" s="963"/>
      <c r="I21" s="664" t="s">
        <v>889</v>
      </c>
      <c r="J21" s="664" t="s">
        <v>889</v>
      </c>
      <c r="M21" s="661"/>
    </row>
    <row r="22" spans="1:13" ht="15.75">
      <c r="B22" s="961" t="s">
        <v>724</v>
      </c>
      <c r="C22" s="961"/>
      <c r="D22" s="961"/>
      <c r="E22" s="961"/>
      <c r="F22" s="961"/>
      <c r="G22" s="664">
        <v>1</v>
      </c>
      <c r="H22" s="964"/>
      <c r="I22" s="664" t="s">
        <v>889</v>
      </c>
      <c r="J22" s="664" t="s">
        <v>889</v>
      </c>
      <c r="M22" s="661"/>
    </row>
    <row r="23" spans="1:13" ht="15.75">
      <c r="B23" s="961" t="s">
        <v>882</v>
      </c>
      <c r="C23" s="961"/>
      <c r="D23" s="961"/>
      <c r="E23" s="961"/>
      <c r="F23" s="961"/>
      <c r="G23" s="664">
        <v>1</v>
      </c>
      <c r="H23" s="665">
        <v>2</v>
      </c>
      <c r="I23" s="664">
        <v>1138</v>
      </c>
      <c r="J23" s="664">
        <f>1138+4422</f>
        <v>5560</v>
      </c>
      <c r="M23" s="661"/>
    </row>
    <row r="24" spans="1:13" ht="15.75">
      <c r="B24" s="961" t="s">
        <v>883</v>
      </c>
      <c r="C24" s="961"/>
      <c r="D24" s="961"/>
      <c r="E24" s="961"/>
      <c r="F24" s="961"/>
      <c r="G24" s="664">
        <v>1</v>
      </c>
      <c r="H24" s="665">
        <v>1</v>
      </c>
      <c r="I24" s="664">
        <v>51</v>
      </c>
      <c r="J24" s="664">
        <v>51</v>
      </c>
    </row>
    <row r="25" spans="1:13" ht="28.5" customHeight="1">
      <c r="B25" s="965" t="s">
        <v>886</v>
      </c>
      <c r="C25" s="965"/>
      <c r="D25" s="965"/>
      <c r="E25" s="965"/>
      <c r="F25" s="965"/>
      <c r="G25" s="965"/>
      <c r="H25" s="965"/>
      <c r="I25" s="965"/>
      <c r="J25" s="965"/>
      <c r="K25" s="662"/>
    </row>
    <row r="26" spans="1:13" ht="6.75" customHeight="1"/>
    <row r="27" spans="1:13" ht="15.75">
      <c r="A27" s="532">
        <v>16</v>
      </c>
      <c r="B27" s="9" t="s">
        <v>890</v>
      </c>
    </row>
    <row r="28" spans="1:13" ht="8.25" customHeight="1"/>
    <row r="29" spans="1:13" ht="15.75">
      <c r="A29" s="532">
        <v>17</v>
      </c>
      <c r="B29" s="946" t="s">
        <v>670</v>
      </c>
      <c r="C29" s="946"/>
      <c r="D29" s="946"/>
      <c r="E29" s="946"/>
      <c r="F29" s="946"/>
      <c r="G29" s="946"/>
      <c r="H29" s="946"/>
      <c r="I29" s="16"/>
      <c r="J29" s="16"/>
      <c r="K29" s="16"/>
    </row>
    <row r="30" spans="1:13" ht="30" customHeight="1">
      <c r="A30" s="510"/>
      <c r="B30" s="947" t="s">
        <v>671</v>
      </c>
      <c r="C30" s="947"/>
      <c r="D30" s="947"/>
      <c r="E30" s="947"/>
      <c r="F30" s="947"/>
      <c r="G30" s="947"/>
      <c r="H30" s="947"/>
      <c r="I30" s="947"/>
      <c r="J30" s="947"/>
      <c r="K30" s="947"/>
    </row>
    <row r="31" spans="1:13" ht="15.75">
      <c r="A31" s="510"/>
      <c r="B31" s="499"/>
      <c r="C31" s="16"/>
      <c r="D31" s="16"/>
      <c r="E31" s="16"/>
      <c r="F31" s="16"/>
      <c r="G31" s="16"/>
      <c r="H31" s="16"/>
      <c r="I31" s="16"/>
      <c r="J31" s="943" t="s">
        <v>728</v>
      </c>
      <c r="K31" s="943"/>
      <c r="L31" s="511"/>
    </row>
    <row r="32" spans="1:13" ht="54.75" customHeight="1">
      <c r="A32" s="510"/>
      <c r="B32" s="900" t="s">
        <v>3</v>
      </c>
      <c r="C32" s="900"/>
      <c r="D32" s="900"/>
      <c r="E32" s="900"/>
      <c r="F32" s="900"/>
      <c r="G32" s="900"/>
      <c r="H32" s="900" t="s">
        <v>618</v>
      </c>
      <c r="I32" s="900"/>
      <c r="J32" s="900" t="s">
        <v>619</v>
      </c>
      <c r="K32" s="900"/>
    </row>
    <row r="33" spans="1:11" ht="18" customHeight="1">
      <c r="A33" s="510"/>
      <c r="B33" s="953" t="s">
        <v>672</v>
      </c>
      <c r="C33" s="953"/>
      <c r="D33" s="953"/>
      <c r="E33" s="953"/>
      <c r="F33" s="953"/>
      <c r="G33" s="953"/>
      <c r="H33" s="955" t="s">
        <v>501</v>
      </c>
      <c r="I33" s="955"/>
      <c r="J33" s="955"/>
      <c r="K33" s="955"/>
    </row>
    <row r="34" spans="1:11" ht="18" customHeight="1">
      <c r="A34" s="510"/>
      <c r="B34" s="953" t="s">
        <v>362</v>
      </c>
      <c r="C34" s="953"/>
      <c r="D34" s="953"/>
      <c r="E34" s="953"/>
      <c r="F34" s="953"/>
      <c r="G34" s="953"/>
      <c r="H34" s="955"/>
      <c r="I34" s="955"/>
      <c r="J34" s="955"/>
      <c r="K34" s="955"/>
    </row>
    <row r="35" spans="1:11" ht="18" customHeight="1">
      <c r="A35" s="510"/>
      <c r="B35" s="906" t="s">
        <v>673</v>
      </c>
      <c r="C35" s="906"/>
      <c r="D35" s="906"/>
      <c r="E35" s="906"/>
      <c r="F35" s="906"/>
      <c r="G35" s="906"/>
      <c r="H35" s="955"/>
      <c r="I35" s="955"/>
      <c r="J35" s="955"/>
      <c r="K35" s="955"/>
    </row>
    <row r="36" spans="1:11" ht="18" customHeight="1">
      <c r="A36" s="510"/>
      <c r="B36" s="953" t="s">
        <v>674</v>
      </c>
      <c r="C36" s="953"/>
      <c r="D36" s="953"/>
      <c r="E36" s="953"/>
      <c r="F36" s="953"/>
      <c r="G36" s="953"/>
      <c r="H36" s="955"/>
      <c r="I36" s="955"/>
      <c r="J36" s="955"/>
      <c r="K36" s="955"/>
    </row>
    <row r="37" spans="1:11" ht="18" customHeight="1">
      <c r="A37" s="510"/>
      <c r="B37" s="906" t="s">
        <v>675</v>
      </c>
      <c r="C37" s="906"/>
      <c r="D37" s="906"/>
      <c r="E37" s="906"/>
      <c r="F37" s="906"/>
      <c r="G37" s="906"/>
      <c r="H37" s="955"/>
      <c r="I37" s="955"/>
      <c r="J37" s="955"/>
      <c r="K37" s="955"/>
    </row>
    <row r="38" spans="1:11" ht="18" customHeight="1">
      <c r="A38" s="510"/>
      <c r="B38" s="953" t="s">
        <v>676</v>
      </c>
      <c r="C38" s="953"/>
      <c r="D38" s="953"/>
      <c r="E38" s="953"/>
      <c r="F38" s="953"/>
      <c r="G38" s="953"/>
      <c r="H38" s="955"/>
      <c r="I38" s="955"/>
      <c r="J38" s="955"/>
      <c r="K38" s="955"/>
    </row>
    <row r="39" spans="1:11" ht="18" customHeight="1">
      <c r="A39" s="510"/>
      <c r="B39" s="953" t="s">
        <v>677</v>
      </c>
      <c r="C39" s="953"/>
      <c r="D39" s="953"/>
      <c r="E39" s="953"/>
      <c r="F39" s="953"/>
      <c r="G39" s="953"/>
      <c r="H39" s="955"/>
      <c r="I39" s="955"/>
      <c r="J39" s="955"/>
      <c r="K39" s="955"/>
    </row>
    <row r="40" spans="1:11" ht="18" customHeight="1">
      <c r="A40" s="510"/>
      <c r="B40" s="906" t="s">
        <v>675</v>
      </c>
      <c r="C40" s="906"/>
      <c r="D40" s="906"/>
      <c r="E40" s="906"/>
      <c r="F40" s="906"/>
      <c r="G40" s="906"/>
      <c r="H40" s="955"/>
      <c r="I40" s="955"/>
      <c r="J40" s="955"/>
      <c r="K40" s="955"/>
    </row>
    <row r="41" spans="1:11" ht="18" customHeight="1">
      <c r="A41" s="510"/>
      <c r="B41" s="953" t="s">
        <v>678</v>
      </c>
      <c r="C41" s="953"/>
      <c r="D41" s="953"/>
      <c r="E41" s="953"/>
      <c r="F41" s="953"/>
      <c r="G41" s="953"/>
      <c r="H41" s="955"/>
      <c r="I41" s="955"/>
      <c r="J41" s="955"/>
      <c r="K41" s="955"/>
    </row>
    <row r="42" spans="1:11" ht="18" customHeight="1">
      <c r="B42" s="16"/>
      <c r="C42" s="16"/>
      <c r="D42" s="16"/>
      <c r="E42" s="16"/>
      <c r="F42" s="16"/>
      <c r="G42" s="16"/>
      <c r="H42" s="16"/>
      <c r="I42" s="16"/>
      <c r="J42" s="16"/>
      <c r="K42" s="16"/>
    </row>
    <row r="43" spans="1:11" s="1" customFormat="1" ht="15" customHeight="1">
      <c r="A43" s="7" t="s">
        <v>338</v>
      </c>
      <c r="B43" s="7" t="s">
        <v>339</v>
      </c>
      <c r="C43" s="65"/>
      <c r="D43" s="7"/>
      <c r="E43" s="7"/>
      <c r="F43" s="7"/>
      <c r="G43" s="7"/>
      <c r="H43" s="7"/>
    </row>
    <row r="44" spans="1:11" s="1" customFormat="1" ht="15" customHeight="1">
      <c r="A44" s="7"/>
      <c r="B44" s="7" t="s">
        <v>686</v>
      </c>
      <c r="C44" s="65"/>
      <c r="D44" s="7"/>
      <c r="E44" s="7"/>
      <c r="F44" s="746" t="s">
        <v>687</v>
      </c>
      <c r="G44" s="746"/>
      <c r="H44" s="746"/>
      <c r="I44" s="746"/>
    </row>
    <row r="45" spans="1:11" s="1" customFormat="1" ht="15" customHeight="1">
      <c r="A45" s="7"/>
      <c r="B45" s="7" t="s">
        <v>399</v>
      </c>
      <c r="C45" s="65"/>
      <c r="D45" s="7"/>
      <c r="E45" s="7"/>
      <c r="F45" s="7"/>
      <c r="G45" s="7"/>
      <c r="H45" s="7"/>
    </row>
    <row r="46" spans="1:11" s="1" customFormat="1" ht="15" customHeight="1">
      <c r="A46" s="7"/>
      <c r="B46" s="7"/>
      <c r="C46" s="65"/>
      <c r="D46" s="7"/>
      <c r="E46" s="7"/>
      <c r="F46" s="7"/>
      <c r="G46" s="7"/>
      <c r="H46" s="7"/>
    </row>
    <row r="47" spans="1:11" s="1" customFormat="1" ht="15" customHeight="1">
      <c r="A47" s="7"/>
      <c r="B47" s="7"/>
      <c r="C47" s="327" t="s">
        <v>680</v>
      </c>
      <c r="D47" s="66"/>
      <c r="E47" s="954" t="s">
        <v>684</v>
      </c>
      <c r="F47" s="954"/>
      <c r="G47" s="66"/>
      <c r="H47" s="746" t="s">
        <v>340</v>
      </c>
      <c r="I47" s="746"/>
      <c r="J47" s="746"/>
      <c r="K47" s="746"/>
    </row>
    <row r="48" spans="1:11" s="1" customFormat="1" ht="15" customHeight="1">
      <c r="A48" s="7"/>
      <c r="B48" s="7"/>
      <c r="C48" s="327" t="s">
        <v>681</v>
      </c>
      <c r="D48" s="954" t="s">
        <v>685</v>
      </c>
      <c r="E48" s="954"/>
      <c r="F48" s="954"/>
      <c r="G48" s="954"/>
      <c r="H48" s="746" t="s">
        <v>402</v>
      </c>
      <c r="I48" s="746"/>
      <c r="J48" s="746"/>
      <c r="K48" s="746"/>
    </row>
    <row r="49" spans="1:11" s="1" customFormat="1" ht="15" customHeight="1">
      <c r="A49" s="7"/>
      <c r="B49" s="176" t="s">
        <v>341</v>
      </c>
      <c r="C49" s="65"/>
      <c r="D49" s="7"/>
      <c r="E49" s="7"/>
      <c r="F49" s="7"/>
      <c r="G49" s="7"/>
      <c r="H49" s="7"/>
    </row>
    <row r="50" spans="1:11" s="1" customFormat="1" ht="15" customHeight="1">
      <c r="A50" s="7"/>
      <c r="B50" s="7" t="s">
        <v>400</v>
      </c>
      <c r="C50" s="7"/>
      <c r="D50" s="7"/>
      <c r="E50" s="7"/>
      <c r="F50" s="7"/>
      <c r="G50" s="7"/>
      <c r="H50" s="7"/>
    </row>
    <row r="51" spans="1:11" s="1" customFormat="1" ht="15" customHeight="1">
      <c r="A51" s="7"/>
      <c r="B51" s="7" t="s">
        <v>342</v>
      </c>
      <c r="C51" s="7"/>
      <c r="D51" s="7"/>
      <c r="E51" s="7"/>
      <c r="F51" s="7"/>
      <c r="G51" s="7"/>
      <c r="H51" s="7"/>
    </row>
    <row r="52" spans="1:11" s="1" customFormat="1" ht="15" customHeight="1">
      <c r="A52" s="7" t="s">
        <v>343</v>
      </c>
      <c r="B52" s="7" t="s">
        <v>899</v>
      </c>
      <c r="C52" s="327" t="s">
        <v>683</v>
      </c>
      <c r="D52" s="66"/>
      <c r="E52" s="954"/>
      <c r="F52" s="954"/>
      <c r="G52" s="66"/>
      <c r="H52" s="7"/>
      <c r="I52" s="746" t="s">
        <v>396</v>
      </c>
      <c r="J52" s="746"/>
      <c r="K52" s="746"/>
    </row>
    <row r="53" spans="1:11" s="1" customFormat="1" ht="15" customHeight="1">
      <c r="A53" s="7" t="s">
        <v>345</v>
      </c>
      <c r="B53" s="7"/>
      <c r="C53" s="327" t="s">
        <v>682</v>
      </c>
      <c r="D53" s="746"/>
      <c r="E53" s="746"/>
      <c r="F53" s="746"/>
      <c r="G53" s="746"/>
      <c r="H53" s="7"/>
      <c r="I53" s="746" t="s">
        <v>403</v>
      </c>
      <c r="J53" s="746"/>
      <c r="K53" s="746"/>
    </row>
    <row r="54" spans="1:11" ht="18" customHeight="1">
      <c r="B54" s="16"/>
      <c r="C54" s="16"/>
      <c r="D54" s="16"/>
      <c r="E54" s="16"/>
      <c r="F54" s="16"/>
      <c r="G54" s="16"/>
      <c r="H54" s="16"/>
      <c r="I54" s="16"/>
      <c r="J54" s="16"/>
      <c r="K54" s="16"/>
    </row>
    <row r="55" spans="1:11" ht="18" customHeight="1">
      <c r="B55" s="16"/>
      <c r="C55" s="16"/>
      <c r="D55" s="16"/>
      <c r="E55" s="16"/>
      <c r="F55" s="16"/>
      <c r="G55" s="16"/>
      <c r="H55" s="16"/>
      <c r="I55" s="16"/>
      <c r="J55" s="16"/>
      <c r="K55" s="16"/>
    </row>
    <row r="56" spans="1:11" ht="18" customHeight="1">
      <c r="B56" s="16"/>
      <c r="C56" s="16"/>
      <c r="D56" s="16"/>
      <c r="E56" s="16"/>
      <c r="F56" s="16"/>
      <c r="G56" s="16"/>
      <c r="H56" s="16"/>
      <c r="I56" s="16"/>
      <c r="J56" s="16"/>
      <c r="K56" s="16"/>
    </row>
    <row r="57" spans="1:11" ht="18" customHeight="1">
      <c r="B57" s="16"/>
      <c r="C57" s="16"/>
      <c r="D57" s="16"/>
      <c r="E57" s="16"/>
      <c r="F57" s="16"/>
      <c r="G57" s="16"/>
      <c r="H57" s="16"/>
      <c r="I57" s="16"/>
      <c r="J57" s="16"/>
      <c r="K57" s="16"/>
    </row>
    <row r="58" spans="1:11" ht="18" customHeight="1">
      <c r="B58" s="16"/>
      <c r="C58" s="16"/>
      <c r="D58" s="16"/>
      <c r="E58" s="16"/>
      <c r="F58" s="16"/>
      <c r="G58" s="16"/>
      <c r="H58" s="16"/>
      <c r="I58" s="16"/>
      <c r="J58" s="16"/>
      <c r="K58" s="16"/>
    </row>
    <row r="59" spans="1:11" ht="18" customHeight="1"/>
  </sheetData>
  <mergeCells count="55">
    <mergeCell ref="G11:H11"/>
    <mergeCell ref="G12:H12"/>
    <mergeCell ref="J31:K31"/>
    <mergeCell ref="B20:F20"/>
    <mergeCell ref="B21:F21"/>
    <mergeCell ref="B22:F22"/>
    <mergeCell ref="H19:H22"/>
    <mergeCell ref="B19:F19"/>
    <mergeCell ref="B23:F23"/>
    <mergeCell ref="B24:F24"/>
    <mergeCell ref="B25:J25"/>
    <mergeCell ref="G8:H8"/>
    <mergeCell ref="B9:F9"/>
    <mergeCell ref="G9:H9"/>
    <mergeCell ref="B39:G39"/>
    <mergeCell ref="B40:G40"/>
    <mergeCell ref="B33:G33"/>
    <mergeCell ref="B34:G34"/>
    <mergeCell ref="B35:G35"/>
    <mergeCell ref="B36:G36"/>
    <mergeCell ref="B37:G37"/>
    <mergeCell ref="B13:F13"/>
    <mergeCell ref="G13:H13"/>
    <mergeCell ref="B10:F10"/>
    <mergeCell ref="B11:F11"/>
    <mergeCell ref="B12:F12"/>
    <mergeCell ref="G10:H10"/>
    <mergeCell ref="B38:G38"/>
    <mergeCell ref="H47:K47"/>
    <mergeCell ref="H48:K48"/>
    <mergeCell ref="I52:K52"/>
    <mergeCell ref="I53:K53"/>
    <mergeCell ref="E47:F47"/>
    <mergeCell ref="D48:G48"/>
    <mergeCell ref="E52:F52"/>
    <mergeCell ref="D53:G53"/>
    <mergeCell ref="H33:K41"/>
    <mergeCell ref="F44:I44"/>
    <mergeCell ref="B41:G41"/>
    <mergeCell ref="A1:K1"/>
    <mergeCell ref="A2:K2"/>
    <mergeCell ref="B29:H29"/>
    <mergeCell ref="B30:K30"/>
    <mergeCell ref="H32:I32"/>
    <mergeCell ref="J32:K32"/>
    <mergeCell ref="B32:G32"/>
    <mergeCell ref="I17:J17"/>
    <mergeCell ref="I16:J16"/>
    <mergeCell ref="G17:H17"/>
    <mergeCell ref="B6:F6"/>
    <mergeCell ref="G6:H6"/>
    <mergeCell ref="B17:F18"/>
    <mergeCell ref="B7:F7"/>
    <mergeCell ref="G7:H7"/>
    <mergeCell ref="B8:F8"/>
  </mergeCells>
  <pageMargins left="0.45866141700000002" right="0.70866141732283505" top="0.55118110236220497" bottom="0.35433070866141703" header="0.31496062992126" footer="0.31496062992126"/>
  <pageSetup paperSize="9" scale="85" orientation="portrait" r:id="rId1"/>
</worksheet>
</file>

<file path=xl/worksheets/sheet3.xml><?xml version="1.0" encoding="utf-8"?>
<worksheet xmlns="http://schemas.openxmlformats.org/spreadsheetml/2006/main" xmlns:r="http://schemas.openxmlformats.org/officeDocument/2006/relationships">
  <dimension ref="A1:H58"/>
  <sheetViews>
    <sheetView topLeftCell="A32" workbookViewId="0">
      <selection activeCell="G42" sqref="G42"/>
    </sheetView>
  </sheetViews>
  <sheetFormatPr defaultRowHeight="15"/>
  <cols>
    <col min="1" max="1" width="8.28515625" customWidth="1"/>
    <col min="2" max="2" width="58.85546875" customWidth="1"/>
    <col min="3" max="4" width="17.85546875" customWidth="1"/>
    <col min="7" max="7" width="9.5703125" bestFit="1" customWidth="1"/>
  </cols>
  <sheetData>
    <row r="1" spans="1:8" s="1" customFormat="1" ht="21" customHeight="1">
      <c r="A1" s="741" t="s">
        <v>346</v>
      </c>
      <c r="B1" s="741"/>
      <c r="C1" s="741"/>
      <c r="D1" s="741"/>
    </row>
    <row r="2" spans="1:8" s="1" customFormat="1" ht="18" customHeight="1">
      <c r="A2" s="742" t="s">
        <v>909</v>
      </c>
      <c r="B2" s="742"/>
      <c r="C2" s="742"/>
      <c r="D2" s="742"/>
    </row>
    <row r="3" spans="1:8" s="1" customFormat="1" ht="18" customHeight="1">
      <c r="A3" s="705"/>
      <c r="B3" s="705"/>
      <c r="C3" s="705"/>
      <c r="D3" s="705"/>
    </row>
    <row r="4" spans="1:8" s="1" customFormat="1" ht="18" customHeight="1">
      <c r="A4" s="707"/>
      <c r="B4" s="707"/>
      <c r="C4" s="707"/>
      <c r="D4" s="525" t="s">
        <v>728</v>
      </c>
    </row>
    <row r="5" spans="1:8" s="1" customFormat="1" ht="19.5" customHeight="1">
      <c r="A5" s="706" t="s">
        <v>296</v>
      </c>
      <c r="B5" s="706" t="s">
        <v>3</v>
      </c>
      <c r="C5" s="706">
        <v>2019</v>
      </c>
      <c r="D5" s="706">
        <v>2018</v>
      </c>
    </row>
    <row r="6" spans="1:8" ht="15" customHeight="1">
      <c r="A6" s="717" t="s">
        <v>915</v>
      </c>
      <c r="B6" s="722" t="s">
        <v>936</v>
      </c>
      <c r="C6" s="718"/>
      <c r="D6" s="718"/>
    </row>
    <row r="7" spans="1:8" ht="15" customHeight="1">
      <c r="A7" s="717"/>
      <c r="B7" s="718" t="s">
        <v>910</v>
      </c>
      <c r="C7" s="719">
        <f>+'P&amp;L'!E18</f>
        <v>55970</v>
      </c>
      <c r="D7" s="719">
        <f>+'P&amp;L'!F18</f>
        <v>24083</v>
      </c>
    </row>
    <row r="8" spans="1:8" ht="15" customHeight="1">
      <c r="A8" s="717"/>
      <c r="B8" s="718" t="s">
        <v>911</v>
      </c>
      <c r="C8" s="719"/>
      <c r="D8" s="720"/>
    </row>
    <row r="9" spans="1:8" ht="15" customHeight="1">
      <c r="A9" s="717"/>
      <c r="B9" s="718" t="s">
        <v>211</v>
      </c>
      <c r="C9" s="719">
        <f>+'P&amp;L'!E14</f>
        <v>29900</v>
      </c>
      <c r="D9" s="738">
        <f>+'P&amp;L'!F14</f>
        <v>23680</v>
      </c>
    </row>
    <row r="10" spans="1:8" ht="15" hidden="1" customHeight="1">
      <c r="A10" s="717"/>
      <c r="B10" s="718"/>
      <c r="C10" s="719">
        <v>0</v>
      </c>
      <c r="D10" s="739"/>
      <c r="G10">
        <v>36.217039999999997</v>
      </c>
      <c r="H10">
        <v>100000</v>
      </c>
    </row>
    <row r="11" spans="1:8" ht="15" customHeight="1">
      <c r="A11" s="717"/>
      <c r="B11" s="718" t="s">
        <v>912</v>
      </c>
      <c r="C11" s="719">
        <f>+'P&amp;L'!E13</f>
        <v>1976</v>
      </c>
      <c r="D11" s="738">
        <f>+'P&amp;L'!F13</f>
        <v>4270</v>
      </c>
    </row>
    <row r="12" spans="1:8" ht="15" customHeight="1">
      <c r="A12" s="717"/>
      <c r="B12" s="718" t="s">
        <v>183</v>
      </c>
      <c r="C12" s="719">
        <f>-'P&amp;L21-22'!B34</f>
        <v>-8960.0084736000008</v>
      </c>
      <c r="D12" s="738">
        <f>-'P&amp;L21-22'!C34</f>
        <v>-1390.1759862000001</v>
      </c>
    </row>
    <row r="13" spans="1:8" ht="15" customHeight="1">
      <c r="A13" s="717"/>
      <c r="B13" s="718" t="s">
        <v>192</v>
      </c>
      <c r="C13" s="719">
        <f>-'P&amp;L21-22'!B42</f>
        <v>-6849.1435320000001</v>
      </c>
      <c r="D13" s="738">
        <f>-'P&amp;L21-22'!C42</f>
        <v>-6849.1435320000001</v>
      </c>
    </row>
    <row r="14" spans="1:8" ht="15" customHeight="1">
      <c r="A14" s="717"/>
      <c r="B14" s="718" t="s">
        <v>929</v>
      </c>
      <c r="C14" s="719">
        <f>+SOCIE!E22</f>
        <v>35985.752959999998</v>
      </c>
      <c r="D14" s="719">
        <f>+SOCIE!F22</f>
        <v>0</v>
      </c>
    </row>
    <row r="15" spans="1:8" ht="15" customHeight="1">
      <c r="A15" s="717"/>
      <c r="B15" s="718" t="s">
        <v>916</v>
      </c>
      <c r="C15" s="719">
        <f>-'P&amp;L'!E20-'P&amp;L'!E21</f>
        <v>-53185.607349999998</v>
      </c>
      <c r="D15" s="719">
        <f>-'P&amp;L'!F20-'P&amp;L'!F21</f>
        <v>-3021</v>
      </c>
    </row>
    <row r="16" spans="1:8" ht="15" customHeight="1">
      <c r="A16" s="717"/>
      <c r="B16" s="718" t="s">
        <v>913</v>
      </c>
      <c r="C16" s="719">
        <f>SUM(C7:C15)</f>
        <v>54836.993604399999</v>
      </c>
      <c r="D16" s="719">
        <f>SUM(D7:D15)</f>
        <v>40772.680481799995</v>
      </c>
    </row>
    <row r="17" spans="1:4" ht="15" customHeight="1">
      <c r="A17" s="717"/>
      <c r="B17" s="718" t="s">
        <v>911</v>
      </c>
      <c r="C17" s="719"/>
      <c r="D17" s="720"/>
    </row>
    <row r="18" spans="1:4" ht="15" customHeight="1">
      <c r="A18" s="717"/>
      <c r="B18" s="718" t="s">
        <v>914</v>
      </c>
      <c r="C18" s="719">
        <f>-SCWC!D22</f>
        <v>-108238.95124690002</v>
      </c>
      <c r="D18" s="719">
        <v>-11550</v>
      </c>
    </row>
    <row r="19" spans="1:4" ht="15" customHeight="1">
      <c r="A19" s="717"/>
      <c r="B19" s="718"/>
      <c r="C19" s="719"/>
      <c r="D19" s="721"/>
    </row>
    <row r="20" spans="1:4" ht="15" customHeight="1">
      <c r="A20" s="706"/>
      <c r="B20" s="723" t="s">
        <v>931</v>
      </c>
      <c r="C20" s="724">
        <f>+C16+C18</f>
        <v>-53401.95764250002</v>
      </c>
      <c r="D20" s="724">
        <f>+D16+D18</f>
        <v>29222.680481799995</v>
      </c>
    </row>
    <row r="21" spans="1:4" ht="15" customHeight="1">
      <c r="A21" s="717"/>
      <c r="B21" s="718"/>
      <c r="C21" s="719"/>
      <c r="D21" s="718"/>
    </row>
    <row r="22" spans="1:4" ht="15" customHeight="1">
      <c r="A22" s="717" t="s">
        <v>938</v>
      </c>
      <c r="B22" s="722" t="s">
        <v>917</v>
      </c>
      <c r="C22" s="719"/>
      <c r="D22" s="719"/>
    </row>
    <row r="23" spans="1:4" ht="15" customHeight="1">
      <c r="A23" s="717"/>
      <c r="B23" s="718" t="s">
        <v>918</v>
      </c>
      <c r="C23" s="719">
        <f>-'PPE-2'!L14</f>
        <v>-122371.8907449</v>
      </c>
      <c r="D23" s="719">
        <f>-'PPE-2'!L10</f>
        <v>-139357.85140330001</v>
      </c>
    </row>
    <row r="24" spans="1:4" ht="15" customHeight="1">
      <c r="A24" s="717"/>
      <c r="B24" s="718" t="s">
        <v>919</v>
      </c>
      <c r="C24" s="719">
        <f>+'PPE-2'!L15-'PPE-2'!L25</f>
        <v>498.99331000000006</v>
      </c>
      <c r="D24" s="734">
        <f>+'PPE-2'!L11</f>
        <v>227.92596</v>
      </c>
    </row>
    <row r="25" spans="1:4" ht="15" customHeight="1">
      <c r="A25" s="717"/>
      <c r="B25" s="718" t="s">
        <v>920</v>
      </c>
      <c r="C25" s="719">
        <f>+'PPE-2'!C46-'PPE-2'!B46</f>
        <v>49119.378900900017</v>
      </c>
      <c r="D25" s="734">
        <f>+'PPE-2'!D46-'PPE-2'!C46</f>
        <v>20543.506380699982</v>
      </c>
    </row>
    <row r="26" spans="1:4" ht="15" customHeight="1">
      <c r="A26" s="717"/>
      <c r="B26" s="718" t="s">
        <v>921</v>
      </c>
      <c r="C26" s="719">
        <f>+'BS3-11'!C8-'BS3-11'!B8</f>
        <v>26.434999999999995</v>
      </c>
      <c r="D26" s="719">
        <v>-1.5850000000000009</v>
      </c>
    </row>
    <row r="27" spans="1:4" ht="15" customHeight="1">
      <c r="A27" s="717"/>
      <c r="B27" s="718" t="s">
        <v>922</v>
      </c>
      <c r="C27" s="719">
        <f>+'BS3-11'!C29-'BS3-11'!B29</f>
        <v>94404.819214900024</v>
      </c>
      <c r="D27" s="732">
        <v>555.73659999998927</v>
      </c>
    </row>
    <row r="28" spans="1:4" ht="15" customHeight="1">
      <c r="A28" s="717"/>
      <c r="B28" s="718" t="s">
        <v>183</v>
      </c>
      <c r="C28" s="719">
        <f>-C12</f>
        <v>8960.0084736000008</v>
      </c>
      <c r="D28" s="729">
        <f>-D12</f>
        <v>1390.1759862000001</v>
      </c>
    </row>
    <row r="29" spans="1:4" ht="15" customHeight="1">
      <c r="A29" s="717"/>
      <c r="B29" s="718" t="s">
        <v>321</v>
      </c>
      <c r="C29" s="719">
        <f>+'P&amp;L'!E20</f>
        <v>11943.998</v>
      </c>
      <c r="D29" s="719">
        <f>+'P&amp;L'!F20</f>
        <v>5140</v>
      </c>
    </row>
    <row r="30" spans="1:4" ht="15" customHeight="1">
      <c r="A30" s="717"/>
      <c r="B30" s="718"/>
      <c r="C30" s="719"/>
      <c r="D30" s="718"/>
    </row>
    <row r="31" spans="1:4" ht="15" customHeight="1">
      <c r="A31" s="706"/>
      <c r="B31" s="723" t="s">
        <v>932</v>
      </c>
      <c r="C31" s="724">
        <f>SUM(C23:C30)</f>
        <v>42581.742154500047</v>
      </c>
      <c r="D31" s="724">
        <f>SUM(D23:D30)</f>
        <v>-111502.09147640005</v>
      </c>
    </row>
    <row r="32" spans="1:4" ht="15" customHeight="1">
      <c r="A32" s="717"/>
      <c r="B32" s="718"/>
      <c r="C32" s="719"/>
      <c r="D32" s="718"/>
    </row>
    <row r="33" spans="1:8" ht="15" customHeight="1">
      <c r="A33" s="717" t="s">
        <v>937</v>
      </c>
      <c r="B33" s="722" t="s">
        <v>923</v>
      </c>
      <c r="C33" s="719"/>
      <c r="D33" s="718"/>
    </row>
    <row r="34" spans="1:8" ht="15" customHeight="1">
      <c r="A34" s="717"/>
      <c r="B34" s="718" t="s">
        <v>924</v>
      </c>
      <c r="C34" s="719">
        <f>+'BS13-20'!B40</f>
        <v>4805.9890233000006</v>
      </c>
      <c r="D34" s="734">
        <f>+'BS13-20'!C40</f>
        <v>22036.083906199998</v>
      </c>
    </row>
    <row r="35" spans="1:8" ht="15" customHeight="1">
      <c r="A35" s="717"/>
      <c r="B35" s="718" t="s">
        <v>925</v>
      </c>
      <c r="C35" s="719">
        <f>+'BS13-20'!B16</f>
        <v>97248.876980000001</v>
      </c>
      <c r="D35" s="733">
        <f>+'BS13-20'!C16</f>
        <v>54120.53</v>
      </c>
    </row>
    <row r="36" spans="1:8" ht="15" customHeight="1">
      <c r="A36" s="717"/>
      <c r="B36" s="718" t="s">
        <v>927</v>
      </c>
      <c r="C36" s="719">
        <f>+'BS13-20'!B61-'BS13-20'!C61</f>
        <v>-17780.914259999998</v>
      </c>
      <c r="D36" s="734">
        <v>3236.7759399999923</v>
      </c>
    </row>
    <row r="37" spans="1:8" ht="15" customHeight="1">
      <c r="A37" s="717"/>
      <c r="B37" s="718" t="s">
        <v>928</v>
      </c>
      <c r="C37" s="719">
        <f>+'BS13-20'!B76-'BS13-20'!C76</f>
        <v>-86746.278129999992</v>
      </c>
      <c r="D37" s="734">
        <v>4456.7540699999954</v>
      </c>
    </row>
    <row r="38" spans="1:8" ht="15" customHeight="1">
      <c r="A38" s="717"/>
      <c r="B38" s="718" t="s">
        <v>926</v>
      </c>
      <c r="C38" s="719">
        <f>+BS!E43-BS!F43-0.4012459</f>
        <v>29297.36266176909</v>
      </c>
      <c r="D38" s="719">
        <v>-7258.8758654247795</v>
      </c>
    </row>
    <row r="39" spans="1:8" ht="15" customHeight="1">
      <c r="A39" s="717"/>
      <c r="B39" s="718" t="s">
        <v>201</v>
      </c>
      <c r="C39" s="719">
        <f>-C11</f>
        <v>-1976</v>
      </c>
      <c r="D39" s="719">
        <f>-D11</f>
        <v>-4270</v>
      </c>
    </row>
    <row r="40" spans="1:8" ht="15" customHeight="1">
      <c r="A40" s="717"/>
      <c r="B40" s="718"/>
      <c r="C40" s="719"/>
      <c r="D40" s="718"/>
    </row>
    <row r="41" spans="1:8" ht="15" customHeight="1">
      <c r="A41" s="706"/>
      <c r="B41" s="723" t="s">
        <v>933</v>
      </c>
      <c r="C41" s="724">
        <f>SUM(C34:C40)</f>
        <v>24849.036275069113</v>
      </c>
      <c r="D41" s="724">
        <f>SUM(D34:D40)</f>
        <v>72321.268050775208</v>
      </c>
    </row>
    <row r="42" spans="1:8" ht="15" customHeight="1">
      <c r="A42" s="717"/>
      <c r="B42" s="718"/>
      <c r="C42" s="719"/>
      <c r="D42" s="718"/>
    </row>
    <row r="43" spans="1:8">
      <c r="A43" s="717"/>
      <c r="B43" s="718" t="s">
        <v>930</v>
      </c>
      <c r="C43" s="719">
        <f>+C20+C31+C41</f>
        <v>14028.82078706914</v>
      </c>
      <c r="D43" s="719">
        <f>+D20+D31+D41</f>
        <v>-9958.1429438248451</v>
      </c>
    </row>
    <row r="44" spans="1:8">
      <c r="A44" s="717"/>
      <c r="B44" s="718" t="s">
        <v>934</v>
      </c>
      <c r="C44" s="719">
        <f>+BS!F21+BS!F22</f>
        <v>163605.41195190002</v>
      </c>
      <c r="D44" s="719">
        <v>173563.08636440002</v>
      </c>
    </row>
    <row r="45" spans="1:8" ht="15.75">
      <c r="A45" s="706"/>
      <c r="B45" s="723" t="s">
        <v>935</v>
      </c>
      <c r="C45" s="724">
        <f>+C43+C44</f>
        <v>177634.23273896915</v>
      </c>
      <c r="D45" s="724">
        <f>+D43+D44</f>
        <v>163604.94342057517</v>
      </c>
      <c r="G45" s="726">
        <f>+D45-C44</f>
        <v>-0.46853132484829985</v>
      </c>
    </row>
    <row r="46" spans="1:8">
      <c r="C46" s="716"/>
    </row>
    <row r="47" spans="1:8" s="1" customFormat="1" ht="18" customHeight="1">
      <c r="A47" s="1" t="s">
        <v>337</v>
      </c>
      <c r="C47" s="93"/>
      <c r="E47" s="179"/>
      <c r="F47" s="180"/>
    </row>
    <row r="48" spans="1:8" s="1" customFormat="1" ht="15" customHeight="1">
      <c r="A48" s="7" t="s">
        <v>338</v>
      </c>
      <c r="B48" s="7" t="s">
        <v>339</v>
      </c>
      <c r="C48" s="65"/>
      <c r="D48" s="7"/>
      <c r="E48" s="7"/>
      <c r="F48" s="7"/>
      <c r="G48" s="7"/>
      <c r="H48" s="7"/>
    </row>
    <row r="49" spans="1:8" s="1" customFormat="1" ht="15" customHeight="1">
      <c r="A49" s="7"/>
      <c r="B49" s="7" t="s">
        <v>424</v>
      </c>
      <c r="C49" s="65"/>
      <c r="D49" s="7"/>
      <c r="E49" s="7"/>
      <c r="F49" s="7"/>
      <c r="G49" s="7"/>
      <c r="H49" s="7"/>
    </row>
    <row r="50" spans="1:8" s="1" customFormat="1" ht="15" customHeight="1">
      <c r="A50" s="7"/>
      <c r="B50" s="7" t="s">
        <v>399</v>
      </c>
      <c r="C50" s="65"/>
      <c r="D50" s="7"/>
      <c r="E50" s="7"/>
      <c r="F50" s="7"/>
      <c r="G50" s="7"/>
      <c r="H50" s="7"/>
    </row>
    <row r="51" spans="1:8" s="1" customFormat="1" ht="15" customHeight="1">
      <c r="A51" s="7"/>
      <c r="B51" s="7"/>
      <c r="C51" s="65"/>
      <c r="D51" s="7"/>
      <c r="E51" s="7"/>
      <c r="F51" s="7"/>
      <c r="G51" s="7"/>
      <c r="H51" s="7"/>
    </row>
    <row r="52" spans="1:8" s="1" customFormat="1" ht="15" customHeight="1">
      <c r="A52" s="7"/>
      <c r="B52" s="327" t="s">
        <v>939</v>
      </c>
      <c r="C52" s="746" t="s">
        <v>340</v>
      </c>
      <c r="D52" s="746"/>
      <c r="G52" s="7"/>
      <c r="H52" s="7"/>
    </row>
    <row r="53" spans="1:8" s="1" customFormat="1" ht="15" customHeight="1">
      <c r="A53" s="7"/>
      <c r="B53" s="327" t="s">
        <v>679</v>
      </c>
      <c r="C53" s="746" t="s">
        <v>402</v>
      </c>
      <c r="D53" s="746"/>
      <c r="G53" s="7"/>
      <c r="H53" s="7"/>
    </row>
    <row r="54" spans="1:8" s="1" customFormat="1" ht="15" customHeight="1">
      <c r="A54" s="7"/>
      <c r="B54" s="176" t="s">
        <v>341</v>
      </c>
      <c r="C54" s="65"/>
      <c r="D54" s="7"/>
      <c r="E54" s="7"/>
      <c r="F54" s="7"/>
      <c r="G54" s="7"/>
      <c r="H54" s="7"/>
    </row>
    <row r="55" spans="1:8" s="1" customFormat="1" ht="15" customHeight="1">
      <c r="A55" s="7"/>
      <c r="B55" s="7" t="s">
        <v>400</v>
      </c>
      <c r="C55" s="7"/>
      <c r="D55" s="7"/>
      <c r="E55" s="7"/>
      <c r="F55" s="7"/>
      <c r="G55" s="7"/>
      <c r="H55" s="7"/>
    </row>
    <row r="56" spans="1:8" s="1" customFormat="1" ht="15" customHeight="1">
      <c r="A56" s="7"/>
      <c r="B56" s="7" t="s">
        <v>342</v>
      </c>
      <c r="C56" s="7"/>
      <c r="D56" s="7"/>
      <c r="E56" s="7"/>
      <c r="F56" s="7"/>
      <c r="G56" s="7"/>
      <c r="H56" s="7"/>
    </row>
    <row r="57" spans="1:8" s="1" customFormat="1" ht="15" customHeight="1">
      <c r="A57" s="7" t="s">
        <v>343</v>
      </c>
      <c r="B57" s="7" t="s">
        <v>344</v>
      </c>
      <c r="C57" s="746" t="s">
        <v>396</v>
      </c>
      <c r="D57" s="746"/>
      <c r="G57" s="7"/>
      <c r="H57" s="7"/>
    </row>
    <row r="58" spans="1:8" s="1" customFormat="1" ht="15" customHeight="1">
      <c r="A58" s="7" t="s">
        <v>345</v>
      </c>
      <c r="B58" s="7"/>
      <c r="C58" s="746" t="s">
        <v>403</v>
      </c>
      <c r="D58" s="746"/>
      <c r="G58" s="7"/>
      <c r="H58" s="7"/>
    </row>
  </sheetData>
  <mergeCells count="6">
    <mergeCell ref="C58:D58"/>
    <mergeCell ref="A1:D1"/>
    <mergeCell ref="A2:D2"/>
    <mergeCell ref="C52:D52"/>
    <mergeCell ref="C53:D53"/>
    <mergeCell ref="C57:D57"/>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dimension ref="A1:G22"/>
  <sheetViews>
    <sheetView topLeftCell="A7" workbookViewId="0">
      <selection activeCell="F13" sqref="F13"/>
    </sheetView>
  </sheetViews>
  <sheetFormatPr defaultRowHeight="15"/>
  <cols>
    <col min="1" max="1" width="44.42578125" customWidth="1"/>
    <col min="2" max="2" width="16.140625" customWidth="1"/>
    <col min="3" max="3" width="14.7109375" customWidth="1"/>
    <col min="4" max="4" width="18.140625" customWidth="1"/>
    <col min="6" max="6" width="17.28515625" bestFit="1" customWidth="1"/>
    <col min="7" max="7" width="13.42578125" bestFit="1" customWidth="1"/>
  </cols>
  <sheetData>
    <row r="1" spans="1:7" s="1" customFormat="1" ht="21" customHeight="1">
      <c r="A1" s="741" t="s">
        <v>346</v>
      </c>
      <c r="B1" s="741"/>
      <c r="C1" s="741"/>
      <c r="D1" s="741"/>
      <c r="E1" s="708"/>
      <c r="F1" s="708"/>
    </row>
    <row r="2" spans="1:7" s="1" customFormat="1" ht="18" customHeight="1">
      <c r="A2" s="742" t="s">
        <v>901</v>
      </c>
      <c r="B2" s="742"/>
      <c r="C2" s="742"/>
      <c r="D2" s="742"/>
      <c r="E2" s="709"/>
      <c r="F2" s="709"/>
    </row>
    <row r="3" spans="1:7" s="1" customFormat="1" ht="18" customHeight="1">
      <c r="A3" s="707"/>
      <c r="B3" s="707"/>
      <c r="C3" s="707"/>
      <c r="D3" s="525" t="s">
        <v>728</v>
      </c>
      <c r="E3" s="707"/>
    </row>
    <row r="6" spans="1:7" ht="15.75">
      <c r="A6" s="756" t="s">
        <v>3</v>
      </c>
      <c r="B6" s="757" t="s">
        <v>873</v>
      </c>
      <c r="C6" s="757"/>
      <c r="D6" s="231" t="s">
        <v>902</v>
      </c>
    </row>
    <row r="7" spans="1:7" ht="31.5">
      <c r="A7" s="756"/>
      <c r="B7" s="710">
        <v>2019</v>
      </c>
      <c r="C7" s="710">
        <v>2018</v>
      </c>
      <c r="D7" s="231" t="s">
        <v>906</v>
      </c>
      <c r="F7">
        <v>2017</v>
      </c>
    </row>
    <row r="8" spans="1:7">
      <c r="A8" s="714" t="s">
        <v>903</v>
      </c>
      <c r="B8" s="711"/>
      <c r="C8" s="711"/>
      <c r="D8" s="711"/>
      <c r="E8" s="735"/>
      <c r="F8" s="735"/>
      <c r="G8" s="735"/>
    </row>
    <row r="9" spans="1:7">
      <c r="A9" s="711" t="s">
        <v>20</v>
      </c>
      <c r="B9" s="712">
        <f>+BS!E18</f>
        <v>11611.708438300004</v>
      </c>
      <c r="C9" s="712">
        <f>+BS!F18</f>
        <v>12285.053842600002</v>
      </c>
      <c r="D9" s="713">
        <f>+B9-C9</f>
        <v>-673.34540429999834</v>
      </c>
      <c r="E9" s="735"/>
      <c r="F9" s="736">
        <v>13299.527034999999</v>
      </c>
      <c r="G9" s="737">
        <f>+C9-F9</f>
        <v>-1014.4731923999971</v>
      </c>
    </row>
    <row r="10" spans="1:7">
      <c r="A10" s="711" t="s">
        <v>27</v>
      </c>
      <c r="B10" s="712">
        <f>+BS!E20</f>
        <v>90828.713730000003</v>
      </c>
      <c r="C10" s="712">
        <f>+BS!F20</f>
        <v>35469.336940000001</v>
      </c>
      <c r="D10" s="713">
        <f t="shared" ref="D10:D13" si="0">+B10-C10</f>
        <v>55359.376790000002</v>
      </c>
      <c r="E10" s="735"/>
      <c r="F10" s="736">
        <v>14524.660690000001</v>
      </c>
      <c r="G10" s="737">
        <f t="shared" ref="G10:G13" si="1">+C10-F10</f>
        <v>20944.67625</v>
      </c>
    </row>
    <row r="11" spans="1:7">
      <c r="A11" s="711" t="s">
        <v>907</v>
      </c>
      <c r="B11" s="712">
        <f>+BS!E24</f>
        <v>308.65521799999999</v>
      </c>
      <c r="C11" s="712">
        <f>+BS!F24</f>
        <v>188.87501799999998</v>
      </c>
      <c r="D11" s="713">
        <f t="shared" si="0"/>
        <v>119.78020000000001</v>
      </c>
      <c r="E11" s="735"/>
      <c r="F11" s="736">
        <v>212.89741800000002</v>
      </c>
      <c r="G11" s="736">
        <f t="shared" si="1"/>
        <v>-24.022400000000033</v>
      </c>
    </row>
    <row r="12" spans="1:7">
      <c r="A12" s="711" t="s">
        <v>374</v>
      </c>
      <c r="B12" s="712">
        <f>+BS!E25</f>
        <v>5355.9462167755082</v>
      </c>
      <c r="C12" s="712">
        <f>+BS!F25</f>
        <v>3829.2060367755103</v>
      </c>
      <c r="D12" s="713">
        <f t="shared" si="0"/>
        <v>1526.740179999998</v>
      </c>
      <c r="E12" s="735"/>
      <c r="F12" s="736">
        <v>2854.5315500000002</v>
      </c>
      <c r="G12" s="736">
        <f t="shared" si="1"/>
        <v>974.6744867755101</v>
      </c>
    </row>
    <row r="13" spans="1:7">
      <c r="A13" s="711" t="s">
        <v>59</v>
      </c>
      <c r="B13" s="712">
        <f>+BS!E26</f>
        <v>4045.7227832000003</v>
      </c>
      <c r="C13" s="712">
        <f>+BS!F26</f>
        <v>727.45904350000012</v>
      </c>
      <c r="D13" s="713">
        <f t="shared" si="0"/>
        <v>3318.2637397000003</v>
      </c>
      <c r="E13" s="735"/>
      <c r="F13" s="736">
        <v>1493.324255</v>
      </c>
      <c r="G13" s="736">
        <f t="shared" si="1"/>
        <v>-765.86521149999987</v>
      </c>
    </row>
    <row r="14" spans="1:7">
      <c r="A14" s="711" t="s">
        <v>8</v>
      </c>
      <c r="B14" s="712">
        <f>SUM(B9:B13)</f>
        <v>112150.74638627552</v>
      </c>
      <c r="C14" s="712">
        <f>SUM(C9:C13)</f>
        <v>52499.930880875516</v>
      </c>
      <c r="D14" s="712">
        <f>SUM(D9:D13)</f>
        <v>59650.815505400002</v>
      </c>
      <c r="E14" s="735"/>
      <c r="F14" s="712">
        <f>SUM(F9:F13)</f>
        <v>32384.940947999999</v>
      </c>
      <c r="G14" s="712">
        <f>SUM(G9:G13)</f>
        <v>20114.989932875513</v>
      </c>
    </row>
    <row r="15" spans="1:7">
      <c r="A15" s="750"/>
      <c r="B15" s="751"/>
      <c r="C15" s="751"/>
      <c r="D15" s="752"/>
      <c r="E15" s="735"/>
      <c r="F15" s="735"/>
      <c r="G15" s="735"/>
    </row>
    <row r="16" spans="1:7">
      <c r="A16" s="714" t="s">
        <v>904</v>
      </c>
      <c r="B16" s="712"/>
      <c r="C16" s="712"/>
      <c r="D16" s="713"/>
      <c r="E16" s="735"/>
      <c r="F16" s="735"/>
      <c r="G16" s="735"/>
    </row>
    <row r="17" spans="1:7">
      <c r="A17" s="711" t="s">
        <v>908</v>
      </c>
      <c r="B17" s="712">
        <f>+BS!E49</f>
        <v>52736.857697499996</v>
      </c>
      <c r="C17" s="712">
        <f>+BS!F49</f>
        <v>101017.92431340001</v>
      </c>
      <c r="D17" s="713">
        <f>+C17-B17</f>
        <v>48281.066615900017</v>
      </c>
      <c r="E17" s="735"/>
      <c r="F17" s="736">
        <v>94543.475984000019</v>
      </c>
      <c r="G17" s="736">
        <f>+F17-C17</f>
        <v>-6474.4483293999947</v>
      </c>
    </row>
    <row r="18" spans="1:7">
      <c r="A18" s="711" t="s">
        <v>119</v>
      </c>
      <c r="B18" s="712">
        <f>+BS!E50</f>
        <v>0</v>
      </c>
      <c r="C18" s="712">
        <f>+BS!F50</f>
        <v>7961.6276399999997</v>
      </c>
      <c r="D18" s="713">
        <f t="shared" ref="D18:D19" si="2">+C18-B18</f>
        <v>7961.6276399999997</v>
      </c>
      <c r="E18" s="735"/>
      <c r="F18" s="736">
        <v>6803.6202800000001</v>
      </c>
      <c r="G18" s="736">
        <f t="shared" ref="G18:G19" si="3">+F18-C18</f>
        <v>-1158.0073599999996</v>
      </c>
    </row>
    <row r="19" spans="1:7" ht="15.75">
      <c r="A19" s="711" t="s">
        <v>163</v>
      </c>
      <c r="B19" s="712">
        <f>+BS!E51</f>
        <v>12238.825404699999</v>
      </c>
      <c r="C19" s="712">
        <f>+BS!F51</f>
        <v>4584.2668903000085</v>
      </c>
      <c r="D19" s="713">
        <f t="shared" si="2"/>
        <v>-7654.5585143999906</v>
      </c>
      <c r="E19" s="735"/>
      <c r="F19" s="725">
        <v>3651.2852446000002</v>
      </c>
      <c r="G19" s="736">
        <f t="shared" si="3"/>
        <v>-932.98164570000836</v>
      </c>
    </row>
    <row r="20" spans="1:7">
      <c r="A20" s="711" t="s">
        <v>8</v>
      </c>
      <c r="B20" s="712">
        <f>SUM(B17:B19)</f>
        <v>64975.683102199997</v>
      </c>
      <c r="C20" s="712">
        <f t="shared" ref="C20:G20" si="4">SUM(C17:C19)</f>
        <v>113563.81884370002</v>
      </c>
      <c r="D20" s="712">
        <f t="shared" si="4"/>
        <v>48588.135741500024</v>
      </c>
      <c r="E20" s="735"/>
      <c r="F20" s="712">
        <f t="shared" si="4"/>
        <v>104998.38150860002</v>
      </c>
      <c r="G20" s="712">
        <f t="shared" si="4"/>
        <v>-8565.4373351000031</v>
      </c>
    </row>
    <row r="21" spans="1:7">
      <c r="A21" s="750"/>
      <c r="B21" s="751"/>
      <c r="C21" s="751"/>
      <c r="D21" s="752"/>
      <c r="E21" s="735"/>
      <c r="F21" s="735"/>
      <c r="G21" s="735"/>
    </row>
    <row r="22" spans="1:7">
      <c r="A22" s="753" t="s">
        <v>905</v>
      </c>
      <c r="B22" s="754"/>
      <c r="C22" s="755"/>
      <c r="D22" s="715">
        <f>SUM(D14+D20)</f>
        <v>108238.95124690002</v>
      </c>
      <c r="G22" s="726">
        <f>+G14+G20</f>
        <v>11549.55259777551</v>
      </c>
    </row>
  </sheetData>
  <mergeCells count="7">
    <mergeCell ref="A15:D15"/>
    <mergeCell ref="A21:D21"/>
    <mergeCell ref="A22:C22"/>
    <mergeCell ref="A1:D1"/>
    <mergeCell ref="A2:D2"/>
    <mergeCell ref="A6:A7"/>
    <mergeCell ref="B6:C6"/>
  </mergeCells>
  <pageMargins left="0.70866141732283472"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dimension ref="A1:J138"/>
  <sheetViews>
    <sheetView topLeftCell="A37" workbookViewId="0">
      <selection activeCell="F33" sqref="F33"/>
    </sheetView>
  </sheetViews>
  <sheetFormatPr defaultRowHeight="18" customHeight="1"/>
  <cols>
    <col min="1" max="1" width="3.7109375" style="9" customWidth="1"/>
    <col min="2" max="2" width="40.28515625" style="148" customWidth="1"/>
    <col min="3" max="4" width="15.42578125" style="9" customWidth="1"/>
    <col min="5" max="5" width="12.42578125" style="9" customWidth="1"/>
    <col min="6" max="6" width="10" style="9" customWidth="1"/>
    <col min="7" max="7" width="12.42578125" style="9" customWidth="1"/>
    <col min="8" max="8" width="13.7109375" style="9" bestFit="1" customWidth="1"/>
    <col min="9" max="9" width="16" style="9" bestFit="1" customWidth="1"/>
    <col min="10" max="10" width="20.140625" style="9" bestFit="1" customWidth="1"/>
    <col min="11" max="16384" width="9.140625" style="9"/>
  </cols>
  <sheetData>
    <row r="1" spans="1:7" ht="18" customHeight="1">
      <c r="A1" s="758" t="s">
        <v>346</v>
      </c>
      <c r="B1" s="758"/>
      <c r="C1" s="758"/>
      <c r="D1" s="758"/>
      <c r="E1" s="758"/>
      <c r="F1" s="758"/>
      <c r="G1" s="758"/>
    </row>
    <row r="2" spans="1:7" ht="18" customHeight="1">
      <c r="A2" s="759" t="s">
        <v>238</v>
      </c>
      <c r="B2" s="759"/>
      <c r="C2" s="759"/>
      <c r="D2" s="759"/>
      <c r="E2" s="759"/>
      <c r="F2" s="759"/>
      <c r="G2" s="759"/>
    </row>
    <row r="3" spans="1:7" ht="18" customHeight="1">
      <c r="B3" s="128"/>
      <c r="C3" s="57"/>
      <c r="D3" s="57"/>
      <c r="E3" s="57"/>
      <c r="F3" s="57"/>
      <c r="G3" s="57"/>
    </row>
    <row r="4" spans="1:7" ht="18" customHeight="1">
      <c r="B4" s="128"/>
      <c r="C4" s="57"/>
      <c r="D4" s="57"/>
      <c r="E4" s="57"/>
      <c r="F4" s="57"/>
    </row>
    <row r="5" spans="1:7" ht="18" customHeight="1">
      <c r="A5" s="55" t="s">
        <v>239</v>
      </c>
      <c r="B5" s="129" t="s">
        <v>72</v>
      </c>
      <c r="C5" s="57"/>
      <c r="D5" s="130"/>
      <c r="F5" s="57"/>
      <c r="G5" s="57"/>
    </row>
    <row r="6" spans="1:7" ht="18" customHeight="1">
      <c r="A6" s="55"/>
      <c r="B6" s="129"/>
      <c r="C6" s="57"/>
      <c r="D6" s="525" t="s">
        <v>728</v>
      </c>
      <c r="F6" s="57"/>
      <c r="G6" s="57"/>
    </row>
    <row r="7" spans="1:7" ht="35.25" customHeight="1">
      <c r="A7" s="55"/>
      <c r="B7" s="313" t="s">
        <v>3</v>
      </c>
      <c r="C7" s="313" t="s">
        <v>240</v>
      </c>
      <c r="D7" s="313" t="s">
        <v>80</v>
      </c>
      <c r="F7" s="57"/>
      <c r="G7" s="57"/>
    </row>
    <row r="8" spans="1:7" ht="18" customHeight="1">
      <c r="A8" s="55"/>
      <c r="B8" s="131" t="s">
        <v>241</v>
      </c>
      <c r="C8" s="318">
        <f>+D8/10*100000</f>
        <v>3000000000</v>
      </c>
      <c r="D8" s="143">
        <f>30000000000/100000</f>
        <v>300000</v>
      </c>
      <c r="G8" s="17"/>
    </row>
    <row r="9" spans="1:7" ht="35.25" customHeight="1">
      <c r="A9" s="55"/>
      <c r="B9" s="132" t="s">
        <v>242</v>
      </c>
      <c r="C9" s="144">
        <v>0</v>
      </c>
      <c r="D9" s="145">
        <v>0</v>
      </c>
      <c r="E9" s="133"/>
      <c r="F9" s="133"/>
      <c r="G9" s="134"/>
    </row>
    <row r="10" spans="1:7" ht="18" customHeight="1">
      <c r="A10" s="55"/>
      <c r="B10" s="135" t="s">
        <v>243</v>
      </c>
      <c r="C10" s="318">
        <f>+C8+C9</f>
        <v>3000000000</v>
      </c>
      <c r="D10" s="146">
        <f>+D8+D9</f>
        <v>300000</v>
      </c>
      <c r="E10" s="136"/>
      <c r="F10" s="136"/>
    </row>
    <row r="11" spans="1:7" ht="34.5" customHeight="1">
      <c r="A11" s="55"/>
      <c r="B11" s="132" t="s">
        <v>242</v>
      </c>
      <c r="C11" s="528">
        <f>+'BS12'!B20</f>
        <v>4245373608</v>
      </c>
      <c r="D11" s="145">
        <f>+'BS12'!C20</f>
        <v>424537</v>
      </c>
      <c r="E11" s="136"/>
      <c r="F11" s="136"/>
    </row>
    <row r="12" spans="1:7" ht="20.25" customHeight="1">
      <c r="A12" s="55"/>
      <c r="B12" s="314" t="s">
        <v>244</v>
      </c>
      <c r="C12" s="527">
        <f>+C10+C11</f>
        <v>7245373608</v>
      </c>
      <c r="D12" s="315">
        <f>+D10+D11</f>
        <v>724537</v>
      </c>
      <c r="E12" s="136"/>
      <c r="F12" s="136"/>
    </row>
    <row r="13" spans="1:7" ht="20.25" customHeight="1">
      <c r="A13" s="55"/>
      <c r="B13"/>
      <c r="C13"/>
      <c r="D13"/>
      <c r="E13" s="136"/>
      <c r="F13" s="136"/>
    </row>
    <row r="14" spans="1:7" ht="20.25" customHeight="1">
      <c r="A14" s="55"/>
      <c r="B14"/>
      <c r="C14"/>
      <c r="D14"/>
      <c r="E14" s="136"/>
      <c r="F14" s="136"/>
    </row>
    <row r="15" spans="1:7" ht="20.25" customHeight="1">
      <c r="A15" s="55"/>
      <c r="B15"/>
      <c r="C15"/>
      <c r="D15"/>
      <c r="E15" s="136"/>
      <c r="F15" s="136"/>
    </row>
    <row r="16" spans="1:7" ht="18" customHeight="1">
      <c r="A16" s="55"/>
      <c r="B16" s="136"/>
      <c r="C16" s="136"/>
      <c r="D16" s="136"/>
      <c r="E16" s="133"/>
      <c r="F16" s="136"/>
      <c r="G16" s="136"/>
    </row>
    <row r="17" spans="1:10" ht="18" customHeight="1">
      <c r="A17" s="41" t="s">
        <v>245</v>
      </c>
      <c r="B17" s="137" t="s">
        <v>88</v>
      </c>
      <c r="C17" s="138"/>
      <c r="D17" s="133"/>
      <c r="E17" s="136"/>
      <c r="F17" s="136"/>
      <c r="G17" s="130"/>
    </row>
    <row r="18" spans="1:10" ht="18" customHeight="1">
      <c r="A18" s="41"/>
      <c r="B18" s="137"/>
      <c r="C18" s="138"/>
      <c r="D18" s="133"/>
      <c r="E18" s="136"/>
      <c r="F18" s="136"/>
      <c r="G18" s="525" t="s">
        <v>728</v>
      </c>
    </row>
    <row r="19" spans="1:10" ht="18" customHeight="1">
      <c r="A19" s="1"/>
      <c r="B19" s="747" t="s">
        <v>246</v>
      </c>
      <c r="C19" s="760" t="s">
        <v>88</v>
      </c>
      <c r="D19" s="760"/>
      <c r="E19" s="760"/>
      <c r="F19" s="760" t="s">
        <v>247</v>
      </c>
      <c r="G19" s="747" t="s">
        <v>8</v>
      </c>
    </row>
    <row r="20" spans="1:10" ht="67.5" customHeight="1">
      <c r="A20" s="1"/>
      <c r="B20" s="747"/>
      <c r="C20" s="313" t="s">
        <v>248</v>
      </c>
      <c r="D20" s="313" t="s">
        <v>94</v>
      </c>
      <c r="E20" s="313" t="s">
        <v>89</v>
      </c>
      <c r="F20" s="760"/>
      <c r="G20" s="747"/>
    </row>
    <row r="21" spans="1:10" ht="33.75" customHeight="1">
      <c r="A21" s="1"/>
      <c r="B21" s="139" t="s">
        <v>249</v>
      </c>
      <c r="C21" s="320">
        <v>0</v>
      </c>
      <c r="D21" s="321">
        <v>361674.41084999999</v>
      </c>
      <c r="E21" s="322">
        <v>-18952.516950000001</v>
      </c>
      <c r="F21" s="320">
        <v>0</v>
      </c>
      <c r="G21" s="319">
        <f>+D21+E21</f>
        <v>342721.89389999997</v>
      </c>
    </row>
    <row r="22" spans="1:10" ht="33.75" customHeight="1">
      <c r="A22" s="1"/>
      <c r="B22" s="140" t="s">
        <v>250</v>
      </c>
      <c r="C22" s="320">
        <v>0</v>
      </c>
      <c r="D22" s="321">
        <v>19595.95</v>
      </c>
      <c r="E22" s="321">
        <f>3598575296/100000</f>
        <v>35985.752959999998</v>
      </c>
      <c r="F22" s="320">
        <v>0</v>
      </c>
      <c r="G22" s="319">
        <f t="shared" ref="G22:G28" si="0">+D22+E22</f>
        <v>55581.702959999995</v>
      </c>
    </row>
    <row r="23" spans="1:10" ht="18" customHeight="1">
      <c r="A23" s="1"/>
      <c r="B23" s="141" t="s">
        <v>251</v>
      </c>
      <c r="C23" s="320">
        <v>0</v>
      </c>
      <c r="D23" s="321"/>
      <c r="E23" s="145"/>
      <c r="F23" s="320">
        <v>0</v>
      </c>
      <c r="G23" s="319">
        <f t="shared" si="0"/>
        <v>0</v>
      </c>
    </row>
    <row r="24" spans="1:10" ht="33" customHeight="1">
      <c r="A24" s="1"/>
      <c r="B24" s="141" t="s">
        <v>252</v>
      </c>
      <c r="C24" s="320">
        <v>0</v>
      </c>
      <c r="D24" s="323">
        <v>77652.926980000004</v>
      </c>
      <c r="E24" s="323">
        <f>+'P&amp;L'!E23</f>
        <v>14728.390650000001</v>
      </c>
      <c r="F24" s="320">
        <v>0</v>
      </c>
      <c r="G24" s="319">
        <f t="shared" si="0"/>
        <v>92381.317630000005</v>
      </c>
    </row>
    <row r="25" spans="1:10" ht="18" customHeight="1">
      <c r="A25" s="1"/>
      <c r="B25" s="142" t="s">
        <v>405</v>
      </c>
      <c r="C25" s="320">
        <v>0</v>
      </c>
      <c r="D25" s="321">
        <f>SUM(D22:D24)</f>
        <v>97248.876980000001</v>
      </c>
      <c r="E25" s="145">
        <f>SUM(E22:E24)</f>
        <v>50714.143609999999</v>
      </c>
      <c r="F25" s="320">
        <v>0</v>
      </c>
      <c r="G25" s="319">
        <f t="shared" si="0"/>
        <v>147963.02059</v>
      </c>
    </row>
    <row r="26" spans="1:10" ht="18" customHeight="1">
      <c r="A26" s="1"/>
      <c r="B26" s="141" t="s">
        <v>253</v>
      </c>
      <c r="C26" s="320">
        <v>0</v>
      </c>
      <c r="D26" s="321">
        <v>0</v>
      </c>
      <c r="E26" s="324">
        <v>0</v>
      </c>
      <c r="F26" s="320">
        <v>0</v>
      </c>
      <c r="G26" s="319">
        <f t="shared" si="0"/>
        <v>0</v>
      </c>
    </row>
    <row r="27" spans="1:10" ht="18" customHeight="1">
      <c r="A27" s="1"/>
      <c r="B27" s="142" t="s">
        <v>254</v>
      </c>
      <c r="C27" s="320">
        <v>0</v>
      </c>
      <c r="D27" s="325">
        <f>+D25+D26</f>
        <v>97248.876980000001</v>
      </c>
      <c r="E27" s="325">
        <f>+E25+E26</f>
        <v>50714.143609999999</v>
      </c>
      <c r="F27" s="320">
        <v>0</v>
      </c>
      <c r="G27" s="319">
        <f t="shared" si="0"/>
        <v>147963.02059</v>
      </c>
    </row>
    <row r="28" spans="1:10" ht="18" customHeight="1">
      <c r="A28" s="1"/>
      <c r="B28" s="141" t="s">
        <v>404</v>
      </c>
      <c r="C28" s="320">
        <v>0</v>
      </c>
      <c r="D28" s="324">
        <v>-424537.36080000002</v>
      </c>
      <c r="E28" s="145">
        <v>0</v>
      </c>
      <c r="F28" s="320">
        <v>0</v>
      </c>
      <c r="G28" s="319">
        <f t="shared" si="0"/>
        <v>-424537.36080000002</v>
      </c>
    </row>
    <row r="29" spans="1:10" ht="34.5" customHeight="1">
      <c r="A29" s="1"/>
      <c r="B29" s="317" t="s">
        <v>255</v>
      </c>
      <c r="C29" s="326">
        <v>0</v>
      </c>
      <c r="D29" s="326">
        <f>+D21+D27+D28</f>
        <v>34385.927029999963</v>
      </c>
      <c r="E29" s="326">
        <f>+E21+E27</f>
        <v>31761.626659999998</v>
      </c>
      <c r="F29" s="326"/>
      <c r="G29" s="326">
        <f>+D29+E29</f>
        <v>66147.553689999957</v>
      </c>
      <c r="J29" s="147"/>
    </row>
    <row r="30" spans="1:10" ht="18" customHeight="1">
      <c r="A30" s="1"/>
      <c r="B30" s="9"/>
    </row>
    <row r="31" spans="1:10" ht="18" customHeight="1">
      <c r="A31" s="1"/>
      <c r="B31" s="9"/>
    </row>
    <row r="32" spans="1:10" ht="18" customHeight="1">
      <c r="A32" s="1"/>
      <c r="B32" s="9"/>
    </row>
    <row r="33" spans="1:2" ht="18" customHeight="1">
      <c r="A33" s="1"/>
      <c r="B33" s="9"/>
    </row>
    <row r="138" spans="1:1" ht="18" customHeight="1">
      <c r="A138" s="9" t="s">
        <v>33</v>
      </c>
    </row>
  </sheetData>
  <mergeCells count="6">
    <mergeCell ref="A1:G1"/>
    <mergeCell ref="A2:G2"/>
    <mergeCell ref="B19:B20"/>
    <mergeCell ref="C19:E19"/>
    <mergeCell ref="F19:F20"/>
    <mergeCell ref="G19:G20"/>
  </mergeCells>
  <pageMargins left="0.51181102362204722" right="0.51181102362204722" top="0.74803149606299213" bottom="0.74803149606299213"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dimension ref="A1:L46"/>
  <sheetViews>
    <sheetView topLeftCell="A4" workbookViewId="0">
      <selection activeCell="L10" sqref="L10"/>
    </sheetView>
  </sheetViews>
  <sheetFormatPr defaultRowHeight="14.25"/>
  <cols>
    <col min="1" max="1" width="40.140625" style="284" customWidth="1"/>
    <col min="2" max="2" width="14" style="303" customWidth="1"/>
    <col min="3" max="4" width="13.85546875" style="284" customWidth="1"/>
    <col min="5" max="5" width="12.5703125" style="284" customWidth="1"/>
    <col min="6" max="6" width="14.140625" style="284" customWidth="1"/>
    <col min="7" max="7" width="13.85546875" style="284" customWidth="1"/>
    <col min="8" max="8" width="9.7109375" style="284" customWidth="1"/>
    <col min="9" max="9" width="11.5703125" style="284" customWidth="1"/>
    <col min="10" max="11" width="13.28515625" style="284" customWidth="1"/>
    <col min="12" max="12" width="14.28515625" style="284" customWidth="1"/>
    <col min="13" max="13" width="20.42578125" style="284" customWidth="1"/>
    <col min="14" max="246" width="9.140625" style="284"/>
    <col min="247" max="247" width="6.5703125" style="284" bestFit="1" customWidth="1"/>
    <col min="248" max="248" width="32.85546875" style="284" customWidth="1"/>
    <col min="249" max="249" width="18.85546875" style="284" customWidth="1"/>
    <col min="250" max="250" width="16.42578125" style="284" customWidth="1"/>
    <col min="251" max="251" width="17.42578125" style="284" customWidth="1"/>
    <col min="252" max="252" width="18.5703125" style="284" customWidth="1"/>
    <col min="253" max="253" width="17.140625" style="284" customWidth="1"/>
    <col min="254" max="254" width="16.42578125" style="284" customWidth="1"/>
    <col min="255" max="255" width="16.7109375" style="284" customWidth="1"/>
    <col min="256" max="256" width="17.42578125" style="284" customWidth="1"/>
    <col min="257" max="257" width="19" style="284" bestFit="1" customWidth="1"/>
    <col min="258" max="258" width="19.28515625" style="284" customWidth="1"/>
    <col min="259" max="259" width="17.85546875" style="284" bestFit="1" customWidth="1"/>
    <col min="260" max="260" width="5.140625" style="284" customWidth="1"/>
    <col min="261" max="262" width="14.5703125" style="284" bestFit="1" customWidth="1"/>
    <col min="263" max="502" width="9.140625" style="284"/>
    <col min="503" max="503" width="6.5703125" style="284" bestFit="1" customWidth="1"/>
    <col min="504" max="504" width="32.85546875" style="284" customWidth="1"/>
    <col min="505" max="505" width="18.85546875" style="284" customWidth="1"/>
    <col min="506" max="506" width="16.42578125" style="284" customWidth="1"/>
    <col min="507" max="507" width="17.42578125" style="284" customWidth="1"/>
    <col min="508" max="508" width="18.5703125" style="284" customWidth="1"/>
    <col min="509" max="509" width="17.140625" style="284" customWidth="1"/>
    <col min="510" max="510" width="16.42578125" style="284" customWidth="1"/>
    <col min="511" max="511" width="16.7109375" style="284" customWidth="1"/>
    <col min="512" max="512" width="17.42578125" style="284" customWidth="1"/>
    <col min="513" max="513" width="19" style="284" bestFit="1" customWidth="1"/>
    <col min="514" max="514" width="19.28515625" style="284" customWidth="1"/>
    <col min="515" max="515" width="17.85546875" style="284" bestFit="1" customWidth="1"/>
    <col min="516" max="516" width="5.140625" style="284" customWidth="1"/>
    <col min="517" max="518" width="14.5703125" style="284" bestFit="1" customWidth="1"/>
    <col min="519" max="758" width="9.140625" style="284"/>
    <col min="759" max="759" width="6.5703125" style="284" bestFit="1" customWidth="1"/>
    <col min="760" max="760" width="32.85546875" style="284" customWidth="1"/>
    <col min="761" max="761" width="18.85546875" style="284" customWidth="1"/>
    <col min="762" max="762" width="16.42578125" style="284" customWidth="1"/>
    <col min="763" max="763" width="17.42578125" style="284" customWidth="1"/>
    <col min="764" max="764" width="18.5703125" style="284" customWidth="1"/>
    <col min="765" max="765" width="17.140625" style="284" customWidth="1"/>
    <col min="766" max="766" width="16.42578125" style="284" customWidth="1"/>
    <col min="767" max="767" width="16.7109375" style="284" customWidth="1"/>
    <col min="768" max="768" width="17.42578125" style="284" customWidth="1"/>
    <col min="769" max="769" width="19" style="284" bestFit="1" customWidth="1"/>
    <col min="770" max="770" width="19.28515625" style="284" customWidth="1"/>
    <col min="771" max="771" width="17.85546875" style="284" bestFit="1" customWidth="1"/>
    <col min="772" max="772" width="5.140625" style="284" customWidth="1"/>
    <col min="773" max="774" width="14.5703125" style="284" bestFit="1" customWidth="1"/>
    <col min="775" max="1014" width="9.140625" style="284"/>
    <col min="1015" max="1015" width="6.5703125" style="284" bestFit="1" customWidth="1"/>
    <col min="1016" max="1016" width="32.85546875" style="284" customWidth="1"/>
    <col min="1017" max="1017" width="18.85546875" style="284" customWidth="1"/>
    <col min="1018" max="1018" width="16.42578125" style="284" customWidth="1"/>
    <col min="1019" max="1019" width="17.42578125" style="284" customWidth="1"/>
    <col min="1020" max="1020" width="18.5703125" style="284" customWidth="1"/>
    <col min="1021" max="1021" width="17.140625" style="284" customWidth="1"/>
    <col min="1022" max="1022" width="16.42578125" style="284" customWidth="1"/>
    <col min="1023" max="1023" width="16.7109375" style="284" customWidth="1"/>
    <col min="1024" max="1024" width="17.42578125" style="284" customWidth="1"/>
    <col min="1025" max="1025" width="19" style="284" bestFit="1" customWidth="1"/>
    <col min="1026" max="1026" width="19.28515625" style="284" customWidth="1"/>
    <col min="1027" max="1027" width="17.85546875" style="284" bestFit="1" customWidth="1"/>
    <col min="1028" max="1028" width="5.140625" style="284" customWidth="1"/>
    <col min="1029" max="1030" width="14.5703125" style="284" bestFit="1" customWidth="1"/>
    <col min="1031" max="1270" width="9.140625" style="284"/>
    <col min="1271" max="1271" width="6.5703125" style="284" bestFit="1" customWidth="1"/>
    <col min="1272" max="1272" width="32.85546875" style="284" customWidth="1"/>
    <col min="1273" max="1273" width="18.85546875" style="284" customWidth="1"/>
    <col min="1274" max="1274" width="16.42578125" style="284" customWidth="1"/>
    <col min="1275" max="1275" width="17.42578125" style="284" customWidth="1"/>
    <col min="1276" max="1276" width="18.5703125" style="284" customWidth="1"/>
    <col min="1277" max="1277" width="17.140625" style="284" customWidth="1"/>
    <col min="1278" max="1278" width="16.42578125" style="284" customWidth="1"/>
    <col min="1279" max="1279" width="16.7109375" style="284" customWidth="1"/>
    <col min="1280" max="1280" width="17.42578125" style="284" customWidth="1"/>
    <col min="1281" max="1281" width="19" style="284" bestFit="1" customWidth="1"/>
    <col min="1282" max="1282" width="19.28515625" style="284" customWidth="1"/>
    <col min="1283" max="1283" width="17.85546875" style="284" bestFit="1" customWidth="1"/>
    <col min="1284" max="1284" width="5.140625" style="284" customWidth="1"/>
    <col min="1285" max="1286" width="14.5703125" style="284" bestFit="1" customWidth="1"/>
    <col min="1287" max="1526" width="9.140625" style="284"/>
    <col min="1527" max="1527" width="6.5703125" style="284" bestFit="1" customWidth="1"/>
    <col min="1528" max="1528" width="32.85546875" style="284" customWidth="1"/>
    <col min="1529" max="1529" width="18.85546875" style="284" customWidth="1"/>
    <col min="1530" max="1530" width="16.42578125" style="284" customWidth="1"/>
    <col min="1531" max="1531" width="17.42578125" style="284" customWidth="1"/>
    <col min="1532" max="1532" width="18.5703125" style="284" customWidth="1"/>
    <col min="1533" max="1533" width="17.140625" style="284" customWidth="1"/>
    <col min="1534" max="1534" width="16.42578125" style="284" customWidth="1"/>
    <col min="1535" max="1535" width="16.7109375" style="284" customWidth="1"/>
    <col min="1536" max="1536" width="17.42578125" style="284" customWidth="1"/>
    <col min="1537" max="1537" width="19" style="284" bestFit="1" customWidth="1"/>
    <col min="1538" max="1538" width="19.28515625" style="284" customWidth="1"/>
    <col min="1539" max="1539" width="17.85546875" style="284" bestFit="1" customWidth="1"/>
    <col min="1540" max="1540" width="5.140625" style="284" customWidth="1"/>
    <col min="1541" max="1542" width="14.5703125" style="284" bestFit="1" customWidth="1"/>
    <col min="1543" max="1782" width="9.140625" style="284"/>
    <col min="1783" max="1783" width="6.5703125" style="284" bestFit="1" customWidth="1"/>
    <col min="1784" max="1784" width="32.85546875" style="284" customWidth="1"/>
    <col min="1785" max="1785" width="18.85546875" style="284" customWidth="1"/>
    <col min="1786" max="1786" width="16.42578125" style="284" customWidth="1"/>
    <col min="1787" max="1787" width="17.42578125" style="284" customWidth="1"/>
    <col min="1788" max="1788" width="18.5703125" style="284" customWidth="1"/>
    <col min="1789" max="1789" width="17.140625" style="284" customWidth="1"/>
    <col min="1790" max="1790" width="16.42578125" style="284" customWidth="1"/>
    <col min="1791" max="1791" width="16.7109375" style="284" customWidth="1"/>
    <col min="1792" max="1792" width="17.42578125" style="284" customWidth="1"/>
    <col min="1793" max="1793" width="19" style="284" bestFit="1" customWidth="1"/>
    <col min="1794" max="1794" width="19.28515625" style="284" customWidth="1"/>
    <col min="1795" max="1795" width="17.85546875" style="284" bestFit="1" customWidth="1"/>
    <col min="1796" max="1796" width="5.140625" style="284" customWidth="1"/>
    <col min="1797" max="1798" width="14.5703125" style="284" bestFit="1" customWidth="1"/>
    <col min="1799" max="2038" width="9.140625" style="284"/>
    <col min="2039" max="2039" width="6.5703125" style="284" bestFit="1" customWidth="1"/>
    <col min="2040" max="2040" width="32.85546875" style="284" customWidth="1"/>
    <col min="2041" max="2041" width="18.85546875" style="284" customWidth="1"/>
    <col min="2042" max="2042" width="16.42578125" style="284" customWidth="1"/>
    <col min="2043" max="2043" width="17.42578125" style="284" customWidth="1"/>
    <col min="2044" max="2044" width="18.5703125" style="284" customWidth="1"/>
    <col min="2045" max="2045" width="17.140625" style="284" customWidth="1"/>
    <col min="2046" max="2046" width="16.42578125" style="284" customWidth="1"/>
    <col min="2047" max="2047" width="16.7109375" style="284" customWidth="1"/>
    <col min="2048" max="2048" width="17.42578125" style="284" customWidth="1"/>
    <col min="2049" max="2049" width="19" style="284" bestFit="1" customWidth="1"/>
    <col min="2050" max="2050" width="19.28515625" style="284" customWidth="1"/>
    <col min="2051" max="2051" width="17.85546875" style="284" bestFit="1" customWidth="1"/>
    <col min="2052" max="2052" width="5.140625" style="284" customWidth="1"/>
    <col min="2053" max="2054" width="14.5703125" style="284" bestFit="1" customWidth="1"/>
    <col min="2055" max="2294" width="9.140625" style="284"/>
    <col min="2295" max="2295" width="6.5703125" style="284" bestFit="1" customWidth="1"/>
    <col min="2296" max="2296" width="32.85546875" style="284" customWidth="1"/>
    <col min="2297" max="2297" width="18.85546875" style="284" customWidth="1"/>
    <col min="2298" max="2298" width="16.42578125" style="284" customWidth="1"/>
    <col min="2299" max="2299" width="17.42578125" style="284" customWidth="1"/>
    <col min="2300" max="2300" width="18.5703125" style="284" customWidth="1"/>
    <col min="2301" max="2301" width="17.140625" style="284" customWidth="1"/>
    <col min="2302" max="2302" width="16.42578125" style="284" customWidth="1"/>
    <col min="2303" max="2303" width="16.7109375" style="284" customWidth="1"/>
    <col min="2304" max="2304" width="17.42578125" style="284" customWidth="1"/>
    <col min="2305" max="2305" width="19" style="284" bestFit="1" customWidth="1"/>
    <col min="2306" max="2306" width="19.28515625" style="284" customWidth="1"/>
    <col min="2307" max="2307" width="17.85546875" style="284" bestFit="1" customWidth="1"/>
    <col min="2308" max="2308" width="5.140625" style="284" customWidth="1"/>
    <col min="2309" max="2310" width="14.5703125" style="284" bestFit="1" customWidth="1"/>
    <col min="2311" max="2550" width="9.140625" style="284"/>
    <col min="2551" max="2551" width="6.5703125" style="284" bestFit="1" customWidth="1"/>
    <col min="2552" max="2552" width="32.85546875" style="284" customWidth="1"/>
    <col min="2553" max="2553" width="18.85546875" style="284" customWidth="1"/>
    <col min="2554" max="2554" width="16.42578125" style="284" customWidth="1"/>
    <col min="2555" max="2555" width="17.42578125" style="284" customWidth="1"/>
    <col min="2556" max="2556" width="18.5703125" style="284" customWidth="1"/>
    <col min="2557" max="2557" width="17.140625" style="284" customWidth="1"/>
    <col min="2558" max="2558" width="16.42578125" style="284" customWidth="1"/>
    <col min="2559" max="2559" width="16.7109375" style="284" customWidth="1"/>
    <col min="2560" max="2560" width="17.42578125" style="284" customWidth="1"/>
    <col min="2561" max="2561" width="19" style="284" bestFit="1" customWidth="1"/>
    <col min="2562" max="2562" width="19.28515625" style="284" customWidth="1"/>
    <col min="2563" max="2563" width="17.85546875" style="284" bestFit="1" customWidth="1"/>
    <col min="2564" max="2564" width="5.140625" style="284" customWidth="1"/>
    <col min="2565" max="2566" width="14.5703125" style="284" bestFit="1" customWidth="1"/>
    <col min="2567" max="2806" width="9.140625" style="284"/>
    <col min="2807" max="2807" width="6.5703125" style="284" bestFit="1" customWidth="1"/>
    <col min="2808" max="2808" width="32.85546875" style="284" customWidth="1"/>
    <col min="2809" max="2809" width="18.85546875" style="284" customWidth="1"/>
    <col min="2810" max="2810" width="16.42578125" style="284" customWidth="1"/>
    <col min="2811" max="2811" width="17.42578125" style="284" customWidth="1"/>
    <col min="2812" max="2812" width="18.5703125" style="284" customWidth="1"/>
    <col min="2813" max="2813" width="17.140625" style="284" customWidth="1"/>
    <col min="2814" max="2814" width="16.42578125" style="284" customWidth="1"/>
    <col min="2815" max="2815" width="16.7109375" style="284" customWidth="1"/>
    <col min="2816" max="2816" width="17.42578125" style="284" customWidth="1"/>
    <col min="2817" max="2817" width="19" style="284" bestFit="1" customWidth="1"/>
    <col min="2818" max="2818" width="19.28515625" style="284" customWidth="1"/>
    <col min="2819" max="2819" width="17.85546875" style="284" bestFit="1" customWidth="1"/>
    <col min="2820" max="2820" width="5.140625" style="284" customWidth="1"/>
    <col min="2821" max="2822" width="14.5703125" style="284" bestFit="1" customWidth="1"/>
    <col min="2823" max="3062" width="9.140625" style="284"/>
    <col min="3063" max="3063" width="6.5703125" style="284" bestFit="1" customWidth="1"/>
    <col min="3064" max="3064" width="32.85546875" style="284" customWidth="1"/>
    <col min="3065" max="3065" width="18.85546875" style="284" customWidth="1"/>
    <col min="3066" max="3066" width="16.42578125" style="284" customWidth="1"/>
    <col min="3067" max="3067" width="17.42578125" style="284" customWidth="1"/>
    <col min="3068" max="3068" width="18.5703125" style="284" customWidth="1"/>
    <col min="3069" max="3069" width="17.140625" style="284" customWidth="1"/>
    <col min="3070" max="3070" width="16.42578125" style="284" customWidth="1"/>
    <col min="3071" max="3071" width="16.7109375" style="284" customWidth="1"/>
    <col min="3072" max="3072" width="17.42578125" style="284" customWidth="1"/>
    <col min="3073" max="3073" width="19" style="284" bestFit="1" customWidth="1"/>
    <col min="3074" max="3074" width="19.28515625" style="284" customWidth="1"/>
    <col min="3075" max="3075" width="17.85546875" style="284" bestFit="1" customWidth="1"/>
    <col min="3076" max="3076" width="5.140625" style="284" customWidth="1"/>
    <col min="3077" max="3078" width="14.5703125" style="284" bestFit="1" customWidth="1"/>
    <col min="3079" max="3318" width="9.140625" style="284"/>
    <col min="3319" max="3319" width="6.5703125" style="284" bestFit="1" customWidth="1"/>
    <col min="3320" max="3320" width="32.85546875" style="284" customWidth="1"/>
    <col min="3321" max="3321" width="18.85546875" style="284" customWidth="1"/>
    <col min="3322" max="3322" width="16.42578125" style="284" customWidth="1"/>
    <col min="3323" max="3323" width="17.42578125" style="284" customWidth="1"/>
    <col min="3324" max="3324" width="18.5703125" style="284" customWidth="1"/>
    <col min="3325" max="3325" width="17.140625" style="284" customWidth="1"/>
    <col min="3326" max="3326" width="16.42578125" style="284" customWidth="1"/>
    <col min="3327" max="3327" width="16.7109375" style="284" customWidth="1"/>
    <col min="3328" max="3328" width="17.42578125" style="284" customWidth="1"/>
    <col min="3329" max="3329" width="19" style="284" bestFit="1" customWidth="1"/>
    <col min="3330" max="3330" width="19.28515625" style="284" customWidth="1"/>
    <col min="3331" max="3331" width="17.85546875" style="284" bestFit="1" customWidth="1"/>
    <col min="3332" max="3332" width="5.140625" style="284" customWidth="1"/>
    <col min="3333" max="3334" width="14.5703125" style="284" bestFit="1" customWidth="1"/>
    <col min="3335" max="3574" width="9.140625" style="284"/>
    <col min="3575" max="3575" width="6.5703125" style="284" bestFit="1" customWidth="1"/>
    <col min="3576" max="3576" width="32.85546875" style="284" customWidth="1"/>
    <col min="3577" max="3577" width="18.85546875" style="284" customWidth="1"/>
    <col min="3578" max="3578" width="16.42578125" style="284" customWidth="1"/>
    <col min="3579" max="3579" width="17.42578125" style="284" customWidth="1"/>
    <col min="3580" max="3580" width="18.5703125" style="284" customWidth="1"/>
    <col min="3581" max="3581" width="17.140625" style="284" customWidth="1"/>
    <col min="3582" max="3582" width="16.42578125" style="284" customWidth="1"/>
    <col min="3583" max="3583" width="16.7109375" style="284" customWidth="1"/>
    <col min="3584" max="3584" width="17.42578125" style="284" customWidth="1"/>
    <col min="3585" max="3585" width="19" style="284" bestFit="1" customWidth="1"/>
    <col min="3586" max="3586" width="19.28515625" style="284" customWidth="1"/>
    <col min="3587" max="3587" width="17.85546875" style="284" bestFit="1" customWidth="1"/>
    <col min="3588" max="3588" width="5.140625" style="284" customWidth="1"/>
    <col min="3589" max="3590" width="14.5703125" style="284" bestFit="1" customWidth="1"/>
    <col min="3591" max="3830" width="9.140625" style="284"/>
    <col min="3831" max="3831" width="6.5703125" style="284" bestFit="1" customWidth="1"/>
    <col min="3832" max="3832" width="32.85546875" style="284" customWidth="1"/>
    <col min="3833" max="3833" width="18.85546875" style="284" customWidth="1"/>
    <col min="3834" max="3834" width="16.42578125" style="284" customWidth="1"/>
    <col min="3835" max="3835" width="17.42578125" style="284" customWidth="1"/>
    <col min="3836" max="3836" width="18.5703125" style="284" customWidth="1"/>
    <col min="3837" max="3837" width="17.140625" style="284" customWidth="1"/>
    <col min="3838" max="3838" width="16.42578125" style="284" customWidth="1"/>
    <col min="3839" max="3839" width="16.7109375" style="284" customWidth="1"/>
    <col min="3840" max="3840" width="17.42578125" style="284" customWidth="1"/>
    <col min="3841" max="3841" width="19" style="284" bestFit="1" customWidth="1"/>
    <col min="3842" max="3842" width="19.28515625" style="284" customWidth="1"/>
    <col min="3843" max="3843" width="17.85546875" style="284" bestFit="1" customWidth="1"/>
    <col min="3844" max="3844" width="5.140625" style="284" customWidth="1"/>
    <col min="3845" max="3846" width="14.5703125" style="284" bestFit="1" customWidth="1"/>
    <col min="3847" max="4086" width="9.140625" style="284"/>
    <col min="4087" max="4087" width="6.5703125" style="284" bestFit="1" customWidth="1"/>
    <col min="4088" max="4088" width="32.85546875" style="284" customWidth="1"/>
    <col min="4089" max="4089" width="18.85546875" style="284" customWidth="1"/>
    <col min="4090" max="4090" width="16.42578125" style="284" customWidth="1"/>
    <col min="4091" max="4091" width="17.42578125" style="284" customWidth="1"/>
    <col min="4092" max="4092" width="18.5703125" style="284" customWidth="1"/>
    <col min="4093" max="4093" width="17.140625" style="284" customWidth="1"/>
    <col min="4094" max="4094" width="16.42578125" style="284" customWidth="1"/>
    <col min="4095" max="4095" width="16.7109375" style="284" customWidth="1"/>
    <col min="4096" max="4096" width="17.42578125" style="284" customWidth="1"/>
    <col min="4097" max="4097" width="19" style="284" bestFit="1" customWidth="1"/>
    <col min="4098" max="4098" width="19.28515625" style="284" customWidth="1"/>
    <col min="4099" max="4099" width="17.85546875" style="284" bestFit="1" customWidth="1"/>
    <col min="4100" max="4100" width="5.140625" style="284" customWidth="1"/>
    <col min="4101" max="4102" width="14.5703125" style="284" bestFit="1" customWidth="1"/>
    <col min="4103" max="4342" width="9.140625" style="284"/>
    <col min="4343" max="4343" width="6.5703125" style="284" bestFit="1" customWidth="1"/>
    <col min="4344" max="4344" width="32.85546875" style="284" customWidth="1"/>
    <col min="4345" max="4345" width="18.85546875" style="284" customWidth="1"/>
    <col min="4346" max="4346" width="16.42578125" style="284" customWidth="1"/>
    <col min="4347" max="4347" width="17.42578125" style="284" customWidth="1"/>
    <col min="4348" max="4348" width="18.5703125" style="284" customWidth="1"/>
    <col min="4349" max="4349" width="17.140625" style="284" customWidth="1"/>
    <col min="4350" max="4350" width="16.42578125" style="284" customWidth="1"/>
    <col min="4351" max="4351" width="16.7109375" style="284" customWidth="1"/>
    <col min="4352" max="4352" width="17.42578125" style="284" customWidth="1"/>
    <col min="4353" max="4353" width="19" style="284" bestFit="1" customWidth="1"/>
    <col min="4354" max="4354" width="19.28515625" style="284" customWidth="1"/>
    <col min="4355" max="4355" width="17.85546875" style="284" bestFit="1" customWidth="1"/>
    <col min="4356" max="4356" width="5.140625" style="284" customWidth="1"/>
    <col min="4357" max="4358" width="14.5703125" style="284" bestFit="1" customWidth="1"/>
    <col min="4359" max="4598" width="9.140625" style="284"/>
    <col min="4599" max="4599" width="6.5703125" style="284" bestFit="1" customWidth="1"/>
    <col min="4600" max="4600" width="32.85546875" style="284" customWidth="1"/>
    <col min="4601" max="4601" width="18.85546875" style="284" customWidth="1"/>
    <col min="4602" max="4602" width="16.42578125" style="284" customWidth="1"/>
    <col min="4603" max="4603" width="17.42578125" style="284" customWidth="1"/>
    <col min="4604" max="4604" width="18.5703125" style="284" customWidth="1"/>
    <col min="4605" max="4605" width="17.140625" style="284" customWidth="1"/>
    <col min="4606" max="4606" width="16.42578125" style="284" customWidth="1"/>
    <col min="4607" max="4607" width="16.7109375" style="284" customWidth="1"/>
    <col min="4608" max="4608" width="17.42578125" style="284" customWidth="1"/>
    <col min="4609" max="4609" width="19" style="284" bestFit="1" customWidth="1"/>
    <col min="4610" max="4610" width="19.28515625" style="284" customWidth="1"/>
    <col min="4611" max="4611" width="17.85546875" style="284" bestFit="1" customWidth="1"/>
    <col min="4612" max="4612" width="5.140625" style="284" customWidth="1"/>
    <col min="4613" max="4614" width="14.5703125" style="284" bestFit="1" customWidth="1"/>
    <col min="4615" max="4854" width="9.140625" style="284"/>
    <col min="4855" max="4855" width="6.5703125" style="284" bestFit="1" customWidth="1"/>
    <col min="4856" max="4856" width="32.85546875" style="284" customWidth="1"/>
    <col min="4857" max="4857" width="18.85546875" style="284" customWidth="1"/>
    <col min="4858" max="4858" width="16.42578125" style="284" customWidth="1"/>
    <col min="4859" max="4859" width="17.42578125" style="284" customWidth="1"/>
    <col min="4860" max="4860" width="18.5703125" style="284" customWidth="1"/>
    <col min="4861" max="4861" width="17.140625" style="284" customWidth="1"/>
    <col min="4862" max="4862" width="16.42578125" style="284" customWidth="1"/>
    <col min="4863" max="4863" width="16.7109375" style="284" customWidth="1"/>
    <col min="4864" max="4864" width="17.42578125" style="284" customWidth="1"/>
    <col min="4865" max="4865" width="19" style="284" bestFit="1" customWidth="1"/>
    <col min="4866" max="4866" width="19.28515625" style="284" customWidth="1"/>
    <col min="4867" max="4867" width="17.85546875" style="284" bestFit="1" customWidth="1"/>
    <col min="4868" max="4868" width="5.140625" style="284" customWidth="1"/>
    <col min="4869" max="4870" width="14.5703125" style="284" bestFit="1" customWidth="1"/>
    <col min="4871" max="5110" width="9.140625" style="284"/>
    <col min="5111" max="5111" width="6.5703125" style="284" bestFit="1" customWidth="1"/>
    <col min="5112" max="5112" width="32.85546875" style="284" customWidth="1"/>
    <col min="5113" max="5113" width="18.85546875" style="284" customWidth="1"/>
    <col min="5114" max="5114" width="16.42578125" style="284" customWidth="1"/>
    <col min="5115" max="5115" width="17.42578125" style="284" customWidth="1"/>
    <col min="5116" max="5116" width="18.5703125" style="284" customWidth="1"/>
    <col min="5117" max="5117" width="17.140625" style="284" customWidth="1"/>
    <col min="5118" max="5118" width="16.42578125" style="284" customWidth="1"/>
    <col min="5119" max="5119" width="16.7109375" style="284" customWidth="1"/>
    <col min="5120" max="5120" width="17.42578125" style="284" customWidth="1"/>
    <col min="5121" max="5121" width="19" style="284" bestFit="1" customWidth="1"/>
    <col min="5122" max="5122" width="19.28515625" style="284" customWidth="1"/>
    <col min="5123" max="5123" width="17.85546875" style="284" bestFit="1" customWidth="1"/>
    <col min="5124" max="5124" width="5.140625" style="284" customWidth="1"/>
    <col min="5125" max="5126" width="14.5703125" style="284" bestFit="1" customWidth="1"/>
    <col min="5127" max="5366" width="9.140625" style="284"/>
    <col min="5367" max="5367" width="6.5703125" style="284" bestFit="1" customWidth="1"/>
    <col min="5368" max="5368" width="32.85546875" style="284" customWidth="1"/>
    <col min="5369" max="5369" width="18.85546875" style="284" customWidth="1"/>
    <col min="5370" max="5370" width="16.42578125" style="284" customWidth="1"/>
    <col min="5371" max="5371" width="17.42578125" style="284" customWidth="1"/>
    <col min="5372" max="5372" width="18.5703125" style="284" customWidth="1"/>
    <col min="5373" max="5373" width="17.140625" style="284" customWidth="1"/>
    <col min="5374" max="5374" width="16.42578125" style="284" customWidth="1"/>
    <col min="5375" max="5375" width="16.7109375" style="284" customWidth="1"/>
    <col min="5376" max="5376" width="17.42578125" style="284" customWidth="1"/>
    <col min="5377" max="5377" width="19" style="284" bestFit="1" customWidth="1"/>
    <col min="5378" max="5378" width="19.28515625" style="284" customWidth="1"/>
    <col min="5379" max="5379" width="17.85546875" style="284" bestFit="1" customWidth="1"/>
    <col min="5380" max="5380" width="5.140625" style="284" customWidth="1"/>
    <col min="5381" max="5382" width="14.5703125" style="284" bestFit="1" customWidth="1"/>
    <col min="5383" max="5622" width="9.140625" style="284"/>
    <col min="5623" max="5623" width="6.5703125" style="284" bestFit="1" customWidth="1"/>
    <col min="5624" max="5624" width="32.85546875" style="284" customWidth="1"/>
    <col min="5625" max="5625" width="18.85546875" style="284" customWidth="1"/>
    <col min="5626" max="5626" width="16.42578125" style="284" customWidth="1"/>
    <col min="5627" max="5627" width="17.42578125" style="284" customWidth="1"/>
    <col min="5628" max="5628" width="18.5703125" style="284" customWidth="1"/>
    <col min="5629" max="5629" width="17.140625" style="284" customWidth="1"/>
    <col min="5630" max="5630" width="16.42578125" style="284" customWidth="1"/>
    <col min="5631" max="5631" width="16.7109375" style="284" customWidth="1"/>
    <col min="5632" max="5632" width="17.42578125" style="284" customWidth="1"/>
    <col min="5633" max="5633" width="19" style="284" bestFit="1" customWidth="1"/>
    <col min="5634" max="5634" width="19.28515625" style="284" customWidth="1"/>
    <col min="5635" max="5635" width="17.85546875" style="284" bestFit="1" customWidth="1"/>
    <col min="5636" max="5636" width="5.140625" style="284" customWidth="1"/>
    <col min="5637" max="5638" width="14.5703125" style="284" bestFit="1" customWidth="1"/>
    <col min="5639" max="5878" width="9.140625" style="284"/>
    <col min="5879" max="5879" width="6.5703125" style="284" bestFit="1" customWidth="1"/>
    <col min="5880" max="5880" width="32.85546875" style="284" customWidth="1"/>
    <col min="5881" max="5881" width="18.85546875" style="284" customWidth="1"/>
    <col min="5882" max="5882" width="16.42578125" style="284" customWidth="1"/>
    <col min="5883" max="5883" width="17.42578125" style="284" customWidth="1"/>
    <col min="5884" max="5884" width="18.5703125" style="284" customWidth="1"/>
    <col min="5885" max="5885" width="17.140625" style="284" customWidth="1"/>
    <col min="5886" max="5886" width="16.42578125" style="284" customWidth="1"/>
    <col min="5887" max="5887" width="16.7109375" style="284" customWidth="1"/>
    <col min="5888" max="5888" width="17.42578125" style="284" customWidth="1"/>
    <col min="5889" max="5889" width="19" style="284" bestFit="1" customWidth="1"/>
    <col min="5890" max="5890" width="19.28515625" style="284" customWidth="1"/>
    <col min="5891" max="5891" width="17.85546875" style="284" bestFit="1" customWidth="1"/>
    <col min="5892" max="5892" width="5.140625" style="284" customWidth="1"/>
    <col min="5893" max="5894" width="14.5703125" style="284" bestFit="1" customWidth="1"/>
    <col min="5895" max="6134" width="9.140625" style="284"/>
    <col min="6135" max="6135" width="6.5703125" style="284" bestFit="1" customWidth="1"/>
    <col min="6136" max="6136" width="32.85546875" style="284" customWidth="1"/>
    <col min="6137" max="6137" width="18.85546875" style="284" customWidth="1"/>
    <col min="6138" max="6138" width="16.42578125" style="284" customWidth="1"/>
    <col min="6139" max="6139" width="17.42578125" style="284" customWidth="1"/>
    <col min="6140" max="6140" width="18.5703125" style="284" customWidth="1"/>
    <col min="6141" max="6141" width="17.140625" style="284" customWidth="1"/>
    <col min="6142" max="6142" width="16.42578125" style="284" customWidth="1"/>
    <col min="6143" max="6143" width="16.7109375" style="284" customWidth="1"/>
    <col min="6144" max="6144" width="17.42578125" style="284" customWidth="1"/>
    <col min="6145" max="6145" width="19" style="284" bestFit="1" customWidth="1"/>
    <col min="6146" max="6146" width="19.28515625" style="284" customWidth="1"/>
    <col min="6147" max="6147" width="17.85546875" style="284" bestFit="1" customWidth="1"/>
    <col min="6148" max="6148" width="5.140625" style="284" customWidth="1"/>
    <col min="6149" max="6150" width="14.5703125" style="284" bestFit="1" customWidth="1"/>
    <col min="6151" max="6390" width="9.140625" style="284"/>
    <col min="6391" max="6391" width="6.5703125" style="284" bestFit="1" customWidth="1"/>
    <col min="6392" max="6392" width="32.85546875" style="284" customWidth="1"/>
    <col min="6393" max="6393" width="18.85546875" style="284" customWidth="1"/>
    <col min="6394" max="6394" width="16.42578125" style="284" customWidth="1"/>
    <col min="6395" max="6395" width="17.42578125" style="284" customWidth="1"/>
    <col min="6396" max="6396" width="18.5703125" style="284" customWidth="1"/>
    <col min="6397" max="6397" width="17.140625" style="284" customWidth="1"/>
    <col min="6398" max="6398" width="16.42578125" style="284" customWidth="1"/>
    <col min="6399" max="6399" width="16.7109375" style="284" customWidth="1"/>
    <col min="6400" max="6400" width="17.42578125" style="284" customWidth="1"/>
    <col min="6401" max="6401" width="19" style="284" bestFit="1" customWidth="1"/>
    <col min="6402" max="6402" width="19.28515625" style="284" customWidth="1"/>
    <col min="6403" max="6403" width="17.85546875" style="284" bestFit="1" customWidth="1"/>
    <col min="6404" max="6404" width="5.140625" style="284" customWidth="1"/>
    <col min="6405" max="6406" width="14.5703125" style="284" bestFit="1" customWidth="1"/>
    <col min="6407" max="6646" width="9.140625" style="284"/>
    <col min="6647" max="6647" width="6.5703125" style="284" bestFit="1" customWidth="1"/>
    <col min="6648" max="6648" width="32.85546875" style="284" customWidth="1"/>
    <col min="6649" max="6649" width="18.85546875" style="284" customWidth="1"/>
    <col min="6650" max="6650" width="16.42578125" style="284" customWidth="1"/>
    <col min="6651" max="6651" width="17.42578125" style="284" customWidth="1"/>
    <col min="6652" max="6652" width="18.5703125" style="284" customWidth="1"/>
    <col min="6653" max="6653" width="17.140625" style="284" customWidth="1"/>
    <col min="6654" max="6654" width="16.42578125" style="284" customWidth="1"/>
    <col min="6655" max="6655" width="16.7109375" style="284" customWidth="1"/>
    <col min="6656" max="6656" width="17.42578125" style="284" customWidth="1"/>
    <col min="6657" max="6657" width="19" style="284" bestFit="1" customWidth="1"/>
    <col min="6658" max="6658" width="19.28515625" style="284" customWidth="1"/>
    <col min="6659" max="6659" width="17.85546875" style="284" bestFit="1" customWidth="1"/>
    <col min="6660" max="6660" width="5.140625" style="284" customWidth="1"/>
    <col min="6661" max="6662" width="14.5703125" style="284" bestFit="1" customWidth="1"/>
    <col min="6663" max="6902" width="9.140625" style="284"/>
    <col min="6903" max="6903" width="6.5703125" style="284" bestFit="1" customWidth="1"/>
    <col min="6904" max="6904" width="32.85546875" style="284" customWidth="1"/>
    <col min="6905" max="6905" width="18.85546875" style="284" customWidth="1"/>
    <col min="6906" max="6906" width="16.42578125" style="284" customWidth="1"/>
    <col min="6907" max="6907" width="17.42578125" style="284" customWidth="1"/>
    <col min="6908" max="6908" width="18.5703125" style="284" customWidth="1"/>
    <col min="6909" max="6909" width="17.140625" style="284" customWidth="1"/>
    <col min="6910" max="6910" width="16.42578125" style="284" customWidth="1"/>
    <col min="6911" max="6911" width="16.7109375" style="284" customWidth="1"/>
    <col min="6912" max="6912" width="17.42578125" style="284" customWidth="1"/>
    <col min="6913" max="6913" width="19" style="284" bestFit="1" customWidth="1"/>
    <col min="6914" max="6914" width="19.28515625" style="284" customWidth="1"/>
    <col min="6915" max="6915" width="17.85546875" style="284" bestFit="1" customWidth="1"/>
    <col min="6916" max="6916" width="5.140625" style="284" customWidth="1"/>
    <col min="6917" max="6918" width="14.5703125" style="284" bestFit="1" customWidth="1"/>
    <col min="6919" max="7158" width="9.140625" style="284"/>
    <col min="7159" max="7159" width="6.5703125" style="284" bestFit="1" customWidth="1"/>
    <col min="7160" max="7160" width="32.85546875" style="284" customWidth="1"/>
    <col min="7161" max="7161" width="18.85546875" style="284" customWidth="1"/>
    <col min="7162" max="7162" width="16.42578125" style="284" customWidth="1"/>
    <col min="7163" max="7163" width="17.42578125" style="284" customWidth="1"/>
    <col min="7164" max="7164" width="18.5703125" style="284" customWidth="1"/>
    <col min="7165" max="7165" width="17.140625" style="284" customWidth="1"/>
    <col min="7166" max="7166" width="16.42578125" style="284" customWidth="1"/>
    <col min="7167" max="7167" width="16.7109375" style="284" customWidth="1"/>
    <col min="7168" max="7168" width="17.42578125" style="284" customWidth="1"/>
    <col min="7169" max="7169" width="19" style="284" bestFit="1" customWidth="1"/>
    <col min="7170" max="7170" width="19.28515625" style="284" customWidth="1"/>
    <col min="7171" max="7171" width="17.85546875" style="284" bestFit="1" customWidth="1"/>
    <col min="7172" max="7172" width="5.140625" style="284" customWidth="1"/>
    <col min="7173" max="7174" width="14.5703125" style="284" bestFit="1" customWidth="1"/>
    <col min="7175" max="7414" width="9.140625" style="284"/>
    <col min="7415" max="7415" width="6.5703125" style="284" bestFit="1" customWidth="1"/>
    <col min="7416" max="7416" width="32.85546875" style="284" customWidth="1"/>
    <col min="7417" max="7417" width="18.85546875" style="284" customWidth="1"/>
    <col min="7418" max="7418" width="16.42578125" style="284" customWidth="1"/>
    <col min="7419" max="7419" width="17.42578125" style="284" customWidth="1"/>
    <col min="7420" max="7420" width="18.5703125" style="284" customWidth="1"/>
    <col min="7421" max="7421" width="17.140625" style="284" customWidth="1"/>
    <col min="7422" max="7422" width="16.42578125" style="284" customWidth="1"/>
    <col min="7423" max="7423" width="16.7109375" style="284" customWidth="1"/>
    <col min="7424" max="7424" width="17.42578125" style="284" customWidth="1"/>
    <col min="7425" max="7425" width="19" style="284" bestFit="1" customWidth="1"/>
    <col min="7426" max="7426" width="19.28515625" style="284" customWidth="1"/>
    <col min="7427" max="7427" width="17.85546875" style="284" bestFit="1" customWidth="1"/>
    <col min="7428" max="7428" width="5.140625" style="284" customWidth="1"/>
    <col min="7429" max="7430" width="14.5703125" style="284" bestFit="1" customWidth="1"/>
    <col min="7431" max="7670" width="9.140625" style="284"/>
    <col min="7671" max="7671" width="6.5703125" style="284" bestFit="1" customWidth="1"/>
    <col min="7672" max="7672" width="32.85546875" style="284" customWidth="1"/>
    <col min="7673" max="7673" width="18.85546875" style="284" customWidth="1"/>
    <col min="7674" max="7674" width="16.42578125" style="284" customWidth="1"/>
    <col min="7675" max="7675" width="17.42578125" style="284" customWidth="1"/>
    <col min="7676" max="7676" width="18.5703125" style="284" customWidth="1"/>
    <col min="7677" max="7677" width="17.140625" style="284" customWidth="1"/>
    <col min="7678" max="7678" width="16.42578125" style="284" customWidth="1"/>
    <col min="7679" max="7679" width="16.7109375" style="284" customWidth="1"/>
    <col min="7680" max="7680" width="17.42578125" style="284" customWidth="1"/>
    <col min="7681" max="7681" width="19" style="284" bestFit="1" customWidth="1"/>
    <col min="7682" max="7682" width="19.28515625" style="284" customWidth="1"/>
    <col min="7683" max="7683" width="17.85546875" style="284" bestFit="1" customWidth="1"/>
    <col min="7684" max="7684" width="5.140625" style="284" customWidth="1"/>
    <col min="7685" max="7686" width="14.5703125" style="284" bestFit="1" customWidth="1"/>
    <col min="7687" max="7926" width="9.140625" style="284"/>
    <col min="7927" max="7927" width="6.5703125" style="284" bestFit="1" customWidth="1"/>
    <col min="7928" max="7928" width="32.85546875" style="284" customWidth="1"/>
    <col min="7929" max="7929" width="18.85546875" style="284" customWidth="1"/>
    <col min="7930" max="7930" width="16.42578125" style="284" customWidth="1"/>
    <col min="7931" max="7931" width="17.42578125" style="284" customWidth="1"/>
    <col min="7932" max="7932" width="18.5703125" style="284" customWidth="1"/>
    <col min="7933" max="7933" width="17.140625" style="284" customWidth="1"/>
    <col min="7934" max="7934" width="16.42578125" style="284" customWidth="1"/>
    <col min="7935" max="7935" width="16.7109375" style="284" customWidth="1"/>
    <col min="7936" max="7936" width="17.42578125" style="284" customWidth="1"/>
    <col min="7937" max="7937" width="19" style="284" bestFit="1" customWidth="1"/>
    <col min="7938" max="7938" width="19.28515625" style="284" customWidth="1"/>
    <col min="7939" max="7939" width="17.85546875" style="284" bestFit="1" customWidth="1"/>
    <col min="7940" max="7940" width="5.140625" style="284" customWidth="1"/>
    <col min="7941" max="7942" width="14.5703125" style="284" bestFit="1" customWidth="1"/>
    <col min="7943" max="8182" width="9.140625" style="284"/>
    <col min="8183" max="8183" width="6.5703125" style="284" bestFit="1" customWidth="1"/>
    <col min="8184" max="8184" width="32.85546875" style="284" customWidth="1"/>
    <col min="8185" max="8185" width="18.85546875" style="284" customWidth="1"/>
    <col min="8186" max="8186" width="16.42578125" style="284" customWidth="1"/>
    <col min="8187" max="8187" width="17.42578125" style="284" customWidth="1"/>
    <col min="8188" max="8188" width="18.5703125" style="284" customWidth="1"/>
    <col min="8189" max="8189" width="17.140625" style="284" customWidth="1"/>
    <col min="8190" max="8190" width="16.42578125" style="284" customWidth="1"/>
    <col min="8191" max="8191" width="16.7109375" style="284" customWidth="1"/>
    <col min="8192" max="8192" width="17.42578125" style="284" customWidth="1"/>
    <col min="8193" max="8193" width="19" style="284" bestFit="1" customWidth="1"/>
    <col min="8194" max="8194" width="19.28515625" style="284" customWidth="1"/>
    <col min="8195" max="8195" width="17.85546875" style="284" bestFit="1" customWidth="1"/>
    <col min="8196" max="8196" width="5.140625" style="284" customWidth="1"/>
    <col min="8197" max="8198" width="14.5703125" style="284" bestFit="1" customWidth="1"/>
    <col min="8199" max="8438" width="9.140625" style="284"/>
    <col min="8439" max="8439" width="6.5703125" style="284" bestFit="1" customWidth="1"/>
    <col min="8440" max="8440" width="32.85546875" style="284" customWidth="1"/>
    <col min="8441" max="8441" width="18.85546875" style="284" customWidth="1"/>
    <col min="8442" max="8442" width="16.42578125" style="284" customWidth="1"/>
    <col min="8443" max="8443" width="17.42578125" style="284" customWidth="1"/>
    <col min="8444" max="8444" width="18.5703125" style="284" customWidth="1"/>
    <col min="8445" max="8445" width="17.140625" style="284" customWidth="1"/>
    <col min="8446" max="8446" width="16.42578125" style="284" customWidth="1"/>
    <col min="8447" max="8447" width="16.7109375" style="284" customWidth="1"/>
    <col min="8448" max="8448" width="17.42578125" style="284" customWidth="1"/>
    <col min="8449" max="8449" width="19" style="284" bestFit="1" customWidth="1"/>
    <col min="8450" max="8450" width="19.28515625" style="284" customWidth="1"/>
    <col min="8451" max="8451" width="17.85546875" style="284" bestFit="1" customWidth="1"/>
    <col min="8452" max="8452" width="5.140625" style="284" customWidth="1"/>
    <col min="8453" max="8454" width="14.5703125" style="284" bestFit="1" customWidth="1"/>
    <col min="8455" max="8694" width="9.140625" style="284"/>
    <col min="8695" max="8695" width="6.5703125" style="284" bestFit="1" customWidth="1"/>
    <col min="8696" max="8696" width="32.85546875" style="284" customWidth="1"/>
    <col min="8697" max="8697" width="18.85546875" style="284" customWidth="1"/>
    <col min="8698" max="8698" width="16.42578125" style="284" customWidth="1"/>
    <col min="8699" max="8699" width="17.42578125" style="284" customWidth="1"/>
    <col min="8700" max="8700" width="18.5703125" style="284" customWidth="1"/>
    <col min="8701" max="8701" width="17.140625" style="284" customWidth="1"/>
    <col min="8702" max="8702" width="16.42578125" style="284" customWidth="1"/>
    <col min="8703" max="8703" width="16.7109375" style="284" customWidth="1"/>
    <col min="8704" max="8704" width="17.42578125" style="284" customWidth="1"/>
    <col min="8705" max="8705" width="19" style="284" bestFit="1" customWidth="1"/>
    <col min="8706" max="8706" width="19.28515625" style="284" customWidth="1"/>
    <col min="8707" max="8707" width="17.85546875" style="284" bestFit="1" customWidth="1"/>
    <col min="8708" max="8708" width="5.140625" style="284" customWidth="1"/>
    <col min="8709" max="8710" width="14.5703125" style="284" bestFit="1" customWidth="1"/>
    <col min="8711" max="8950" width="9.140625" style="284"/>
    <col min="8951" max="8951" width="6.5703125" style="284" bestFit="1" customWidth="1"/>
    <col min="8952" max="8952" width="32.85546875" style="284" customWidth="1"/>
    <col min="8953" max="8953" width="18.85546875" style="284" customWidth="1"/>
    <col min="8954" max="8954" width="16.42578125" style="284" customWidth="1"/>
    <col min="8955" max="8955" width="17.42578125" style="284" customWidth="1"/>
    <col min="8956" max="8956" width="18.5703125" style="284" customWidth="1"/>
    <col min="8957" max="8957" width="17.140625" style="284" customWidth="1"/>
    <col min="8958" max="8958" width="16.42578125" style="284" customWidth="1"/>
    <col min="8959" max="8959" width="16.7109375" style="284" customWidth="1"/>
    <col min="8960" max="8960" width="17.42578125" style="284" customWidth="1"/>
    <col min="8961" max="8961" width="19" style="284" bestFit="1" customWidth="1"/>
    <col min="8962" max="8962" width="19.28515625" style="284" customWidth="1"/>
    <col min="8963" max="8963" width="17.85546875" style="284" bestFit="1" customWidth="1"/>
    <col min="8964" max="8964" width="5.140625" style="284" customWidth="1"/>
    <col min="8965" max="8966" width="14.5703125" style="284" bestFit="1" customWidth="1"/>
    <col min="8967" max="9206" width="9.140625" style="284"/>
    <col min="9207" max="9207" width="6.5703125" style="284" bestFit="1" customWidth="1"/>
    <col min="9208" max="9208" width="32.85546875" style="284" customWidth="1"/>
    <col min="9209" max="9209" width="18.85546875" style="284" customWidth="1"/>
    <col min="9210" max="9210" width="16.42578125" style="284" customWidth="1"/>
    <col min="9211" max="9211" width="17.42578125" style="284" customWidth="1"/>
    <col min="9212" max="9212" width="18.5703125" style="284" customWidth="1"/>
    <col min="9213" max="9213" width="17.140625" style="284" customWidth="1"/>
    <col min="9214" max="9214" width="16.42578125" style="284" customWidth="1"/>
    <col min="9215" max="9215" width="16.7109375" style="284" customWidth="1"/>
    <col min="9216" max="9216" width="17.42578125" style="284" customWidth="1"/>
    <col min="9217" max="9217" width="19" style="284" bestFit="1" customWidth="1"/>
    <col min="9218" max="9218" width="19.28515625" style="284" customWidth="1"/>
    <col min="9219" max="9219" width="17.85546875" style="284" bestFit="1" customWidth="1"/>
    <col min="9220" max="9220" width="5.140625" style="284" customWidth="1"/>
    <col min="9221" max="9222" width="14.5703125" style="284" bestFit="1" customWidth="1"/>
    <col min="9223" max="9462" width="9.140625" style="284"/>
    <col min="9463" max="9463" width="6.5703125" style="284" bestFit="1" customWidth="1"/>
    <col min="9464" max="9464" width="32.85546875" style="284" customWidth="1"/>
    <col min="9465" max="9465" width="18.85546875" style="284" customWidth="1"/>
    <col min="9466" max="9466" width="16.42578125" style="284" customWidth="1"/>
    <col min="9467" max="9467" width="17.42578125" style="284" customWidth="1"/>
    <col min="9468" max="9468" width="18.5703125" style="284" customWidth="1"/>
    <col min="9469" max="9469" width="17.140625" style="284" customWidth="1"/>
    <col min="9470" max="9470" width="16.42578125" style="284" customWidth="1"/>
    <col min="9471" max="9471" width="16.7109375" style="284" customWidth="1"/>
    <col min="9472" max="9472" width="17.42578125" style="284" customWidth="1"/>
    <col min="9473" max="9473" width="19" style="284" bestFit="1" customWidth="1"/>
    <col min="9474" max="9474" width="19.28515625" style="284" customWidth="1"/>
    <col min="9475" max="9475" width="17.85546875" style="284" bestFit="1" customWidth="1"/>
    <col min="9476" max="9476" width="5.140625" style="284" customWidth="1"/>
    <col min="9477" max="9478" width="14.5703125" style="284" bestFit="1" customWidth="1"/>
    <col min="9479" max="9718" width="9.140625" style="284"/>
    <col min="9719" max="9719" width="6.5703125" style="284" bestFit="1" customWidth="1"/>
    <col min="9720" max="9720" width="32.85546875" style="284" customWidth="1"/>
    <col min="9721" max="9721" width="18.85546875" style="284" customWidth="1"/>
    <col min="9722" max="9722" width="16.42578125" style="284" customWidth="1"/>
    <col min="9723" max="9723" width="17.42578125" style="284" customWidth="1"/>
    <col min="9724" max="9724" width="18.5703125" style="284" customWidth="1"/>
    <col min="9725" max="9725" width="17.140625" style="284" customWidth="1"/>
    <col min="9726" max="9726" width="16.42578125" style="284" customWidth="1"/>
    <col min="9727" max="9727" width="16.7109375" style="284" customWidth="1"/>
    <col min="9728" max="9728" width="17.42578125" style="284" customWidth="1"/>
    <col min="9729" max="9729" width="19" style="284" bestFit="1" customWidth="1"/>
    <col min="9730" max="9730" width="19.28515625" style="284" customWidth="1"/>
    <col min="9731" max="9731" width="17.85546875" style="284" bestFit="1" customWidth="1"/>
    <col min="9732" max="9732" width="5.140625" style="284" customWidth="1"/>
    <col min="9733" max="9734" width="14.5703125" style="284" bestFit="1" customWidth="1"/>
    <col min="9735" max="9974" width="9.140625" style="284"/>
    <col min="9975" max="9975" width="6.5703125" style="284" bestFit="1" customWidth="1"/>
    <col min="9976" max="9976" width="32.85546875" style="284" customWidth="1"/>
    <col min="9977" max="9977" width="18.85546875" style="284" customWidth="1"/>
    <col min="9978" max="9978" width="16.42578125" style="284" customWidth="1"/>
    <col min="9979" max="9979" width="17.42578125" style="284" customWidth="1"/>
    <col min="9980" max="9980" width="18.5703125" style="284" customWidth="1"/>
    <col min="9981" max="9981" width="17.140625" style="284" customWidth="1"/>
    <col min="9982" max="9982" width="16.42578125" style="284" customWidth="1"/>
    <col min="9983" max="9983" width="16.7109375" style="284" customWidth="1"/>
    <col min="9984" max="9984" width="17.42578125" style="284" customWidth="1"/>
    <col min="9985" max="9985" width="19" style="284" bestFit="1" customWidth="1"/>
    <col min="9986" max="9986" width="19.28515625" style="284" customWidth="1"/>
    <col min="9987" max="9987" width="17.85546875" style="284" bestFit="1" customWidth="1"/>
    <col min="9988" max="9988" width="5.140625" style="284" customWidth="1"/>
    <col min="9989" max="9990" width="14.5703125" style="284" bestFit="1" customWidth="1"/>
    <col min="9991" max="10230" width="9.140625" style="284"/>
    <col min="10231" max="10231" width="6.5703125" style="284" bestFit="1" customWidth="1"/>
    <col min="10232" max="10232" width="32.85546875" style="284" customWidth="1"/>
    <col min="10233" max="10233" width="18.85546875" style="284" customWidth="1"/>
    <col min="10234" max="10234" width="16.42578125" style="284" customWidth="1"/>
    <col min="10235" max="10235" width="17.42578125" style="284" customWidth="1"/>
    <col min="10236" max="10236" width="18.5703125" style="284" customWidth="1"/>
    <col min="10237" max="10237" width="17.140625" style="284" customWidth="1"/>
    <col min="10238" max="10238" width="16.42578125" style="284" customWidth="1"/>
    <col min="10239" max="10239" width="16.7109375" style="284" customWidth="1"/>
    <col min="10240" max="10240" width="17.42578125" style="284" customWidth="1"/>
    <col min="10241" max="10241" width="19" style="284" bestFit="1" customWidth="1"/>
    <col min="10242" max="10242" width="19.28515625" style="284" customWidth="1"/>
    <col min="10243" max="10243" width="17.85546875" style="284" bestFit="1" customWidth="1"/>
    <col min="10244" max="10244" width="5.140625" style="284" customWidth="1"/>
    <col min="10245" max="10246" width="14.5703125" style="284" bestFit="1" customWidth="1"/>
    <col min="10247" max="10486" width="9.140625" style="284"/>
    <col min="10487" max="10487" width="6.5703125" style="284" bestFit="1" customWidth="1"/>
    <col min="10488" max="10488" width="32.85546875" style="284" customWidth="1"/>
    <col min="10489" max="10489" width="18.85546875" style="284" customWidth="1"/>
    <col min="10490" max="10490" width="16.42578125" style="284" customWidth="1"/>
    <col min="10491" max="10491" width="17.42578125" style="284" customWidth="1"/>
    <col min="10492" max="10492" width="18.5703125" style="284" customWidth="1"/>
    <col min="10493" max="10493" width="17.140625" style="284" customWidth="1"/>
    <col min="10494" max="10494" width="16.42578125" style="284" customWidth="1"/>
    <col min="10495" max="10495" width="16.7109375" style="284" customWidth="1"/>
    <col min="10496" max="10496" width="17.42578125" style="284" customWidth="1"/>
    <col min="10497" max="10497" width="19" style="284" bestFit="1" customWidth="1"/>
    <col min="10498" max="10498" width="19.28515625" style="284" customWidth="1"/>
    <col min="10499" max="10499" width="17.85546875" style="284" bestFit="1" customWidth="1"/>
    <col min="10500" max="10500" width="5.140625" style="284" customWidth="1"/>
    <col min="10501" max="10502" width="14.5703125" style="284" bestFit="1" customWidth="1"/>
    <col min="10503" max="10742" width="9.140625" style="284"/>
    <col min="10743" max="10743" width="6.5703125" style="284" bestFit="1" customWidth="1"/>
    <col min="10744" max="10744" width="32.85546875" style="284" customWidth="1"/>
    <col min="10745" max="10745" width="18.85546875" style="284" customWidth="1"/>
    <col min="10746" max="10746" width="16.42578125" style="284" customWidth="1"/>
    <col min="10747" max="10747" width="17.42578125" style="284" customWidth="1"/>
    <col min="10748" max="10748" width="18.5703125" style="284" customWidth="1"/>
    <col min="10749" max="10749" width="17.140625" style="284" customWidth="1"/>
    <col min="10750" max="10750" width="16.42578125" style="284" customWidth="1"/>
    <col min="10751" max="10751" width="16.7109375" style="284" customWidth="1"/>
    <col min="10752" max="10752" width="17.42578125" style="284" customWidth="1"/>
    <col min="10753" max="10753" width="19" style="284" bestFit="1" customWidth="1"/>
    <col min="10754" max="10754" width="19.28515625" style="284" customWidth="1"/>
    <col min="10755" max="10755" width="17.85546875" style="284" bestFit="1" customWidth="1"/>
    <col min="10756" max="10756" width="5.140625" style="284" customWidth="1"/>
    <col min="10757" max="10758" width="14.5703125" style="284" bestFit="1" customWidth="1"/>
    <col min="10759" max="10998" width="9.140625" style="284"/>
    <col min="10999" max="10999" width="6.5703125" style="284" bestFit="1" customWidth="1"/>
    <col min="11000" max="11000" width="32.85546875" style="284" customWidth="1"/>
    <col min="11001" max="11001" width="18.85546875" style="284" customWidth="1"/>
    <col min="11002" max="11002" width="16.42578125" style="284" customWidth="1"/>
    <col min="11003" max="11003" width="17.42578125" style="284" customWidth="1"/>
    <col min="11004" max="11004" width="18.5703125" style="284" customWidth="1"/>
    <col min="11005" max="11005" width="17.140625" style="284" customWidth="1"/>
    <col min="11006" max="11006" width="16.42578125" style="284" customWidth="1"/>
    <col min="11007" max="11007" width="16.7109375" style="284" customWidth="1"/>
    <col min="11008" max="11008" width="17.42578125" style="284" customWidth="1"/>
    <col min="11009" max="11009" width="19" style="284" bestFit="1" customWidth="1"/>
    <col min="11010" max="11010" width="19.28515625" style="284" customWidth="1"/>
    <col min="11011" max="11011" width="17.85546875" style="284" bestFit="1" customWidth="1"/>
    <col min="11012" max="11012" width="5.140625" style="284" customWidth="1"/>
    <col min="11013" max="11014" width="14.5703125" style="284" bestFit="1" customWidth="1"/>
    <col min="11015" max="11254" width="9.140625" style="284"/>
    <col min="11255" max="11255" width="6.5703125" style="284" bestFit="1" customWidth="1"/>
    <col min="11256" max="11256" width="32.85546875" style="284" customWidth="1"/>
    <col min="11257" max="11257" width="18.85546875" style="284" customWidth="1"/>
    <col min="11258" max="11258" width="16.42578125" style="284" customWidth="1"/>
    <col min="11259" max="11259" width="17.42578125" style="284" customWidth="1"/>
    <col min="11260" max="11260" width="18.5703125" style="284" customWidth="1"/>
    <col min="11261" max="11261" width="17.140625" style="284" customWidth="1"/>
    <col min="11262" max="11262" width="16.42578125" style="284" customWidth="1"/>
    <col min="11263" max="11263" width="16.7109375" style="284" customWidth="1"/>
    <col min="11264" max="11264" width="17.42578125" style="284" customWidth="1"/>
    <col min="11265" max="11265" width="19" style="284" bestFit="1" customWidth="1"/>
    <col min="11266" max="11266" width="19.28515625" style="284" customWidth="1"/>
    <col min="11267" max="11267" width="17.85546875" style="284" bestFit="1" customWidth="1"/>
    <col min="11268" max="11268" width="5.140625" style="284" customWidth="1"/>
    <col min="11269" max="11270" width="14.5703125" style="284" bestFit="1" customWidth="1"/>
    <col min="11271" max="11510" width="9.140625" style="284"/>
    <col min="11511" max="11511" width="6.5703125" style="284" bestFit="1" customWidth="1"/>
    <col min="11512" max="11512" width="32.85546875" style="284" customWidth="1"/>
    <col min="11513" max="11513" width="18.85546875" style="284" customWidth="1"/>
    <col min="11514" max="11514" width="16.42578125" style="284" customWidth="1"/>
    <col min="11515" max="11515" width="17.42578125" style="284" customWidth="1"/>
    <col min="11516" max="11516" width="18.5703125" style="284" customWidth="1"/>
    <col min="11517" max="11517" width="17.140625" style="284" customWidth="1"/>
    <col min="11518" max="11518" width="16.42578125" style="284" customWidth="1"/>
    <col min="11519" max="11519" width="16.7109375" style="284" customWidth="1"/>
    <col min="11520" max="11520" width="17.42578125" style="284" customWidth="1"/>
    <col min="11521" max="11521" width="19" style="284" bestFit="1" customWidth="1"/>
    <col min="11522" max="11522" width="19.28515625" style="284" customWidth="1"/>
    <col min="11523" max="11523" width="17.85546875" style="284" bestFit="1" customWidth="1"/>
    <col min="11524" max="11524" width="5.140625" style="284" customWidth="1"/>
    <col min="11525" max="11526" width="14.5703125" style="284" bestFit="1" customWidth="1"/>
    <col min="11527" max="11766" width="9.140625" style="284"/>
    <col min="11767" max="11767" width="6.5703125" style="284" bestFit="1" customWidth="1"/>
    <col min="11768" max="11768" width="32.85546875" style="284" customWidth="1"/>
    <col min="11769" max="11769" width="18.85546875" style="284" customWidth="1"/>
    <col min="11770" max="11770" width="16.42578125" style="284" customWidth="1"/>
    <col min="11771" max="11771" width="17.42578125" style="284" customWidth="1"/>
    <col min="11772" max="11772" width="18.5703125" style="284" customWidth="1"/>
    <col min="11773" max="11773" width="17.140625" style="284" customWidth="1"/>
    <col min="11774" max="11774" width="16.42578125" style="284" customWidth="1"/>
    <col min="11775" max="11775" width="16.7109375" style="284" customWidth="1"/>
    <col min="11776" max="11776" width="17.42578125" style="284" customWidth="1"/>
    <col min="11777" max="11777" width="19" style="284" bestFit="1" customWidth="1"/>
    <col min="11778" max="11778" width="19.28515625" style="284" customWidth="1"/>
    <col min="11779" max="11779" width="17.85546875" style="284" bestFit="1" customWidth="1"/>
    <col min="11780" max="11780" width="5.140625" style="284" customWidth="1"/>
    <col min="11781" max="11782" width="14.5703125" style="284" bestFit="1" customWidth="1"/>
    <col min="11783" max="12022" width="9.140625" style="284"/>
    <col min="12023" max="12023" width="6.5703125" style="284" bestFit="1" customWidth="1"/>
    <col min="12024" max="12024" width="32.85546875" style="284" customWidth="1"/>
    <col min="12025" max="12025" width="18.85546875" style="284" customWidth="1"/>
    <col min="12026" max="12026" width="16.42578125" style="284" customWidth="1"/>
    <col min="12027" max="12027" width="17.42578125" style="284" customWidth="1"/>
    <col min="12028" max="12028" width="18.5703125" style="284" customWidth="1"/>
    <col min="12029" max="12029" width="17.140625" style="284" customWidth="1"/>
    <col min="12030" max="12030" width="16.42578125" style="284" customWidth="1"/>
    <col min="12031" max="12031" width="16.7109375" style="284" customWidth="1"/>
    <col min="12032" max="12032" width="17.42578125" style="284" customWidth="1"/>
    <col min="12033" max="12033" width="19" style="284" bestFit="1" customWidth="1"/>
    <col min="12034" max="12034" width="19.28515625" style="284" customWidth="1"/>
    <col min="12035" max="12035" width="17.85546875" style="284" bestFit="1" customWidth="1"/>
    <col min="12036" max="12036" width="5.140625" style="284" customWidth="1"/>
    <col min="12037" max="12038" width="14.5703125" style="284" bestFit="1" customWidth="1"/>
    <col min="12039" max="12278" width="9.140625" style="284"/>
    <col min="12279" max="12279" width="6.5703125" style="284" bestFit="1" customWidth="1"/>
    <col min="12280" max="12280" width="32.85546875" style="284" customWidth="1"/>
    <col min="12281" max="12281" width="18.85546875" style="284" customWidth="1"/>
    <col min="12282" max="12282" width="16.42578125" style="284" customWidth="1"/>
    <col min="12283" max="12283" width="17.42578125" style="284" customWidth="1"/>
    <col min="12284" max="12284" width="18.5703125" style="284" customWidth="1"/>
    <col min="12285" max="12285" width="17.140625" style="284" customWidth="1"/>
    <col min="12286" max="12286" width="16.42578125" style="284" customWidth="1"/>
    <col min="12287" max="12287" width="16.7109375" style="284" customWidth="1"/>
    <col min="12288" max="12288" width="17.42578125" style="284" customWidth="1"/>
    <col min="12289" max="12289" width="19" style="284" bestFit="1" customWidth="1"/>
    <col min="12290" max="12290" width="19.28515625" style="284" customWidth="1"/>
    <col min="12291" max="12291" width="17.85546875" style="284" bestFit="1" customWidth="1"/>
    <col min="12292" max="12292" width="5.140625" style="284" customWidth="1"/>
    <col min="12293" max="12294" width="14.5703125" style="284" bestFit="1" customWidth="1"/>
    <col min="12295" max="12534" width="9.140625" style="284"/>
    <col min="12535" max="12535" width="6.5703125" style="284" bestFit="1" customWidth="1"/>
    <col min="12536" max="12536" width="32.85546875" style="284" customWidth="1"/>
    <col min="12537" max="12537" width="18.85546875" style="284" customWidth="1"/>
    <col min="12538" max="12538" width="16.42578125" style="284" customWidth="1"/>
    <col min="12539" max="12539" width="17.42578125" style="284" customWidth="1"/>
    <col min="12540" max="12540" width="18.5703125" style="284" customWidth="1"/>
    <col min="12541" max="12541" width="17.140625" style="284" customWidth="1"/>
    <col min="12542" max="12542" width="16.42578125" style="284" customWidth="1"/>
    <col min="12543" max="12543" width="16.7109375" style="284" customWidth="1"/>
    <col min="12544" max="12544" width="17.42578125" style="284" customWidth="1"/>
    <col min="12545" max="12545" width="19" style="284" bestFit="1" customWidth="1"/>
    <col min="12546" max="12546" width="19.28515625" style="284" customWidth="1"/>
    <col min="12547" max="12547" width="17.85546875" style="284" bestFit="1" customWidth="1"/>
    <col min="12548" max="12548" width="5.140625" style="284" customWidth="1"/>
    <col min="12549" max="12550" width="14.5703125" style="284" bestFit="1" customWidth="1"/>
    <col min="12551" max="12790" width="9.140625" style="284"/>
    <col min="12791" max="12791" width="6.5703125" style="284" bestFit="1" customWidth="1"/>
    <col min="12792" max="12792" width="32.85546875" style="284" customWidth="1"/>
    <col min="12793" max="12793" width="18.85546875" style="284" customWidth="1"/>
    <col min="12794" max="12794" width="16.42578125" style="284" customWidth="1"/>
    <col min="12795" max="12795" width="17.42578125" style="284" customWidth="1"/>
    <col min="12796" max="12796" width="18.5703125" style="284" customWidth="1"/>
    <col min="12797" max="12797" width="17.140625" style="284" customWidth="1"/>
    <col min="12798" max="12798" width="16.42578125" style="284" customWidth="1"/>
    <col min="12799" max="12799" width="16.7109375" style="284" customWidth="1"/>
    <col min="12800" max="12800" width="17.42578125" style="284" customWidth="1"/>
    <col min="12801" max="12801" width="19" style="284" bestFit="1" customWidth="1"/>
    <col min="12802" max="12802" width="19.28515625" style="284" customWidth="1"/>
    <col min="12803" max="12803" width="17.85546875" style="284" bestFit="1" customWidth="1"/>
    <col min="12804" max="12804" width="5.140625" style="284" customWidth="1"/>
    <col min="12805" max="12806" width="14.5703125" style="284" bestFit="1" customWidth="1"/>
    <col min="12807" max="13046" width="9.140625" style="284"/>
    <col min="13047" max="13047" width="6.5703125" style="284" bestFit="1" customWidth="1"/>
    <col min="13048" max="13048" width="32.85546875" style="284" customWidth="1"/>
    <col min="13049" max="13049" width="18.85546875" style="284" customWidth="1"/>
    <col min="13050" max="13050" width="16.42578125" style="284" customWidth="1"/>
    <col min="13051" max="13051" width="17.42578125" style="284" customWidth="1"/>
    <col min="13052" max="13052" width="18.5703125" style="284" customWidth="1"/>
    <col min="13053" max="13053" width="17.140625" style="284" customWidth="1"/>
    <col min="13054" max="13054" width="16.42578125" style="284" customWidth="1"/>
    <col min="13055" max="13055" width="16.7109375" style="284" customWidth="1"/>
    <col min="13056" max="13056" width="17.42578125" style="284" customWidth="1"/>
    <col min="13057" max="13057" width="19" style="284" bestFit="1" customWidth="1"/>
    <col min="13058" max="13058" width="19.28515625" style="284" customWidth="1"/>
    <col min="13059" max="13059" width="17.85546875" style="284" bestFit="1" customWidth="1"/>
    <col min="13060" max="13060" width="5.140625" style="284" customWidth="1"/>
    <col min="13061" max="13062" width="14.5703125" style="284" bestFit="1" customWidth="1"/>
    <col min="13063" max="13302" width="9.140625" style="284"/>
    <col min="13303" max="13303" width="6.5703125" style="284" bestFit="1" customWidth="1"/>
    <col min="13304" max="13304" width="32.85546875" style="284" customWidth="1"/>
    <col min="13305" max="13305" width="18.85546875" style="284" customWidth="1"/>
    <col min="13306" max="13306" width="16.42578125" style="284" customWidth="1"/>
    <col min="13307" max="13307" width="17.42578125" style="284" customWidth="1"/>
    <col min="13308" max="13308" width="18.5703125" style="284" customWidth="1"/>
    <col min="13309" max="13309" width="17.140625" style="284" customWidth="1"/>
    <col min="13310" max="13310" width="16.42578125" style="284" customWidth="1"/>
    <col min="13311" max="13311" width="16.7109375" style="284" customWidth="1"/>
    <col min="13312" max="13312" width="17.42578125" style="284" customWidth="1"/>
    <col min="13313" max="13313" width="19" style="284" bestFit="1" customWidth="1"/>
    <col min="13314" max="13314" width="19.28515625" style="284" customWidth="1"/>
    <col min="13315" max="13315" width="17.85546875" style="284" bestFit="1" customWidth="1"/>
    <col min="13316" max="13316" width="5.140625" style="284" customWidth="1"/>
    <col min="13317" max="13318" width="14.5703125" style="284" bestFit="1" customWidth="1"/>
    <col min="13319" max="13558" width="9.140625" style="284"/>
    <col min="13559" max="13559" width="6.5703125" style="284" bestFit="1" customWidth="1"/>
    <col min="13560" max="13560" width="32.85546875" style="284" customWidth="1"/>
    <col min="13561" max="13561" width="18.85546875" style="284" customWidth="1"/>
    <col min="13562" max="13562" width="16.42578125" style="284" customWidth="1"/>
    <col min="13563" max="13563" width="17.42578125" style="284" customWidth="1"/>
    <col min="13564" max="13564" width="18.5703125" style="284" customWidth="1"/>
    <col min="13565" max="13565" width="17.140625" style="284" customWidth="1"/>
    <col min="13566" max="13566" width="16.42578125" style="284" customWidth="1"/>
    <col min="13567" max="13567" width="16.7109375" style="284" customWidth="1"/>
    <col min="13568" max="13568" width="17.42578125" style="284" customWidth="1"/>
    <col min="13569" max="13569" width="19" style="284" bestFit="1" customWidth="1"/>
    <col min="13570" max="13570" width="19.28515625" style="284" customWidth="1"/>
    <col min="13571" max="13571" width="17.85546875" style="284" bestFit="1" customWidth="1"/>
    <col min="13572" max="13572" width="5.140625" style="284" customWidth="1"/>
    <col min="13573" max="13574" width="14.5703125" style="284" bestFit="1" customWidth="1"/>
    <col min="13575" max="13814" width="9.140625" style="284"/>
    <col min="13815" max="13815" width="6.5703125" style="284" bestFit="1" customWidth="1"/>
    <col min="13816" max="13816" width="32.85546875" style="284" customWidth="1"/>
    <col min="13817" max="13817" width="18.85546875" style="284" customWidth="1"/>
    <col min="13818" max="13818" width="16.42578125" style="284" customWidth="1"/>
    <col min="13819" max="13819" width="17.42578125" style="284" customWidth="1"/>
    <col min="13820" max="13820" width="18.5703125" style="284" customWidth="1"/>
    <col min="13821" max="13821" width="17.140625" style="284" customWidth="1"/>
    <col min="13822" max="13822" width="16.42578125" style="284" customWidth="1"/>
    <col min="13823" max="13823" width="16.7109375" style="284" customWidth="1"/>
    <col min="13824" max="13824" width="17.42578125" style="284" customWidth="1"/>
    <col min="13825" max="13825" width="19" style="284" bestFit="1" customWidth="1"/>
    <col min="13826" max="13826" width="19.28515625" style="284" customWidth="1"/>
    <col min="13827" max="13827" width="17.85546875" style="284" bestFit="1" customWidth="1"/>
    <col min="13828" max="13828" width="5.140625" style="284" customWidth="1"/>
    <col min="13829" max="13830" width="14.5703125" style="284" bestFit="1" customWidth="1"/>
    <col min="13831" max="14070" width="9.140625" style="284"/>
    <col min="14071" max="14071" width="6.5703125" style="284" bestFit="1" customWidth="1"/>
    <col min="14072" max="14072" width="32.85546875" style="284" customWidth="1"/>
    <col min="14073" max="14073" width="18.85546875" style="284" customWidth="1"/>
    <col min="14074" max="14074" width="16.42578125" style="284" customWidth="1"/>
    <col min="14075" max="14075" width="17.42578125" style="284" customWidth="1"/>
    <col min="14076" max="14076" width="18.5703125" style="284" customWidth="1"/>
    <col min="14077" max="14077" width="17.140625" style="284" customWidth="1"/>
    <col min="14078" max="14078" width="16.42578125" style="284" customWidth="1"/>
    <col min="14079" max="14079" width="16.7109375" style="284" customWidth="1"/>
    <col min="14080" max="14080" width="17.42578125" style="284" customWidth="1"/>
    <col min="14081" max="14081" width="19" style="284" bestFit="1" customWidth="1"/>
    <col min="14082" max="14082" width="19.28515625" style="284" customWidth="1"/>
    <col min="14083" max="14083" width="17.85546875" style="284" bestFit="1" customWidth="1"/>
    <col min="14084" max="14084" width="5.140625" style="284" customWidth="1"/>
    <col min="14085" max="14086" width="14.5703125" style="284" bestFit="1" customWidth="1"/>
    <col min="14087" max="14326" width="9.140625" style="284"/>
    <col min="14327" max="14327" width="6.5703125" style="284" bestFit="1" customWidth="1"/>
    <col min="14328" max="14328" width="32.85546875" style="284" customWidth="1"/>
    <col min="14329" max="14329" width="18.85546875" style="284" customWidth="1"/>
    <col min="14330" max="14330" width="16.42578125" style="284" customWidth="1"/>
    <col min="14331" max="14331" width="17.42578125" style="284" customWidth="1"/>
    <col min="14332" max="14332" width="18.5703125" style="284" customWidth="1"/>
    <col min="14333" max="14333" width="17.140625" style="284" customWidth="1"/>
    <col min="14334" max="14334" width="16.42578125" style="284" customWidth="1"/>
    <col min="14335" max="14335" width="16.7109375" style="284" customWidth="1"/>
    <col min="14336" max="14336" width="17.42578125" style="284" customWidth="1"/>
    <col min="14337" max="14337" width="19" style="284" bestFit="1" customWidth="1"/>
    <col min="14338" max="14338" width="19.28515625" style="284" customWidth="1"/>
    <col min="14339" max="14339" width="17.85546875" style="284" bestFit="1" customWidth="1"/>
    <col min="14340" max="14340" width="5.140625" style="284" customWidth="1"/>
    <col min="14341" max="14342" width="14.5703125" style="284" bestFit="1" customWidth="1"/>
    <col min="14343" max="14582" width="9.140625" style="284"/>
    <col min="14583" max="14583" width="6.5703125" style="284" bestFit="1" customWidth="1"/>
    <col min="14584" max="14584" width="32.85546875" style="284" customWidth="1"/>
    <col min="14585" max="14585" width="18.85546875" style="284" customWidth="1"/>
    <col min="14586" max="14586" width="16.42578125" style="284" customWidth="1"/>
    <col min="14587" max="14587" width="17.42578125" style="284" customWidth="1"/>
    <col min="14588" max="14588" width="18.5703125" style="284" customWidth="1"/>
    <col min="14589" max="14589" width="17.140625" style="284" customWidth="1"/>
    <col min="14590" max="14590" width="16.42578125" style="284" customWidth="1"/>
    <col min="14591" max="14591" width="16.7109375" style="284" customWidth="1"/>
    <col min="14592" max="14592" width="17.42578125" style="284" customWidth="1"/>
    <col min="14593" max="14593" width="19" style="284" bestFit="1" customWidth="1"/>
    <col min="14594" max="14594" width="19.28515625" style="284" customWidth="1"/>
    <col min="14595" max="14595" width="17.85546875" style="284" bestFit="1" customWidth="1"/>
    <col min="14596" max="14596" width="5.140625" style="284" customWidth="1"/>
    <col min="14597" max="14598" width="14.5703125" style="284" bestFit="1" customWidth="1"/>
    <col min="14599" max="14838" width="9.140625" style="284"/>
    <col min="14839" max="14839" width="6.5703125" style="284" bestFit="1" customWidth="1"/>
    <col min="14840" max="14840" width="32.85546875" style="284" customWidth="1"/>
    <col min="14841" max="14841" width="18.85546875" style="284" customWidth="1"/>
    <col min="14842" max="14842" width="16.42578125" style="284" customWidth="1"/>
    <col min="14843" max="14843" width="17.42578125" style="284" customWidth="1"/>
    <col min="14844" max="14844" width="18.5703125" style="284" customWidth="1"/>
    <col min="14845" max="14845" width="17.140625" style="284" customWidth="1"/>
    <col min="14846" max="14846" width="16.42578125" style="284" customWidth="1"/>
    <col min="14847" max="14847" width="16.7109375" style="284" customWidth="1"/>
    <col min="14848" max="14848" width="17.42578125" style="284" customWidth="1"/>
    <col min="14849" max="14849" width="19" style="284" bestFit="1" customWidth="1"/>
    <col min="14850" max="14850" width="19.28515625" style="284" customWidth="1"/>
    <col min="14851" max="14851" width="17.85546875" style="284" bestFit="1" customWidth="1"/>
    <col min="14852" max="14852" width="5.140625" style="284" customWidth="1"/>
    <col min="14853" max="14854" width="14.5703125" style="284" bestFit="1" customWidth="1"/>
    <col min="14855" max="15094" width="9.140625" style="284"/>
    <col min="15095" max="15095" width="6.5703125" style="284" bestFit="1" customWidth="1"/>
    <col min="15096" max="15096" width="32.85546875" style="284" customWidth="1"/>
    <col min="15097" max="15097" width="18.85546875" style="284" customWidth="1"/>
    <col min="15098" max="15098" width="16.42578125" style="284" customWidth="1"/>
    <col min="15099" max="15099" width="17.42578125" style="284" customWidth="1"/>
    <col min="15100" max="15100" width="18.5703125" style="284" customWidth="1"/>
    <col min="15101" max="15101" width="17.140625" style="284" customWidth="1"/>
    <col min="15102" max="15102" width="16.42578125" style="284" customWidth="1"/>
    <col min="15103" max="15103" width="16.7109375" style="284" customWidth="1"/>
    <col min="15104" max="15104" width="17.42578125" style="284" customWidth="1"/>
    <col min="15105" max="15105" width="19" style="284" bestFit="1" customWidth="1"/>
    <col min="15106" max="15106" width="19.28515625" style="284" customWidth="1"/>
    <col min="15107" max="15107" width="17.85546875" style="284" bestFit="1" customWidth="1"/>
    <col min="15108" max="15108" width="5.140625" style="284" customWidth="1"/>
    <col min="15109" max="15110" width="14.5703125" style="284" bestFit="1" customWidth="1"/>
    <col min="15111" max="15350" width="9.140625" style="284"/>
    <col min="15351" max="15351" width="6.5703125" style="284" bestFit="1" customWidth="1"/>
    <col min="15352" max="15352" width="32.85546875" style="284" customWidth="1"/>
    <col min="15353" max="15353" width="18.85546875" style="284" customWidth="1"/>
    <col min="15354" max="15354" width="16.42578125" style="284" customWidth="1"/>
    <col min="15355" max="15355" width="17.42578125" style="284" customWidth="1"/>
    <col min="15356" max="15356" width="18.5703125" style="284" customWidth="1"/>
    <col min="15357" max="15357" width="17.140625" style="284" customWidth="1"/>
    <col min="15358" max="15358" width="16.42578125" style="284" customWidth="1"/>
    <col min="15359" max="15359" width="16.7109375" style="284" customWidth="1"/>
    <col min="15360" max="15360" width="17.42578125" style="284" customWidth="1"/>
    <col min="15361" max="15361" width="19" style="284" bestFit="1" customWidth="1"/>
    <col min="15362" max="15362" width="19.28515625" style="284" customWidth="1"/>
    <col min="15363" max="15363" width="17.85546875" style="284" bestFit="1" customWidth="1"/>
    <col min="15364" max="15364" width="5.140625" style="284" customWidth="1"/>
    <col min="15365" max="15366" width="14.5703125" style="284" bestFit="1" customWidth="1"/>
    <col min="15367" max="15606" width="9.140625" style="284"/>
    <col min="15607" max="15607" width="6.5703125" style="284" bestFit="1" customWidth="1"/>
    <col min="15608" max="15608" width="32.85546875" style="284" customWidth="1"/>
    <col min="15609" max="15609" width="18.85546875" style="284" customWidth="1"/>
    <col min="15610" max="15610" width="16.42578125" style="284" customWidth="1"/>
    <col min="15611" max="15611" width="17.42578125" style="284" customWidth="1"/>
    <col min="15612" max="15612" width="18.5703125" style="284" customWidth="1"/>
    <col min="15613" max="15613" width="17.140625" style="284" customWidth="1"/>
    <col min="15614" max="15614" width="16.42578125" style="284" customWidth="1"/>
    <col min="15615" max="15615" width="16.7109375" style="284" customWidth="1"/>
    <col min="15616" max="15616" width="17.42578125" style="284" customWidth="1"/>
    <col min="15617" max="15617" width="19" style="284" bestFit="1" customWidth="1"/>
    <col min="15618" max="15618" width="19.28515625" style="284" customWidth="1"/>
    <col min="15619" max="15619" width="17.85546875" style="284" bestFit="1" customWidth="1"/>
    <col min="15620" max="15620" width="5.140625" style="284" customWidth="1"/>
    <col min="15621" max="15622" width="14.5703125" style="284" bestFit="1" customWidth="1"/>
    <col min="15623" max="15862" width="9.140625" style="284"/>
    <col min="15863" max="15863" width="6.5703125" style="284" bestFit="1" customWidth="1"/>
    <col min="15864" max="15864" width="32.85546875" style="284" customWidth="1"/>
    <col min="15865" max="15865" width="18.85546875" style="284" customWidth="1"/>
    <col min="15866" max="15866" width="16.42578125" style="284" customWidth="1"/>
    <col min="15867" max="15867" width="17.42578125" style="284" customWidth="1"/>
    <col min="15868" max="15868" width="18.5703125" style="284" customWidth="1"/>
    <col min="15869" max="15869" width="17.140625" style="284" customWidth="1"/>
    <col min="15870" max="15870" width="16.42578125" style="284" customWidth="1"/>
    <col min="15871" max="15871" width="16.7109375" style="284" customWidth="1"/>
    <col min="15872" max="15872" width="17.42578125" style="284" customWidth="1"/>
    <col min="15873" max="15873" width="19" style="284" bestFit="1" customWidth="1"/>
    <col min="15874" max="15874" width="19.28515625" style="284" customWidth="1"/>
    <col min="15875" max="15875" width="17.85546875" style="284" bestFit="1" customWidth="1"/>
    <col min="15876" max="15876" width="5.140625" style="284" customWidth="1"/>
    <col min="15877" max="15878" width="14.5703125" style="284" bestFit="1" customWidth="1"/>
    <col min="15879" max="16118" width="9.140625" style="284"/>
    <col min="16119" max="16119" width="6.5703125" style="284" bestFit="1" customWidth="1"/>
    <col min="16120" max="16120" width="32.85546875" style="284" customWidth="1"/>
    <col min="16121" max="16121" width="18.85546875" style="284" customWidth="1"/>
    <col min="16122" max="16122" width="16.42578125" style="284" customWidth="1"/>
    <col min="16123" max="16123" width="17.42578125" style="284" customWidth="1"/>
    <col min="16124" max="16124" width="18.5703125" style="284" customWidth="1"/>
    <col min="16125" max="16125" width="17.140625" style="284" customWidth="1"/>
    <col min="16126" max="16126" width="16.42578125" style="284" customWidth="1"/>
    <col min="16127" max="16127" width="16.7109375" style="284" customWidth="1"/>
    <col min="16128" max="16128" width="17.42578125" style="284" customWidth="1"/>
    <col min="16129" max="16129" width="19" style="284" bestFit="1" customWidth="1"/>
    <col min="16130" max="16130" width="19.28515625" style="284" customWidth="1"/>
    <col min="16131" max="16131" width="17.85546875" style="284" bestFit="1" customWidth="1"/>
    <col min="16132" max="16132" width="5.140625" style="284" customWidth="1"/>
    <col min="16133" max="16134" width="14.5703125" style="284" bestFit="1" customWidth="1"/>
    <col min="16135" max="16384" width="9.140625" style="284"/>
  </cols>
  <sheetData>
    <row r="1" spans="1:12" ht="18">
      <c r="A1" s="761" t="s">
        <v>346</v>
      </c>
      <c r="B1" s="761"/>
      <c r="C1" s="761"/>
      <c r="D1" s="761"/>
      <c r="E1" s="761"/>
      <c r="F1" s="761"/>
      <c r="G1" s="761"/>
      <c r="H1" s="761"/>
      <c r="I1" s="761"/>
      <c r="J1" s="761"/>
      <c r="K1" s="761"/>
      <c r="L1" s="761"/>
    </row>
    <row r="2" spans="1:12" ht="16.5" customHeight="1">
      <c r="A2" s="762" t="s">
        <v>0</v>
      </c>
      <c r="B2" s="762"/>
      <c r="C2" s="762"/>
      <c r="D2" s="762"/>
      <c r="E2" s="762"/>
      <c r="F2" s="762"/>
      <c r="G2" s="762"/>
      <c r="H2" s="762"/>
      <c r="I2" s="762"/>
      <c r="J2" s="762"/>
      <c r="K2" s="762"/>
      <c r="L2" s="762"/>
    </row>
    <row r="3" spans="1:12">
      <c r="A3" s="285" t="s">
        <v>282</v>
      </c>
      <c r="B3" s="304"/>
      <c r="C3" s="283"/>
      <c r="D3" s="283"/>
      <c r="E3" s="283"/>
      <c r="F3" s="283"/>
      <c r="G3" s="283"/>
      <c r="H3" s="283"/>
      <c r="I3" s="283"/>
      <c r="J3" s="283"/>
      <c r="K3" s="283"/>
      <c r="L3" s="283"/>
    </row>
    <row r="4" spans="1:12" ht="18" customHeight="1">
      <c r="A4" s="763" t="s">
        <v>256</v>
      </c>
      <c r="B4" s="763"/>
      <c r="C4" s="763"/>
      <c r="D4" s="288" t="str">
        <f>'[1]Trial Balance 17-18'!K475</f>
        <v>Dep on Hydraulic Works</v>
      </c>
      <c r="E4" s="289" t="str">
        <f>'[1]Trial Balance 17-18'!K492</f>
        <v>Dep on Civil Works</v>
      </c>
      <c r="F4" s="289" t="str">
        <f>'[1]Trial Balance 17-18'!K505</f>
        <v>Dep on Plant &amp; Machinery</v>
      </c>
      <c r="G4" s="289" t="str">
        <f>'[1]Trial Balance 17-18'!K482</f>
        <v>Dep on Lines, Cable Networks Etc</v>
      </c>
      <c r="H4" s="289" t="str">
        <f>'[1]Trial Balance 17-18'!K477</f>
        <v>Dep on Vehicles</v>
      </c>
      <c r="I4" s="289" t="str">
        <f>'[1]Trial Balance 17-18'!K494</f>
        <v>Dep on Furniture &amp; Fixtures</v>
      </c>
      <c r="J4" s="289" t="str">
        <f>'[1]Trial Balance 17-18'!K497</f>
        <v>Dep on Office Equipments</v>
      </c>
      <c r="K4" s="289"/>
      <c r="L4" s="525" t="s">
        <v>728</v>
      </c>
    </row>
    <row r="5" spans="1:12" ht="6" customHeight="1">
      <c r="A5" s="285"/>
      <c r="B5" s="289" t="str">
        <f>'[1]Trial Balance 17-18'!K660</f>
        <v>Land &amp; Land Rights</v>
      </c>
      <c r="D5" s="289" t="str">
        <f>'[1]Trial Balance 17-18'!K574</f>
        <v>Hydrawlic Works</v>
      </c>
      <c r="E5" s="289" t="str">
        <f>'[1]Trial Balance 17-18'!K643</f>
        <v>Other Civil Works</v>
      </c>
      <c r="F5" s="289" t="str">
        <f>'[1]Trial Balance 17-18'!K694</f>
        <v>Plant &amp; Machinery</v>
      </c>
      <c r="G5" s="289" t="str">
        <f>'[1]Trial Balance 17-18'!K620</f>
        <v>Line, Cable Network Etc</v>
      </c>
      <c r="H5" s="289" t="str">
        <f>'[1]Trial Balance 17-18'!K578</f>
        <v>Vehicles</v>
      </c>
      <c r="I5" s="289" t="str">
        <f>'[1]Trial Balance 17-18'!K649</f>
        <v>Furniture &amp; Fixture</v>
      </c>
      <c r="J5" s="288" t="str">
        <f>'[1]Trial Balance 17-18'!K668</f>
        <v>Office Equipments</v>
      </c>
      <c r="K5" s="288"/>
      <c r="L5" s="287"/>
    </row>
    <row r="6" spans="1:12" s="294" customFormat="1" ht="42.75">
      <c r="A6" s="291" t="s">
        <v>246</v>
      </c>
      <c r="B6" s="292" t="s">
        <v>257</v>
      </c>
      <c r="C6" s="292" t="s">
        <v>258</v>
      </c>
      <c r="D6" s="292" t="s">
        <v>259</v>
      </c>
      <c r="E6" s="292" t="s">
        <v>260</v>
      </c>
      <c r="F6" s="292" t="s">
        <v>261</v>
      </c>
      <c r="G6" s="292" t="s">
        <v>262</v>
      </c>
      <c r="H6" s="292" t="s">
        <v>263</v>
      </c>
      <c r="I6" s="292" t="s">
        <v>264</v>
      </c>
      <c r="J6" s="291" t="s">
        <v>265</v>
      </c>
      <c r="K6" s="291" t="s">
        <v>266</v>
      </c>
      <c r="L6" s="293" t="s">
        <v>8</v>
      </c>
    </row>
    <row r="7" spans="1:12">
      <c r="A7" s="295" t="s">
        <v>267</v>
      </c>
      <c r="B7" s="296"/>
      <c r="C7" s="296">
        <v>3.3399999999999999E-2</v>
      </c>
      <c r="D7" s="296">
        <v>5.28E-2</v>
      </c>
      <c r="E7" s="296">
        <v>3.3399999999999999E-2</v>
      </c>
      <c r="F7" s="296">
        <v>5.28E-2</v>
      </c>
      <c r="G7" s="296">
        <v>5.28E-2</v>
      </c>
      <c r="H7" s="296">
        <v>6.3299999999999995E-2</v>
      </c>
      <c r="I7" s="296">
        <v>6.3299999999999995E-2</v>
      </c>
      <c r="J7" s="296">
        <v>6.3299999999999995E-2</v>
      </c>
      <c r="K7" s="296">
        <v>0.15</v>
      </c>
      <c r="L7" s="297"/>
    </row>
    <row r="8" spans="1:12">
      <c r="A8" s="298" t="s">
        <v>268</v>
      </c>
      <c r="B8" s="299"/>
      <c r="C8" s="299"/>
      <c r="D8" s="299"/>
      <c r="E8" s="299"/>
      <c r="F8" s="299"/>
      <c r="G8" s="299"/>
      <c r="H8" s="299"/>
      <c r="I8" s="299"/>
      <c r="J8" s="299"/>
      <c r="K8" s="299"/>
      <c r="L8" s="299"/>
    </row>
    <row r="9" spans="1:12">
      <c r="A9" s="295" t="s">
        <v>269</v>
      </c>
      <c r="B9" s="306">
        <v>139215.8055129</v>
      </c>
      <c r="C9" s="306">
        <v>3513.9766500000001</v>
      </c>
      <c r="D9" s="306">
        <v>0.44090000000000001</v>
      </c>
      <c r="E9" s="306">
        <v>19113.827819999999</v>
      </c>
      <c r="F9" s="306">
        <v>143138.08749000001</v>
      </c>
      <c r="G9" s="306">
        <v>96695.960449999999</v>
      </c>
      <c r="H9" s="306">
        <v>6.0000000000000002E-5</v>
      </c>
      <c r="I9" s="306">
        <v>308.52731</v>
      </c>
      <c r="J9" s="306">
        <v>52.945680000000003</v>
      </c>
      <c r="K9" s="306">
        <v>44.383969999999998</v>
      </c>
      <c r="L9" s="306">
        <f>(SUM(B9:K9))</f>
        <v>402083.95584289997</v>
      </c>
    </row>
    <row r="10" spans="1:12" ht="16.5" customHeight="1">
      <c r="A10" s="300" t="s">
        <v>270</v>
      </c>
      <c r="B10" s="306">
        <v>1541.9525000000001</v>
      </c>
      <c r="C10" s="306">
        <v>0</v>
      </c>
      <c r="D10" s="306">
        <v>0</v>
      </c>
      <c r="E10" s="306">
        <v>15.51183</v>
      </c>
      <c r="F10" s="306">
        <v>49656.705560000002</v>
      </c>
      <c r="G10" s="306">
        <v>87902.508892100013</v>
      </c>
      <c r="H10" s="306">
        <v>0</v>
      </c>
      <c r="I10" s="306">
        <v>103.45823</v>
      </c>
      <c r="J10" s="306">
        <v>90.116571199999996</v>
      </c>
      <c r="K10" s="306">
        <v>47.597819999999999</v>
      </c>
      <c r="L10" s="306">
        <f t="shared" ref="L10:L11" si="0">(SUM(B10:K10))</f>
        <v>139357.85140330001</v>
      </c>
    </row>
    <row r="11" spans="1:12">
      <c r="A11" s="300" t="s">
        <v>271</v>
      </c>
      <c r="B11" s="306">
        <v>227.92596</v>
      </c>
      <c r="C11" s="306">
        <v>0</v>
      </c>
      <c r="D11" s="306">
        <v>0</v>
      </c>
      <c r="E11" s="306">
        <v>0</v>
      </c>
      <c r="F11" s="306">
        <v>0</v>
      </c>
      <c r="G11" s="306">
        <v>0</v>
      </c>
      <c r="H11" s="306">
        <v>0</v>
      </c>
      <c r="I11" s="306">
        <v>0</v>
      </c>
      <c r="J11" s="306">
        <v>0</v>
      </c>
      <c r="K11" s="306">
        <v>0</v>
      </c>
      <c r="L11" s="306">
        <f t="shared" si="0"/>
        <v>227.92596</v>
      </c>
    </row>
    <row r="12" spans="1:12" hidden="1">
      <c r="A12" s="295" t="s">
        <v>272</v>
      </c>
      <c r="B12" s="306">
        <f>(B9+B10-B11)</f>
        <v>140529.83205290002</v>
      </c>
      <c r="C12" s="306">
        <f t="shared" ref="C12:L12" si="1">(C9+C10-C11)</f>
        <v>3513.9766500000001</v>
      </c>
      <c r="D12" s="306">
        <f t="shared" si="1"/>
        <v>0.44090000000000001</v>
      </c>
      <c r="E12" s="306">
        <f t="shared" si="1"/>
        <v>19129.339649999998</v>
      </c>
      <c r="F12" s="306">
        <f t="shared" si="1"/>
        <v>192794.79305000001</v>
      </c>
      <c r="G12" s="306">
        <f t="shared" si="1"/>
        <v>184598.46934210003</v>
      </c>
      <c r="H12" s="306">
        <f t="shared" si="1"/>
        <v>6.0000000000000002E-5</v>
      </c>
      <c r="I12" s="306">
        <f t="shared" si="1"/>
        <v>411.98554000000001</v>
      </c>
      <c r="J12" s="306">
        <f t="shared" si="1"/>
        <v>143.06225119999999</v>
      </c>
      <c r="K12" s="306">
        <f t="shared" si="1"/>
        <v>91.98178999999999</v>
      </c>
      <c r="L12" s="306">
        <f t="shared" si="1"/>
        <v>541213.88128620002</v>
      </c>
    </row>
    <row r="13" spans="1:12">
      <c r="A13" s="295" t="s">
        <v>272</v>
      </c>
      <c r="B13" s="306">
        <f t="shared" ref="B13:K13" si="2">(+B12)</f>
        <v>140529.83205290002</v>
      </c>
      <c r="C13" s="306">
        <f t="shared" si="2"/>
        <v>3513.9766500000001</v>
      </c>
      <c r="D13" s="306">
        <f t="shared" si="2"/>
        <v>0.44090000000000001</v>
      </c>
      <c r="E13" s="306">
        <f t="shared" si="2"/>
        <v>19129.339649999998</v>
      </c>
      <c r="F13" s="306">
        <f t="shared" si="2"/>
        <v>192794.79305000001</v>
      </c>
      <c r="G13" s="306">
        <f t="shared" si="2"/>
        <v>184598.46934210003</v>
      </c>
      <c r="H13" s="306">
        <f t="shared" si="2"/>
        <v>6.0000000000000002E-5</v>
      </c>
      <c r="I13" s="306">
        <f t="shared" si="2"/>
        <v>411.98554000000001</v>
      </c>
      <c r="J13" s="306">
        <f t="shared" si="2"/>
        <v>143.06225119999999</v>
      </c>
      <c r="K13" s="306">
        <f t="shared" si="2"/>
        <v>91.98178999999999</v>
      </c>
      <c r="L13" s="306">
        <f>(SUM(B13:K13))</f>
        <v>541213.88128620002</v>
      </c>
    </row>
    <row r="14" spans="1:12">
      <c r="A14" s="300" t="s">
        <v>270</v>
      </c>
      <c r="B14" s="306">
        <f>(+[2]Consolidated!F9)/100000</f>
        <v>1198.63436</v>
      </c>
      <c r="C14" s="306">
        <f>(+'[3]TB 18-19'!D899)/100000</f>
        <v>0</v>
      </c>
      <c r="D14" s="306">
        <v>0</v>
      </c>
      <c r="E14" s="306">
        <f>(+[2]Consolidated!F12)/100000</f>
        <v>1795.9074599999999</v>
      </c>
      <c r="F14" s="306">
        <f>(+[2]Consolidated!F13)/100000</f>
        <v>49480.193744899996</v>
      </c>
      <c r="G14" s="306">
        <f>(+[2]Consolidated!F14)/100000</f>
        <v>69452.331839999999</v>
      </c>
      <c r="H14" s="306">
        <f>(+'[3]TB 18-19'!D895)/100000</f>
        <v>0</v>
      </c>
      <c r="I14" s="306">
        <f>(+[2]Consolidated!F16)/100000</f>
        <v>318.34766000000002</v>
      </c>
      <c r="J14" s="306">
        <f>(+[2]Consolidated!F17)/100000</f>
        <v>12.042479999999999</v>
      </c>
      <c r="K14" s="306">
        <f>(+[2]Consolidated!F18)/100000</f>
        <v>114.4332</v>
      </c>
      <c r="L14" s="306">
        <f>(SUM(B14:K14))</f>
        <v>122371.8907449</v>
      </c>
    </row>
    <row r="15" spans="1:12">
      <c r="A15" s="300" t="s">
        <v>271</v>
      </c>
      <c r="B15" s="306">
        <f>(+[2]Consolidated!G9)/100000</f>
        <v>227.92596</v>
      </c>
      <c r="C15" s="306">
        <v>0</v>
      </c>
      <c r="D15" s="306">
        <v>0</v>
      </c>
      <c r="E15" s="306">
        <v>0</v>
      </c>
      <c r="F15" s="306">
        <f>(+[2]Consolidated!G13)/100000</f>
        <v>35.094499999999996</v>
      </c>
      <c r="G15" s="306">
        <f>(+[2]Consolidated!G14)/100000</f>
        <v>1918.5742</v>
      </c>
      <c r="H15" s="306">
        <v>0</v>
      </c>
      <c r="I15" s="306">
        <v>0</v>
      </c>
      <c r="J15" s="306">
        <v>0</v>
      </c>
      <c r="K15" s="306">
        <f>(+[2]Consolidated!G18)/100000</f>
        <v>2.4996999999999998</v>
      </c>
      <c r="L15" s="306">
        <f>(SUM(B15:K15))</f>
        <v>2184.0943600000001</v>
      </c>
    </row>
    <row r="16" spans="1:12">
      <c r="A16" s="305" t="s">
        <v>273</v>
      </c>
      <c r="B16" s="307">
        <f>(B13+B14-B15)</f>
        <v>141500.54045290002</v>
      </c>
      <c r="C16" s="307">
        <f t="shared" ref="C16:K16" si="3">(C13+C14-C15)</f>
        <v>3513.9766500000001</v>
      </c>
      <c r="D16" s="307">
        <f t="shared" si="3"/>
        <v>0.44090000000000001</v>
      </c>
      <c r="E16" s="307">
        <f t="shared" si="3"/>
        <v>20925.247109999997</v>
      </c>
      <c r="F16" s="307">
        <f t="shared" si="3"/>
        <v>242239.8922949</v>
      </c>
      <c r="G16" s="307">
        <f t="shared" si="3"/>
        <v>252132.22698210002</v>
      </c>
      <c r="H16" s="307">
        <f t="shared" si="3"/>
        <v>6.0000000000000002E-5</v>
      </c>
      <c r="I16" s="307">
        <f t="shared" si="3"/>
        <v>730.33320000000003</v>
      </c>
      <c r="J16" s="307">
        <f t="shared" si="3"/>
        <v>155.1047312</v>
      </c>
      <c r="K16" s="307">
        <f t="shared" si="3"/>
        <v>203.91529</v>
      </c>
      <c r="L16" s="307">
        <f>(SUM(B16:K16))</f>
        <v>661401.67767110013</v>
      </c>
    </row>
    <row r="17" spans="1:12">
      <c r="A17" s="300"/>
      <c r="B17" s="306">
        <v>0</v>
      </c>
      <c r="C17" s="306">
        <v>0</v>
      </c>
      <c r="D17" s="306">
        <v>0</v>
      </c>
      <c r="E17" s="306">
        <v>0</v>
      </c>
      <c r="F17" s="306">
        <v>0</v>
      </c>
      <c r="G17" s="306">
        <v>0</v>
      </c>
      <c r="H17" s="306">
        <v>0</v>
      </c>
      <c r="I17" s="306">
        <v>0</v>
      </c>
      <c r="J17" s="306">
        <v>0</v>
      </c>
      <c r="K17" s="306">
        <v>0</v>
      </c>
      <c r="L17" s="306">
        <v>0</v>
      </c>
    </row>
    <row r="18" spans="1:12" ht="18" customHeight="1">
      <c r="A18" s="298" t="s">
        <v>274</v>
      </c>
      <c r="B18" s="306">
        <v>0</v>
      </c>
      <c r="C18" s="306">
        <v>0</v>
      </c>
      <c r="D18" s="306">
        <v>0</v>
      </c>
      <c r="E18" s="306">
        <v>0</v>
      </c>
      <c r="F18" s="306">
        <v>0</v>
      </c>
      <c r="G18" s="306">
        <v>0</v>
      </c>
      <c r="H18" s="306">
        <v>0</v>
      </c>
      <c r="I18" s="306">
        <v>0</v>
      </c>
      <c r="J18" s="306">
        <v>0</v>
      </c>
      <c r="K18" s="306">
        <v>0</v>
      </c>
      <c r="L18" s="306">
        <v>0</v>
      </c>
    </row>
    <row r="19" spans="1:12">
      <c r="A19" s="295" t="s">
        <v>269</v>
      </c>
      <c r="B19" s="306">
        <v>0</v>
      </c>
      <c r="C19" s="306">
        <v>197.39787999999999</v>
      </c>
      <c r="D19" s="306">
        <v>2.767E-2</v>
      </c>
      <c r="E19" s="306">
        <v>617.70744000000002</v>
      </c>
      <c r="F19" s="306">
        <v>8376.4959199999994</v>
      </c>
      <c r="G19" s="306">
        <v>6683.6287899999998</v>
      </c>
      <c r="H19" s="306">
        <v>0</v>
      </c>
      <c r="I19" s="306">
        <v>18.771740000000001</v>
      </c>
      <c r="J19" s="306">
        <v>4.0476000000000001</v>
      </c>
      <c r="K19" s="306">
        <v>7.0056000000000003</v>
      </c>
      <c r="L19" s="306">
        <f>(SUM(B19:K19))</f>
        <v>15905.082639999999</v>
      </c>
    </row>
    <row r="20" spans="1:12">
      <c r="A20" s="300" t="s">
        <v>275</v>
      </c>
      <c r="B20" s="306">
        <v>0</v>
      </c>
      <c r="C20" s="306">
        <v>197.39787999999999</v>
      </c>
      <c r="D20" s="306">
        <v>2.768E-2</v>
      </c>
      <c r="E20" s="306">
        <v>724.98784999999998</v>
      </c>
      <c r="F20" s="306">
        <v>11990.216710000001</v>
      </c>
      <c r="G20" s="306">
        <v>10730.752769999999</v>
      </c>
      <c r="H20" s="306">
        <v>6.0000000000000002E-5</v>
      </c>
      <c r="I20" s="306">
        <v>26.437889999999999</v>
      </c>
      <c r="J20" s="306">
        <v>8.8093800000000009</v>
      </c>
      <c r="K20" s="306">
        <v>0.91298000000000001</v>
      </c>
      <c r="L20" s="306">
        <f>(SUM(B20:K20))</f>
        <v>23679.5432</v>
      </c>
    </row>
    <row r="21" spans="1:12" ht="28.5">
      <c r="A21" s="301" t="s">
        <v>276</v>
      </c>
      <c r="B21" s="306">
        <v>0</v>
      </c>
      <c r="C21" s="306">
        <v>0</v>
      </c>
      <c r="D21" s="306">
        <v>0</v>
      </c>
      <c r="E21" s="306">
        <v>0</v>
      </c>
      <c r="F21" s="306">
        <v>0</v>
      </c>
      <c r="G21" s="306">
        <v>0</v>
      </c>
      <c r="H21" s="306">
        <v>0</v>
      </c>
      <c r="I21" s="306">
        <v>0</v>
      </c>
      <c r="J21" s="306">
        <v>0</v>
      </c>
      <c r="K21" s="306">
        <v>0</v>
      </c>
      <c r="L21" s="306">
        <f>(SUM(B21:J21))</f>
        <v>0</v>
      </c>
    </row>
    <row r="22" spans="1:12">
      <c r="A22" s="295" t="s">
        <v>272</v>
      </c>
      <c r="B22" s="306">
        <f>(+B19+B20-B21)/100000</f>
        <v>0</v>
      </c>
      <c r="C22" s="306">
        <f>(+C19+C20-C21)</f>
        <v>394.79575999999997</v>
      </c>
      <c r="D22" s="306">
        <f t="shared" ref="D22:K22" si="4">(+D19+D20-D21)</f>
        <v>5.5349999999999996E-2</v>
      </c>
      <c r="E22" s="306">
        <f t="shared" si="4"/>
        <v>1342.6952900000001</v>
      </c>
      <c r="F22" s="306">
        <f t="shared" si="4"/>
        <v>20366.712630000002</v>
      </c>
      <c r="G22" s="306">
        <f t="shared" si="4"/>
        <v>17414.381559999998</v>
      </c>
      <c r="H22" s="306">
        <f t="shared" si="4"/>
        <v>6.0000000000000002E-5</v>
      </c>
      <c r="I22" s="306">
        <f t="shared" si="4"/>
        <v>45.209630000000004</v>
      </c>
      <c r="J22" s="306">
        <f t="shared" si="4"/>
        <v>12.85698</v>
      </c>
      <c r="K22" s="306">
        <f t="shared" si="4"/>
        <v>7.9185800000000004</v>
      </c>
      <c r="L22" s="306">
        <f>(+L19+L20-L21)</f>
        <v>39584.625840000001</v>
      </c>
    </row>
    <row r="23" spans="1:12" hidden="1">
      <c r="A23" s="295" t="s">
        <v>277</v>
      </c>
      <c r="B23" s="306">
        <f t="shared" ref="B23:J23" si="5">(+B22)</f>
        <v>0</v>
      </c>
      <c r="C23" s="306">
        <f t="shared" si="5"/>
        <v>394.79575999999997</v>
      </c>
      <c r="D23" s="306">
        <f t="shared" si="5"/>
        <v>5.5349999999999996E-2</v>
      </c>
      <c r="E23" s="306">
        <f t="shared" si="5"/>
        <v>1342.6952900000001</v>
      </c>
      <c r="F23" s="306">
        <f t="shared" si="5"/>
        <v>20366.712630000002</v>
      </c>
      <c r="G23" s="306">
        <f t="shared" si="5"/>
        <v>17414.381559999998</v>
      </c>
      <c r="H23" s="306">
        <f t="shared" si="5"/>
        <v>6.0000000000000002E-5</v>
      </c>
      <c r="I23" s="306">
        <f t="shared" si="5"/>
        <v>45.209630000000004</v>
      </c>
      <c r="J23" s="306">
        <f t="shared" si="5"/>
        <v>12.85698</v>
      </c>
      <c r="K23" s="306">
        <f>(+K22)</f>
        <v>7.9185800000000004</v>
      </c>
      <c r="L23" s="306">
        <f>(SUM(B23:J23))/100000</f>
        <v>0.39576707259999988</v>
      </c>
    </row>
    <row r="24" spans="1:12">
      <c r="A24" s="300" t="s">
        <v>275</v>
      </c>
      <c r="B24" s="306">
        <v>0</v>
      </c>
      <c r="C24" s="306">
        <f>(+[2]Consolidated!J10)/100000</f>
        <v>197.39787999999999</v>
      </c>
      <c r="D24" s="306">
        <f>(+[2]Consolidated!J11)/100000</f>
        <v>2.767E-2</v>
      </c>
      <c r="E24" s="306">
        <f>(+[2]Consolidated!J12)/100000</f>
        <v>785.41402000000005</v>
      </c>
      <c r="F24" s="306">
        <f>(+[2]Consolidated!J13)/100000</f>
        <v>14449.33484</v>
      </c>
      <c r="G24" s="306">
        <f>(+[2]Consolidated!J14)/100000</f>
        <v>14383.088170000001</v>
      </c>
      <c r="H24" s="306">
        <v>0</v>
      </c>
      <c r="I24" s="306">
        <f>(+[2]Consolidated!J16)/100000</f>
        <v>40.29363</v>
      </c>
      <c r="J24" s="306">
        <f>(+[2]Consolidated!J17)/100000</f>
        <v>8.1773000000000007</v>
      </c>
      <c r="K24" s="306">
        <f>(+[2]Consolidated!J18)/100000</f>
        <v>36.150190000000002</v>
      </c>
      <c r="L24" s="306">
        <f>(SUM(B24:K24))</f>
        <v>29899.883700000002</v>
      </c>
    </row>
    <row r="25" spans="1:12">
      <c r="A25" s="300" t="s">
        <v>276</v>
      </c>
      <c r="B25" s="306">
        <v>0</v>
      </c>
      <c r="C25" s="306">
        <v>0</v>
      </c>
      <c r="D25" s="306">
        <v>0</v>
      </c>
      <c r="E25" s="306">
        <v>0</v>
      </c>
      <c r="F25" s="306">
        <f>(+[2]Consolidated!K13)/100000</f>
        <v>31.585049999999999</v>
      </c>
      <c r="G25" s="306">
        <f>(+[2]Consolidated!K14)/100000</f>
        <v>1653.5160000000001</v>
      </c>
      <c r="H25" s="306">
        <v>0</v>
      </c>
      <c r="I25" s="306">
        <v>0</v>
      </c>
      <c r="J25" s="306">
        <v>0</v>
      </c>
      <c r="K25" s="306">
        <v>0</v>
      </c>
      <c r="L25" s="306">
        <f>(SUM(B25:K25))</f>
        <v>1685.10105</v>
      </c>
    </row>
    <row r="26" spans="1:12">
      <c r="A26" s="305" t="s">
        <v>273</v>
      </c>
      <c r="B26" s="307">
        <f t="shared" ref="B26:J26" si="6">+B22+B24-B25</f>
        <v>0</v>
      </c>
      <c r="C26" s="307">
        <f t="shared" si="6"/>
        <v>592.19363999999996</v>
      </c>
      <c r="D26" s="307">
        <f t="shared" si="6"/>
        <v>8.3019999999999997E-2</v>
      </c>
      <c r="E26" s="307">
        <f t="shared" si="6"/>
        <v>2128.1093100000003</v>
      </c>
      <c r="F26" s="307">
        <f t="shared" si="6"/>
        <v>34784.462420000003</v>
      </c>
      <c r="G26" s="307">
        <f t="shared" si="6"/>
        <v>30143.953729999997</v>
      </c>
      <c r="H26" s="307">
        <f t="shared" si="6"/>
        <v>6.0000000000000002E-5</v>
      </c>
      <c r="I26" s="307">
        <f t="shared" si="6"/>
        <v>85.503260000000012</v>
      </c>
      <c r="J26" s="307">
        <f t="shared" si="6"/>
        <v>21.034280000000003</v>
      </c>
      <c r="K26" s="307">
        <f>+K22+K24-K25</f>
        <v>44.068770000000001</v>
      </c>
      <c r="L26" s="307">
        <f>(SUM(B26:K26))</f>
        <v>67799.408490000016</v>
      </c>
    </row>
    <row r="27" spans="1:12">
      <c r="A27" s="300"/>
      <c r="B27" s="306">
        <v>0</v>
      </c>
      <c r="C27" s="306">
        <v>0</v>
      </c>
      <c r="D27" s="306">
        <v>0</v>
      </c>
      <c r="E27" s="306">
        <v>0</v>
      </c>
      <c r="F27" s="306">
        <v>0</v>
      </c>
      <c r="G27" s="306">
        <v>0</v>
      </c>
      <c r="H27" s="306">
        <v>0</v>
      </c>
      <c r="I27" s="306">
        <v>0</v>
      </c>
      <c r="J27" s="306">
        <v>0</v>
      </c>
      <c r="K27" s="306">
        <v>0</v>
      </c>
      <c r="L27" s="306">
        <v>0</v>
      </c>
    </row>
    <row r="28" spans="1:12">
      <c r="A28" s="298" t="s">
        <v>278</v>
      </c>
      <c r="B28" s="306">
        <v>0</v>
      </c>
      <c r="C28" s="306">
        <v>0</v>
      </c>
      <c r="D28" s="306">
        <v>0</v>
      </c>
      <c r="E28" s="306">
        <v>0</v>
      </c>
      <c r="F28" s="306">
        <v>0</v>
      </c>
      <c r="G28" s="306">
        <v>0</v>
      </c>
      <c r="H28" s="306">
        <v>0</v>
      </c>
      <c r="I28" s="306">
        <v>0</v>
      </c>
      <c r="J28" s="306">
        <v>0</v>
      </c>
      <c r="K28" s="306">
        <v>0</v>
      </c>
      <c r="L28" s="306">
        <v>0</v>
      </c>
    </row>
    <row r="29" spans="1:12" ht="15" customHeight="1">
      <c r="A29" s="295" t="s">
        <v>279</v>
      </c>
      <c r="B29" s="306">
        <f t="shared" ref="B29:K29" si="7">(B9-B19)</f>
        <v>139215.8055129</v>
      </c>
      <c r="C29" s="306">
        <f t="shared" si="7"/>
        <v>3316.5787700000001</v>
      </c>
      <c r="D29" s="306">
        <f t="shared" si="7"/>
        <v>0.41322999999999999</v>
      </c>
      <c r="E29" s="306">
        <f t="shared" si="7"/>
        <v>18496.12038</v>
      </c>
      <c r="F29" s="306">
        <f t="shared" si="7"/>
        <v>134761.59157000002</v>
      </c>
      <c r="G29" s="306">
        <f t="shared" si="7"/>
        <v>90012.331659999996</v>
      </c>
      <c r="H29" s="306">
        <f t="shared" si="7"/>
        <v>6.0000000000000002E-5</v>
      </c>
      <c r="I29" s="306">
        <f t="shared" si="7"/>
        <v>289.75556999999998</v>
      </c>
      <c r="J29" s="306">
        <f t="shared" si="7"/>
        <v>48.89808</v>
      </c>
      <c r="K29" s="306">
        <f t="shared" si="7"/>
        <v>37.378369999999997</v>
      </c>
      <c r="L29" s="306">
        <f>(SUM(B29:K29))</f>
        <v>386178.87320289999</v>
      </c>
    </row>
    <row r="30" spans="1:12" ht="15" customHeight="1">
      <c r="A30" s="295" t="s">
        <v>280</v>
      </c>
      <c r="B30" s="306">
        <f>(B13-B23)</f>
        <v>140529.83205290002</v>
      </c>
      <c r="C30" s="306">
        <f t="shared" ref="C30:K30" si="8">(C13-C23)</f>
        <v>3119.1808900000001</v>
      </c>
      <c r="D30" s="306">
        <f t="shared" si="8"/>
        <v>0.38555</v>
      </c>
      <c r="E30" s="306">
        <f t="shared" si="8"/>
        <v>17786.644359999998</v>
      </c>
      <c r="F30" s="306">
        <f t="shared" si="8"/>
        <v>172428.08042000001</v>
      </c>
      <c r="G30" s="306">
        <f t="shared" si="8"/>
        <v>167184.08778210002</v>
      </c>
      <c r="H30" s="306">
        <f t="shared" si="8"/>
        <v>0</v>
      </c>
      <c r="I30" s="306">
        <f t="shared" si="8"/>
        <v>366.77591000000001</v>
      </c>
      <c r="J30" s="306">
        <f t="shared" si="8"/>
        <v>130.2052712</v>
      </c>
      <c r="K30" s="306">
        <f t="shared" si="8"/>
        <v>84.063209999999984</v>
      </c>
      <c r="L30" s="306">
        <f>(SUM(B30:K30))</f>
        <v>501629.25544620003</v>
      </c>
    </row>
    <row r="31" spans="1:12">
      <c r="A31" s="305" t="s">
        <v>281</v>
      </c>
      <c r="B31" s="308">
        <f>(B16-B26)</f>
        <v>141500.54045290002</v>
      </c>
      <c r="C31" s="308">
        <f t="shared" ref="C31:K31" si="9">(C16-C26)</f>
        <v>2921.7830100000001</v>
      </c>
      <c r="D31" s="308">
        <f t="shared" si="9"/>
        <v>0.35788000000000003</v>
      </c>
      <c r="E31" s="308">
        <f t="shared" si="9"/>
        <v>18797.137799999997</v>
      </c>
      <c r="F31" s="308">
        <f t="shared" si="9"/>
        <v>207455.4298749</v>
      </c>
      <c r="G31" s="308">
        <f t="shared" si="9"/>
        <v>221988.27325210001</v>
      </c>
      <c r="H31" s="308">
        <f t="shared" si="9"/>
        <v>0</v>
      </c>
      <c r="I31" s="308">
        <f t="shared" si="9"/>
        <v>644.82994000000008</v>
      </c>
      <c r="J31" s="308">
        <f t="shared" si="9"/>
        <v>134.07045120000001</v>
      </c>
      <c r="K31" s="308">
        <f t="shared" si="9"/>
        <v>159.84652</v>
      </c>
      <c r="L31" s="308">
        <f>(SUM(B31:K31))</f>
        <v>593602.26918110007</v>
      </c>
    </row>
    <row r="32" spans="1:12">
      <c r="A32" s="764" t="s">
        <v>727</v>
      </c>
      <c r="B32" s="764"/>
      <c r="C32" s="764"/>
      <c r="D32" s="764"/>
      <c r="E32" s="764"/>
      <c r="F32" s="764"/>
      <c r="G32" s="764"/>
      <c r="H32" s="764"/>
      <c r="I32" s="764"/>
      <c r="J32" s="764"/>
      <c r="K32" s="764"/>
      <c r="L32" s="764"/>
    </row>
    <row r="33" spans="1:12" ht="12.75" customHeight="1">
      <c r="A33" s="765"/>
      <c r="B33" s="765"/>
      <c r="C33" s="765"/>
      <c r="D33" s="765"/>
      <c r="E33" s="765"/>
      <c r="F33" s="765"/>
      <c r="G33" s="765"/>
      <c r="H33" s="765"/>
      <c r="I33" s="765"/>
      <c r="J33" s="765"/>
      <c r="K33" s="765"/>
      <c r="L33" s="765"/>
    </row>
    <row r="34" spans="1:12" ht="10.5" customHeight="1">
      <c r="A34" s="524"/>
      <c r="B34" s="524"/>
      <c r="C34" s="524"/>
      <c r="D34" s="524"/>
      <c r="E34" s="524"/>
      <c r="F34" s="524"/>
      <c r="G34" s="524"/>
      <c r="H34" s="524"/>
      <c r="I34" s="524"/>
      <c r="J34" s="524"/>
      <c r="K34" s="524"/>
      <c r="L34" s="524"/>
    </row>
    <row r="35" spans="1:12">
      <c r="A35" s="285" t="s">
        <v>282</v>
      </c>
    </row>
    <row r="36" spans="1:12">
      <c r="A36" s="285" t="s">
        <v>283</v>
      </c>
      <c r="B36" s="286"/>
      <c r="C36" s="287"/>
      <c r="D36" s="287"/>
    </row>
    <row r="37" spans="1:12" ht="47.25">
      <c r="A37" s="233" t="s">
        <v>246</v>
      </c>
      <c r="B37" s="309" t="s">
        <v>284</v>
      </c>
      <c r="C37" s="309" t="s">
        <v>285</v>
      </c>
      <c r="D37" s="233" t="s">
        <v>286</v>
      </c>
    </row>
    <row r="38" spans="1:12">
      <c r="A38" s="295" t="s">
        <v>287</v>
      </c>
      <c r="B38" s="302"/>
      <c r="C38" s="302"/>
      <c r="D38" s="302"/>
    </row>
    <row r="39" spans="1:12">
      <c r="A39" s="300" t="s">
        <v>288</v>
      </c>
      <c r="B39" s="310">
        <v>6929.0563099999999</v>
      </c>
      <c r="C39" s="310">
        <v>5341.0095099999999</v>
      </c>
      <c r="D39" s="310">
        <v>3698.7064</v>
      </c>
    </row>
    <row r="40" spans="1:12">
      <c r="A40" s="300" t="s">
        <v>289</v>
      </c>
      <c r="B40" s="310">
        <v>50983.601565500001</v>
      </c>
      <c r="C40" s="310">
        <v>50401.436514799992</v>
      </c>
      <c r="D40" s="310">
        <v>17324.078694799999</v>
      </c>
    </row>
    <row r="41" spans="1:12">
      <c r="A41" s="300" t="s">
        <v>290</v>
      </c>
      <c r="B41" s="310">
        <v>51268.0704558</v>
      </c>
      <c r="C41" s="310">
        <v>87819.547181000002</v>
      </c>
      <c r="D41" s="310">
        <v>153173.1238529</v>
      </c>
    </row>
    <row r="42" spans="1:12">
      <c r="A42" s="300" t="s">
        <v>291</v>
      </c>
      <c r="B42" s="310">
        <v>12182.297771</v>
      </c>
      <c r="C42" s="310">
        <v>11419.480340999999</v>
      </c>
      <c r="D42" s="310">
        <v>9721.8272610000004</v>
      </c>
    </row>
    <row r="43" spans="1:12">
      <c r="A43" s="300" t="s">
        <v>292</v>
      </c>
      <c r="B43" s="310">
        <f>(506823131.36+35800)/100000</f>
        <v>5068.5893136000004</v>
      </c>
      <c r="C43" s="310">
        <v>1278.4496999999999</v>
      </c>
      <c r="D43" s="310">
        <v>1182.44352</v>
      </c>
    </row>
    <row r="44" spans="1:12">
      <c r="A44" s="300" t="s">
        <v>293</v>
      </c>
      <c r="B44" s="310">
        <v>5499.7012199999999</v>
      </c>
      <c r="C44" s="310">
        <v>5322.3111500000005</v>
      </c>
      <c r="D44" s="310">
        <v>1948.4911500000001</v>
      </c>
    </row>
    <row r="45" spans="1:12">
      <c r="A45" s="300" t="s">
        <v>294</v>
      </c>
      <c r="B45" s="310">
        <v>116265.0302233</v>
      </c>
      <c r="C45" s="310">
        <v>135733.49136330001</v>
      </c>
      <c r="D45" s="310">
        <v>130810.56126209999</v>
      </c>
    </row>
    <row r="46" spans="1:12" s="290" customFormat="1">
      <c r="A46" s="311" t="s">
        <v>8</v>
      </c>
      <c r="B46" s="312">
        <f>+SUM(B39:B45)</f>
        <v>248196.34685919998</v>
      </c>
      <c r="C46" s="312">
        <f>+SUM(C39:C45)</f>
        <v>297315.7257601</v>
      </c>
      <c r="D46" s="312">
        <f>+SUM(D39:D45)</f>
        <v>317859.23214079998</v>
      </c>
    </row>
  </sheetData>
  <mergeCells count="4">
    <mergeCell ref="A1:L1"/>
    <mergeCell ref="A2:L2"/>
    <mergeCell ref="A4:C4"/>
    <mergeCell ref="A32:L33"/>
  </mergeCells>
  <pageMargins left="0.31496062992125984" right="0.31496062992125984" top="0.55118110236220474" bottom="0.55118110236220474"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dimension ref="A1:F128"/>
  <sheetViews>
    <sheetView topLeftCell="A16" workbookViewId="0">
      <selection activeCell="C29" sqref="C29"/>
    </sheetView>
  </sheetViews>
  <sheetFormatPr defaultRowHeight="18" customHeight="1"/>
  <cols>
    <col min="1" max="1" width="63.5703125" style="9" customWidth="1"/>
    <col min="2" max="2" width="18.140625" style="9" customWidth="1"/>
    <col min="3" max="3" width="18.140625" style="127" customWidth="1"/>
    <col min="4" max="4" width="9.140625" style="9"/>
    <col min="5" max="5" width="10.42578125" style="9" customWidth="1"/>
    <col min="6" max="16384" width="9.140625" style="9"/>
  </cols>
  <sheetData>
    <row r="1" spans="1:6" ht="18" customHeight="1">
      <c r="A1" s="769" t="str">
        <f>[4]BS!A1</f>
        <v xml:space="preserve">Bihar State Power Transmission Company Limited </v>
      </c>
      <c r="B1" s="769"/>
      <c r="C1" s="769"/>
    </row>
    <row r="2" spans="1:6" ht="18" customHeight="1">
      <c r="A2" s="766" t="s">
        <v>0</v>
      </c>
      <c r="B2" s="766"/>
      <c r="C2" s="766"/>
    </row>
    <row r="3" spans="1:6" ht="18" customHeight="1">
      <c r="A3" s="42" t="s">
        <v>1</v>
      </c>
      <c r="B3" s="42"/>
      <c r="C3" s="115"/>
      <c r="D3" s="116"/>
    </row>
    <row r="4" spans="1:6" ht="18" customHeight="1">
      <c r="A4" s="42" t="s">
        <v>2</v>
      </c>
      <c r="B4" s="42"/>
      <c r="C4" s="117"/>
    </row>
    <row r="5" spans="1:6" ht="48.75" customHeight="1">
      <c r="A5" s="233" t="s">
        <v>3</v>
      </c>
      <c r="B5" s="232" t="s">
        <v>4</v>
      </c>
      <c r="C5" s="232" t="s">
        <v>5</v>
      </c>
    </row>
    <row r="6" spans="1:6" ht="18" customHeight="1">
      <c r="A6" s="112" t="s">
        <v>6</v>
      </c>
      <c r="B6" s="190"/>
      <c r="C6" s="181"/>
    </row>
    <row r="7" spans="1:6" ht="18" customHeight="1">
      <c r="A7" s="102" t="s">
        <v>7</v>
      </c>
      <c r="B7" s="278">
        <v>34.590000000000003</v>
      </c>
      <c r="C7" s="278">
        <v>61.024999999999999</v>
      </c>
      <c r="E7" s="9">
        <v>5944000</v>
      </c>
      <c r="F7" s="9">
        <f>+E7/100000</f>
        <v>59.44</v>
      </c>
    </row>
    <row r="8" spans="1:6" ht="18" customHeight="1">
      <c r="A8" s="215" t="s">
        <v>8</v>
      </c>
      <c r="B8" s="228">
        <f>+B7</f>
        <v>34.590000000000003</v>
      </c>
      <c r="C8" s="228">
        <f>+C7</f>
        <v>61.024999999999999</v>
      </c>
      <c r="F8" s="727">
        <f>+F7-C8</f>
        <v>-1.5850000000000009</v>
      </c>
    </row>
    <row r="9" spans="1:6" ht="11.25" customHeight="1">
      <c r="A9" s="118"/>
      <c r="B9" s="118"/>
      <c r="C9" s="119"/>
    </row>
    <row r="10" spans="1:6" ht="18" customHeight="1">
      <c r="A10" s="42" t="s">
        <v>406</v>
      </c>
      <c r="B10" s="42"/>
      <c r="C10" s="120"/>
    </row>
    <row r="11" spans="1:6" ht="18" customHeight="1">
      <c r="A11" s="26" t="s">
        <v>10</v>
      </c>
      <c r="B11" s="26"/>
      <c r="C11" s="121"/>
    </row>
    <row r="12" spans="1:6" ht="49.5" customHeight="1">
      <c r="A12" s="233" t="str">
        <f>+A5</f>
        <v>Particulars</v>
      </c>
      <c r="B12" s="232" t="str">
        <f>+B5</f>
        <v>As at 31st March, 2019</v>
      </c>
      <c r="C12" s="232" t="str">
        <f>+C5</f>
        <v>As at 31st March, 2018</v>
      </c>
    </row>
    <row r="13" spans="1:6" ht="18" customHeight="1">
      <c r="A13" s="112" t="s">
        <v>423</v>
      </c>
      <c r="B13" s="549">
        <v>0</v>
      </c>
      <c r="C13" s="122">
        <v>0</v>
      </c>
    </row>
    <row r="14" spans="1:6" ht="18" customHeight="1">
      <c r="A14" s="61"/>
      <c r="B14" s="61"/>
      <c r="C14" s="122"/>
    </row>
    <row r="15" spans="1:6" ht="18" customHeight="1">
      <c r="A15" s="215" t="s">
        <v>8</v>
      </c>
      <c r="B15" s="228">
        <v>0</v>
      </c>
      <c r="C15" s="228">
        <f>SUM(C13:C14)</f>
        <v>0</v>
      </c>
    </row>
    <row r="16" spans="1:6" ht="18" customHeight="1">
      <c r="A16" s="118"/>
      <c r="B16" s="118"/>
      <c r="C16" s="119"/>
    </row>
    <row r="17" spans="1:6" ht="18" customHeight="1">
      <c r="A17" s="26" t="s">
        <v>11</v>
      </c>
      <c r="B17" s="26"/>
      <c r="C17" s="117"/>
    </row>
    <row r="18" spans="1:6" ht="18" customHeight="1">
      <c r="A18" s="26" t="s">
        <v>12</v>
      </c>
      <c r="B18" s="26"/>
      <c r="C18" s="117"/>
    </row>
    <row r="19" spans="1:6" ht="46.5" customHeight="1">
      <c r="A19" s="233" t="s">
        <v>3</v>
      </c>
      <c r="B19" s="232" t="s">
        <v>4</v>
      </c>
      <c r="C19" s="232" t="s">
        <v>5</v>
      </c>
    </row>
    <row r="20" spans="1:6" ht="18" customHeight="1">
      <c r="A20" s="112" t="s">
        <v>6</v>
      </c>
      <c r="B20" s="112"/>
      <c r="C20" s="47"/>
    </row>
    <row r="21" spans="1:6" ht="18" customHeight="1">
      <c r="A21" s="61" t="s">
        <v>13</v>
      </c>
      <c r="B21" s="278">
        <v>9990.7135679999992</v>
      </c>
      <c r="C21" s="278">
        <v>9690.721322899999</v>
      </c>
    </row>
    <row r="22" spans="1:6" ht="18" customHeight="1">
      <c r="A22" s="61" t="s">
        <v>14</v>
      </c>
      <c r="B22" s="278">
        <v>1</v>
      </c>
      <c r="C22" s="278">
        <v>1</v>
      </c>
    </row>
    <row r="23" spans="1:6" s="1" customFormat="1" ht="18" customHeight="1">
      <c r="A23" s="276" t="s">
        <v>15</v>
      </c>
      <c r="B23" s="280">
        <v>0</v>
      </c>
      <c r="C23" s="280">
        <v>0</v>
      </c>
    </row>
    <row r="24" spans="1:6" s="1" customFormat="1" ht="18" customHeight="1">
      <c r="A24" s="5" t="s">
        <v>16</v>
      </c>
      <c r="B24" s="280">
        <v>0</v>
      </c>
      <c r="C24" s="278">
        <v>86680.390280000007</v>
      </c>
    </row>
    <row r="25" spans="1:6" s="1" customFormat="1" ht="18" customHeight="1">
      <c r="A25" s="5" t="s">
        <v>17</v>
      </c>
      <c r="B25" s="280">
        <v>0</v>
      </c>
      <c r="C25" s="278">
        <v>4099.5870699999996</v>
      </c>
    </row>
    <row r="26" spans="1:6" s="1" customFormat="1" ht="18" customHeight="1">
      <c r="A26" s="5" t="s">
        <v>18</v>
      </c>
      <c r="B26" s="280">
        <v>0</v>
      </c>
      <c r="C26" s="278">
        <v>3115.8296700000001</v>
      </c>
    </row>
    <row r="27" spans="1:6" s="1" customFormat="1" ht="18" customHeight="1">
      <c r="A27" s="277" t="s">
        <v>19</v>
      </c>
      <c r="B27" s="280">
        <v>0</v>
      </c>
      <c r="C27" s="278">
        <v>809.00444000000005</v>
      </c>
    </row>
    <row r="28" spans="1:6" ht="18" customHeight="1">
      <c r="A28" s="61"/>
      <c r="B28" s="183"/>
      <c r="C28" s="182"/>
    </row>
    <row r="29" spans="1:6" s="51" customFormat="1" ht="18" customHeight="1">
      <c r="A29" s="215" t="s">
        <v>8</v>
      </c>
      <c r="B29" s="228">
        <f>SUM(B21:B28)</f>
        <v>9991.7135679999992</v>
      </c>
      <c r="C29" s="228">
        <f>SUM(C21:C28)</f>
        <v>104396.53278290002</v>
      </c>
      <c r="E29" s="51">
        <v>104952.26938290001</v>
      </c>
      <c r="F29" s="728">
        <f>+E29-C29</f>
        <v>555.73659999998927</v>
      </c>
    </row>
    <row r="30" spans="1:6" ht="42.75" customHeight="1">
      <c r="A30" s="774" t="s">
        <v>891</v>
      </c>
      <c r="B30" s="774"/>
      <c r="C30" s="774"/>
    </row>
    <row r="31" spans="1:6" ht="9.75" customHeight="1">
      <c r="A31" s="123"/>
      <c r="B31" s="118"/>
      <c r="C31" s="119"/>
    </row>
    <row r="32" spans="1:6" s="1" customFormat="1" ht="18" customHeight="1">
      <c r="A32" s="42" t="s">
        <v>9</v>
      </c>
      <c r="B32" s="42"/>
      <c r="C32" s="124"/>
      <c r="D32" s="116"/>
    </row>
    <row r="33" spans="1:3" s="1" customFormat="1" ht="18" customHeight="1">
      <c r="A33" s="42" t="s">
        <v>20</v>
      </c>
      <c r="B33" s="42"/>
      <c r="C33" s="71"/>
    </row>
    <row r="34" spans="1:3" s="1" customFormat="1" ht="47.25" customHeight="1">
      <c r="A34" s="233" t="s">
        <v>3</v>
      </c>
      <c r="B34" s="232" t="s">
        <v>4</v>
      </c>
      <c r="C34" s="232" t="s">
        <v>5</v>
      </c>
    </row>
    <row r="35" spans="1:3" s="1" customFormat="1" ht="18" customHeight="1">
      <c r="A35" s="61" t="s">
        <v>21</v>
      </c>
      <c r="B35" s="278">
        <v>11080.411261800004</v>
      </c>
      <c r="C35" s="278">
        <v>11753.756666100002</v>
      </c>
    </row>
    <row r="36" spans="1:3" s="1" customFormat="1" ht="18" customHeight="1">
      <c r="A36" s="61" t="s">
        <v>22</v>
      </c>
      <c r="B36" s="278">
        <v>524.29341650000003</v>
      </c>
      <c r="C36" s="278">
        <v>524.29341650000003</v>
      </c>
    </row>
    <row r="37" spans="1:3" s="1" customFormat="1" ht="18" customHeight="1">
      <c r="A37" s="61" t="s">
        <v>23</v>
      </c>
      <c r="B37" s="278">
        <v>7.0037599999999998</v>
      </c>
      <c r="C37" s="278">
        <v>7.0037599999999998</v>
      </c>
    </row>
    <row r="38" spans="1:3" s="1" customFormat="1" ht="18" customHeight="1">
      <c r="A38" s="61"/>
      <c r="B38" s="183"/>
      <c r="C38" s="185"/>
    </row>
    <row r="39" spans="1:3" s="1" customFormat="1" ht="18" customHeight="1">
      <c r="A39" s="215" t="s">
        <v>8</v>
      </c>
      <c r="B39" s="228">
        <f>SUM(B35:B38)</f>
        <v>11611.708438300004</v>
      </c>
      <c r="C39" s="228">
        <f>SUM(C35:C38)</f>
        <v>12285.053842600002</v>
      </c>
    </row>
    <row r="40" spans="1:3" s="1" customFormat="1" ht="43.5" customHeight="1">
      <c r="A40" s="771" t="s">
        <v>892</v>
      </c>
      <c r="B40" s="772"/>
      <c r="C40" s="772"/>
    </row>
    <row r="41" spans="1:3" s="1" customFormat="1" ht="18" customHeight="1">
      <c r="A41" s="666"/>
      <c r="B41" s="666"/>
      <c r="C41" s="666"/>
    </row>
    <row r="42" spans="1:3" ht="18" customHeight="1">
      <c r="A42" s="769" t="str">
        <f>+A1</f>
        <v xml:space="preserve">Bihar State Power Transmission Company Limited </v>
      </c>
      <c r="B42" s="769"/>
      <c r="C42" s="769"/>
    </row>
    <row r="43" spans="1:3" ht="18" customHeight="1">
      <c r="A43" s="766" t="s">
        <v>0</v>
      </c>
      <c r="B43" s="766"/>
      <c r="C43" s="766"/>
    </row>
    <row r="44" spans="1:3" s="1" customFormat="1" ht="18" customHeight="1"/>
    <row r="45" spans="1:3" s="1" customFormat="1" ht="18" customHeight="1">
      <c r="A45" s="13" t="s">
        <v>24</v>
      </c>
      <c r="B45" s="13"/>
      <c r="C45" s="103"/>
    </row>
    <row r="46" spans="1:3" s="1" customFormat="1" ht="18" customHeight="1">
      <c r="A46" s="13" t="s">
        <v>25</v>
      </c>
      <c r="B46" s="13"/>
      <c r="C46" s="104"/>
    </row>
    <row r="47" spans="1:3" s="1" customFormat="1" ht="46.5" customHeight="1">
      <c r="A47" s="233" t="s">
        <v>3</v>
      </c>
      <c r="B47" s="232" t="s">
        <v>4</v>
      </c>
      <c r="C47" s="232" t="s">
        <v>5</v>
      </c>
    </row>
    <row r="48" spans="1:3" s="1" customFormat="1" ht="18" customHeight="1">
      <c r="A48" s="274" t="s">
        <v>26</v>
      </c>
      <c r="B48" s="274"/>
      <c r="C48" s="105"/>
    </row>
    <row r="49" spans="1:3" s="1" customFormat="1" ht="18" customHeight="1">
      <c r="A49" s="274" t="s">
        <v>28</v>
      </c>
      <c r="B49" s="278">
        <v>90828.713730000003</v>
      </c>
      <c r="C49" s="278">
        <v>35469.336940000001</v>
      </c>
    </row>
    <row r="50" spans="1:3" s="1" customFormat="1" ht="18" customHeight="1">
      <c r="A50" s="274"/>
      <c r="B50" s="275"/>
      <c r="C50" s="174"/>
    </row>
    <row r="51" spans="1:3" s="1" customFormat="1" ht="18" customHeight="1">
      <c r="A51" s="272" t="s">
        <v>29</v>
      </c>
      <c r="B51" s="281">
        <v>0</v>
      </c>
      <c r="C51" s="219">
        <v>0</v>
      </c>
    </row>
    <row r="52" spans="1:3" s="1" customFormat="1" ht="18" customHeight="1">
      <c r="A52" s="272"/>
      <c r="B52" s="281"/>
      <c r="C52" s="219"/>
    </row>
    <row r="53" spans="1:3" s="1" customFormat="1" ht="18" customHeight="1">
      <c r="A53" s="186" t="s">
        <v>30</v>
      </c>
      <c r="B53" s="282"/>
      <c r="C53" s="219"/>
    </row>
    <row r="54" spans="1:3" s="1" customFormat="1" ht="18" customHeight="1">
      <c r="A54" s="125" t="s">
        <v>31</v>
      </c>
      <c r="B54" s="281">
        <v>0</v>
      </c>
      <c r="C54" s="281">
        <v>0</v>
      </c>
    </row>
    <row r="55" spans="1:3" s="1" customFormat="1" ht="18" customHeight="1">
      <c r="A55" s="126" t="s">
        <v>32</v>
      </c>
      <c r="B55" s="281">
        <v>0</v>
      </c>
      <c r="C55" s="281">
        <v>0</v>
      </c>
    </row>
    <row r="56" spans="1:3" s="1" customFormat="1" ht="18" customHeight="1">
      <c r="A56" s="272"/>
      <c r="B56" s="273"/>
      <c r="C56" s="174"/>
    </row>
    <row r="57" spans="1:3" s="1" customFormat="1" ht="18" customHeight="1">
      <c r="A57" s="215" t="s">
        <v>8</v>
      </c>
      <c r="B57" s="228">
        <f>+B49-B51+B54+B55</f>
        <v>90828.713730000003</v>
      </c>
      <c r="C57" s="228">
        <f>+C49-C51+C54+C55</f>
        <v>35469.336940000001</v>
      </c>
    </row>
    <row r="58" spans="1:3" ht="18" customHeight="1">
      <c r="A58" s="118"/>
      <c r="B58" s="118"/>
      <c r="C58" s="119"/>
    </row>
    <row r="59" spans="1:3" ht="18" customHeight="1">
      <c r="A59" s="118"/>
      <c r="B59" s="118"/>
      <c r="C59" s="119"/>
    </row>
    <row r="60" spans="1:3" ht="18" customHeight="1">
      <c r="A60" s="13" t="s">
        <v>34</v>
      </c>
      <c r="B60" s="13"/>
      <c r="C60" s="103"/>
    </row>
    <row r="61" spans="1:3" ht="18" customHeight="1">
      <c r="A61" s="13" t="s">
        <v>35</v>
      </c>
      <c r="B61" s="13"/>
      <c r="C61" s="104"/>
    </row>
    <row r="62" spans="1:3" ht="49.5" customHeight="1">
      <c r="A62" s="233" t="s">
        <v>3</v>
      </c>
      <c r="B62" s="232" t="s">
        <v>4</v>
      </c>
      <c r="C62" s="232" t="s">
        <v>5</v>
      </c>
    </row>
    <row r="63" spans="1:3" ht="18" customHeight="1">
      <c r="A63" s="271" t="s">
        <v>36</v>
      </c>
      <c r="B63" s="278">
        <v>3.2124100000000002</v>
      </c>
      <c r="C63" s="278">
        <v>1.46454</v>
      </c>
    </row>
    <row r="64" spans="1:3" ht="18" customHeight="1">
      <c r="A64" s="272" t="s">
        <v>37</v>
      </c>
      <c r="B64" s="278">
        <v>2771.6965189999996</v>
      </c>
      <c r="C64" s="278">
        <v>104.64975750000001</v>
      </c>
    </row>
    <row r="65" spans="1:3" ht="18" customHeight="1">
      <c r="A65" s="272" t="s">
        <v>38</v>
      </c>
      <c r="B65" s="280">
        <v>0</v>
      </c>
      <c r="C65" s="280">
        <v>0</v>
      </c>
    </row>
    <row r="66" spans="1:3" ht="18" customHeight="1">
      <c r="A66" s="271" t="s">
        <v>39</v>
      </c>
      <c r="B66" s="278"/>
      <c r="C66" s="278"/>
    </row>
    <row r="67" spans="1:3" ht="18" customHeight="1">
      <c r="A67" s="272" t="s">
        <v>40</v>
      </c>
      <c r="B67" s="278">
        <f>13969914381/100000</f>
        <v>139699.14381000001</v>
      </c>
      <c r="C67" s="278">
        <v>151213.33624940002</v>
      </c>
    </row>
    <row r="68" spans="1:3" ht="32.25" customHeight="1">
      <c r="A68" s="272" t="s">
        <v>41</v>
      </c>
      <c r="B68" s="280">
        <v>0</v>
      </c>
      <c r="C68" s="280">
        <v>0</v>
      </c>
    </row>
    <row r="69" spans="1:3" ht="18" customHeight="1">
      <c r="A69" s="272"/>
      <c r="B69" s="278"/>
      <c r="C69" s="278"/>
    </row>
    <row r="70" spans="1:3" ht="18" customHeight="1">
      <c r="A70" s="272" t="s">
        <v>42</v>
      </c>
      <c r="B70" s="278">
        <f>2961302/100000</f>
        <v>29.613019999999999</v>
      </c>
      <c r="C70" s="278">
        <v>14.431405</v>
      </c>
    </row>
    <row r="71" spans="1:3" ht="18" customHeight="1">
      <c r="A71" s="272"/>
      <c r="B71" s="273"/>
      <c r="C71" s="185"/>
    </row>
    <row r="72" spans="1:3" ht="18" customHeight="1">
      <c r="A72" s="215" t="s">
        <v>8</v>
      </c>
      <c r="B72" s="228">
        <f>SUM(B63:B71)</f>
        <v>142503.665759</v>
      </c>
      <c r="C72" s="228">
        <f>SUM(C63:C71)</f>
        <v>151333.88195190002</v>
      </c>
    </row>
    <row r="73" spans="1:3" ht="18" customHeight="1">
      <c r="A73" s="770"/>
      <c r="B73" s="770"/>
      <c r="C73" s="770"/>
    </row>
    <row r="74" spans="1:3" ht="12" customHeight="1">
      <c r="A74" s="106"/>
      <c r="B74" s="106"/>
      <c r="C74" s="106"/>
    </row>
    <row r="75" spans="1:3" ht="18" customHeight="1">
      <c r="A75" s="13" t="s">
        <v>43</v>
      </c>
      <c r="B75" s="13"/>
      <c r="C75" s="107"/>
    </row>
    <row r="76" spans="1:3" ht="18" customHeight="1">
      <c r="A76" s="13" t="s">
        <v>44</v>
      </c>
      <c r="B76" s="13"/>
      <c r="C76" s="26"/>
    </row>
    <row r="77" spans="1:3" ht="50.25" customHeight="1">
      <c r="A77" s="233" t="s">
        <v>3</v>
      </c>
      <c r="B77" s="232" t="s">
        <v>4</v>
      </c>
      <c r="C77" s="232" t="s">
        <v>5</v>
      </c>
    </row>
    <row r="78" spans="1:3" ht="18" customHeight="1">
      <c r="A78" s="265" t="s">
        <v>397</v>
      </c>
      <c r="B78" s="266"/>
      <c r="C78" s="187"/>
    </row>
    <row r="79" spans="1:3" ht="18" customHeight="1">
      <c r="A79" s="62" t="s">
        <v>45</v>
      </c>
      <c r="B79" s="278">
        <v>35130.566980000003</v>
      </c>
      <c r="C79" s="278">
        <v>12271.53</v>
      </c>
    </row>
    <row r="80" spans="1:3" ht="18" customHeight="1">
      <c r="A80" s="265"/>
      <c r="B80" s="266"/>
      <c r="C80" s="188"/>
    </row>
    <row r="81" spans="1:3" ht="18" customHeight="1">
      <c r="A81" s="215" t="s">
        <v>8</v>
      </c>
      <c r="B81" s="228">
        <f>+B79</f>
        <v>35130.566980000003</v>
      </c>
      <c r="C81" s="228">
        <f>+C79</f>
        <v>12271.53</v>
      </c>
    </row>
    <row r="82" spans="1:3" ht="33.75" customHeight="1">
      <c r="A82" s="773" t="s">
        <v>732</v>
      </c>
      <c r="B82" s="773"/>
      <c r="C82" s="773"/>
    </row>
    <row r="83" spans="1:3" ht="18" customHeight="1">
      <c r="A83" s="1"/>
      <c r="B83" s="1"/>
      <c r="C83" s="1"/>
    </row>
    <row r="84" spans="1:3" ht="18" customHeight="1">
      <c r="A84" s="1"/>
      <c r="B84" s="1"/>
      <c r="C84" s="1"/>
    </row>
    <row r="85" spans="1:3" ht="18" customHeight="1">
      <c r="A85" s="769" t="str">
        <f>+A1</f>
        <v xml:space="preserve">Bihar State Power Transmission Company Limited </v>
      </c>
      <c r="B85" s="769"/>
      <c r="C85" s="769"/>
    </row>
    <row r="86" spans="1:3" ht="18" customHeight="1">
      <c r="A86" s="766" t="s">
        <v>0</v>
      </c>
      <c r="B86" s="766"/>
      <c r="C86" s="766"/>
    </row>
    <row r="87" spans="1:3" ht="10.5" customHeight="1">
      <c r="A87" s="1"/>
      <c r="B87" s="1"/>
      <c r="C87" s="1"/>
    </row>
    <row r="88" spans="1:3" ht="18" customHeight="1">
      <c r="A88" s="13" t="s">
        <v>46</v>
      </c>
      <c r="B88" s="13"/>
      <c r="C88" s="107"/>
    </row>
    <row r="89" spans="1:3" ht="18" customHeight="1">
      <c r="A89" s="13" t="s">
        <v>47</v>
      </c>
      <c r="B89" s="13"/>
      <c r="C89" s="26"/>
    </row>
    <row r="90" spans="1:3" ht="48" customHeight="1">
      <c r="A90" s="233" t="s">
        <v>3</v>
      </c>
      <c r="B90" s="232" t="s">
        <v>4</v>
      </c>
      <c r="C90" s="232" t="s">
        <v>5</v>
      </c>
    </row>
    <row r="91" spans="1:3" ht="18" customHeight="1">
      <c r="A91" s="269" t="s">
        <v>407</v>
      </c>
      <c r="B91" s="280">
        <v>0</v>
      </c>
      <c r="C91" s="278">
        <v>131.76577</v>
      </c>
    </row>
    <row r="92" spans="1:3" ht="18" customHeight="1">
      <c r="A92" s="269" t="s">
        <v>408</v>
      </c>
      <c r="B92" s="278">
        <v>0.88934999999999997</v>
      </c>
      <c r="C92" s="278">
        <v>0.88934999999999997</v>
      </c>
    </row>
    <row r="93" spans="1:3" ht="18" customHeight="1">
      <c r="A93" s="269" t="s">
        <v>409</v>
      </c>
      <c r="B93" s="278">
        <v>307.42444799999998</v>
      </c>
      <c r="C93" s="278">
        <v>56.178477999999998</v>
      </c>
    </row>
    <row r="94" spans="1:3" ht="18" customHeight="1">
      <c r="A94" s="269" t="s">
        <v>48</v>
      </c>
      <c r="B94" s="279">
        <v>0.34142</v>
      </c>
      <c r="C94" s="279">
        <v>4.1419999999999998E-2</v>
      </c>
    </row>
    <row r="95" spans="1:3" ht="18" customHeight="1">
      <c r="A95" s="269"/>
      <c r="B95" s="270"/>
      <c r="C95" s="185"/>
    </row>
    <row r="96" spans="1:3" ht="18" customHeight="1">
      <c r="A96" s="215" t="s">
        <v>8</v>
      </c>
      <c r="B96" s="228">
        <f>SUM(B91:B95)</f>
        <v>308.65521799999999</v>
      </c>
      <c r="C96" s="228">
        <f>SUM(C91:C95)</f>
        <v>188.87501799999998</v>
      </c>
    </row>
    <row r="98" spans="1:3" ht="9" customHeight="1"/>
    <row r="99" spans="1:3" ht="18" customHeight="1">
      <c r="A99" s="13" t="s">
        <v>49</v>
      </c>
      <c r="B99" s="13"/>
      <c r="C99" s="108"/>
    </row>
    <row r="100" spans="1:3" ht="18" customHeight="1">
      <c r="A100" s="13" t="s">
        <v>50</v>
      </c>
      <c r="B100" s="13"/>
      <c r="C100" s="13"/>
    </row>
    <row r="101" spans="1:3" ht="48" customHeight="1">
      <c r="A101" s="233" t="s">
        <v>3</v>
      </c>
      <c r="B101" s="232" t="s">
        <v>4</v>
      </c>
      <c r="C101" s="232" t="s">
        <v>5</v>
      </c>
    </row>
    <row r="102" spans="1:3" ht="18" customHeight="1">
      <c r="A102" s="62" t="s">
        <v>51</v>
      </c>
      <c r="B102" s="278">
        <f>2441625827/100000</f>
        <v>24416.258269999998</v>
      </c>
      <c r="C102" s="278">
        <v>10945.52009</v>
      </c>
    </row>
    <row r="103" spans="1:3" ht="18" customHeight="1">
      <c r="A103" s="215" t="s">
        <v>8</v>
      </c>
      <c r="B103" s="228">
        <f>+B102</f>
        <v>24416.258269999998</v>
      </c>
      <c r="C103" s="228">
        <f>+C102</f>
        <v>10945.52009</v>
      </c>
    </row>
    <row r="104" spans="1:3" ht="12" customHeight="1">
      <c r="A104" s="109"/>
      <c r="B104" s="109"/>
      <c r="C104" s="110"/>
    </row>
    <row r="105" spans="1:3" ht="18" customHeight="1">
      <c r="A105" s="26" t="s">
        <v>52</v>
      </c>
      <c r="B105" s="26"/>
      <c r="C105" s="59"/>
    </row>
    <row r="106" spans="1:3" ht="18" customHeight="1">
      <c r="A106" s="26" t="s">
        <v>410</v>
      </c>
      <c r="B106" s="26"/>
      <c r="C106" s="58"/>
    </row>
    <row r="107" spans="1:3" ht="48" customHeight="1">
      <c r="A107" s="233" t="s">
        <v>3</v>
      </c>
      <c r="B107" s="232" t="s">
        <v>4</v>
      </c>
      <c r="C107" s="232" t="s">
        <v>5</v>
      </c>
    </row>
    <row r="108" spans="1:3" ht="18" customHeight="1">
      <c r="A108" s="61" t="s">
        <v>53</v>
      </c>
      <c r="B108" s="278">
        <f>7116.31405322449+'P&amp;L'!E20</f>
        <v>19060.31205322449</v>
      </c>
      <c r="C108" s="278">
        <v>7116.3140532244897</v>
      </c>
    </row>
    <row r="109" spans="1:3" ht="18" customHeight="1">
      <c r="A109" s="111" t="s">
        <v>8</v>
      </c>
      <c r="B109" s="189">
        <f>+B108</f>
        <v>19060.31205322449</v>
      </c>
      <c r="C109" s="189">
        <f>+C108</f>
        <v>7116.3140532244897</v>
      </c>
    </row>
    <row r="110" spans="1:3" ht="18" customHeight="1">
      <c r="A110" s="215" t="s">
        <v>54</v>
      </c>
      <c r="B110" s="228">
        <f>+B103-B109</f>
        <v>5355.9462167755082</v>
      </c>
      <c r="C110" s="228">
        <f>+C103-C109</f>
        <v>3829.2060367755103</v>
      </c>
    </row>
    <row r="111" spans="1:3" ht="13.5" customHeight="1">
      <c r="A111" s="767"/>
      <c r="B111" s="767"/>
      <c r="C111" s="768"/>
    </row>
    <row r="112" spans="1:3" ht="18" customHeight="1">
      <c r="A112" s="13" t="s">
        <v>58</v>
      </c>
      <c r="B112" s="13"/>
      <c r="C112" s="114"/>
    </row>
    <row r="113" spans="1:3" ht="18" customHeight="1">
      <c r="A113" s="13" t="s">
        <v>59</v>
      </c>
      <c r="B113" s="13"/>
      <c r="C113" s="13"/>
    </row>
    <row r="114" spans="1:3" ht="48.75" customHeight="1">
      <c r="A114" s="233" t="s">
        <v>422</v>
      </c>
      <c r="B114" s="232" t="s">
        <v>4</v>
      </c>
      <c r="C114" s="232" t="s">
        <v>5</v>
      </c>
    </row>
    <row r="115" spans="1:3" ht="18" customHeight="1">
      <c r="A115" s="264" t="s">
        <v>60</v>
      </c>
      <c r="B115" s="278">
        <v>308.81856379999999</v>
      </c>
      <c r="C115" s="278">
        <v>258.35354380000001</v>
      </c>
    </row>
    <row r="116" spans="1:3" ht="18" customHeight="1">
      <c r="A116" s="62" t="s">
        <v>61</v>
      </c>
      <c r="B116" s="278">
        <v>58.7944216</v>
      </c>
      <c r="C116" s="278">
        <v>190.70461559999998</v>
      </c>
    </row>
    <row r="117" spans="1:3" ht="18" customHeight="1">
      <c r="A117" s="265" t="s">
        <v>62</v>
      </c>
      <c r="B117" s="278"/>
      <c r="C117" s="278"/>
    </row>
    <row r="118" spans="1:3" ht="18" customHeight="1">
      <c r="A118" s="267" t="s">
        <v>63</v>
      </c>
      <c r="B118" s="280">
        <v>0</v>
      </c>
      <c r="C118" s="280">
        <v>0</v>
      </c>
    </row>
    <row r="119" spans="1:3" ht="18" customHeight="1">
      <c r="A119" s="267" t="s">
        <v>64</v>
      </c>
      <c r="B119" s="280">
        <v>0</v>
      </c>
      <c r="C119" s="280">
        <v>0</v>
      </c>
    </row>
    <row r="120" spans="1:3" ht="18" customHeight="1">
      <c r="A120" s="267" t="s">
        <v>65</v>
      </c>
      <c r="B120" s="280">
        <v>0</v>
      </c>
      <c r="C120" s="280">
        <v>0</v>
      </c>
    </row>
    <row r="121" spans="1:3" ht="18" customHeight="1">
      <c r="A121" s="267" t="s">
        <v>66</v>
      </c>
      <c r="B121" s="280">
        <v>0</v>
      </c>
      <c r="C121" s="280">
        <v>0</v>
      </c>
    </row>
    <row r="122" spans="1:3" ht="18" customHeight="1">
      <c r="A122" s="30" t="s">
        <v>67</v>
      </c>
      <c r="B122" s="278">
        <v>3538.4760292000001</v>
      </c>
      <c r="C122" s="278">
        <v>137.88777920000001</v>
      </c>
    </row>
    <row r="123" spans="1:3" ht="18" customHeight="1">
      <c r="A123" s="268" t="str">
        <f>'[4]Trial Balance 17-18'!J929</f>
        <v>Balances with Banks</v>
      </c>
      <c r="B123" s="278">
        <v>131.98277339999999</v>
      </c>
      <c r="C123" s="278">
        <v>46.1505267</v>
      </c>
    </row>
    <row r="124" spans="1:3" ht="18" customHeight="1">
      <c r="A124" s="268" t="s">
        <v>69</v>
      </c>
      <c r="B124" s="278">
        <v>7.6509952000000006</v>
      </c>
      <c r="C124" s="278">
        <v>94.362578200000002</v>
      </c>
    </row>
    <row r="125" spans="1:3" ht="18" customHeight="1">
      <c r="A125" s="215" t="s">
        <v>8</v>
      </c>
      <c r="B125" s="228">
        <f>SUM(B115:B124)</f>
        <v>4045.7227832000003</v>
      </c>
      <c r="C125" s="228">
        <f>SUM(C115:C124)</f>
        <v>727.45904350000012</v>
      </c>
    </row>
    <row r="126" spans="1:3" ht="18" customHeight="1">
      <c r="A126" s="1"/>
      <c r="B126" s="1"/>
      <c r="C126" s="1"/>
    </row>
    <row r="127" spans="1:3" ht="18" customHeight="1">
      <c r="A127" s="1"/>
      <c r="B127" s="1"/>
      <c r="C127" s="1"/>
    </row>
    <row r="128" spans="1:3" ht="18" customHeight="1">
      <c r="A128" s="1"/>
      <c r="B128" s="1"/>
      <c r="C128" s="1"/>
    </row>
  </sheetData>
  <mergeCells count="11">
    <mergeCell ref="A86:C86"/>
    <mergeCell ref="A111:C111"/>
    <mergeCell ref="A1:C1"/>
    <mergeCell ref="A2:C2"/>
    <mergeCell ref="A42:C42"/>
    <mergeCell ref="A43:C43"/>
    <mergeCell ref="A73:C73"/>
    <mergeCell ref="A85:C85"/>
    <mergeCell ref="A40:C40"/>
    <mergeCell ref="A82:C82"/>
    <mergeCell ref="A30:C30"/>
  </mergeCells>
  <pageMargins left="0.70866141732283472" right="0.70866141732283472"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dimension ref="A1:G137"/>
  <sheetViews>
    <sheetView topLeftCell="A13" workbookViewId="0">
      <selection activeCell="A6" sqref="A6:C6"/>
    </sheetView>
  </sheetViews>
  <sheetFormatPr defaultRowHeight="18" customHeight="1"/>
  <cols>
    <col min="1" max="1" width="44" style="9" customWidth="1"/>
    <col min="2" max="2" width="18.140625" style="9" customWidth="1"/>
    <col min="3" max="3" width="17.140625" style="9" customWidth="1"/>
    <col min="4" max="4" width="17.85546875" style="9" customWidth="1"/>
    <col min="5" max="5" width="17.5703125" style="9" customWidth="1"/>
    <col min="6" max="6" width="9.140625" style="9"/>
    <col min="7" max="7" width="19.85546875" style="9" bestFit="1" customWidth="1"/>
    <col min="8" max="16384" width="9.140625" style="9"/>
  </cols>
  <sheetData>
    <row r="1" spans="1:7" ht="18" customHeight="1">
      <c r="A1" s="769" t="str">
        <f>[4]BS!A1</f>
        <v xml:space="preserve">Bihar State Power Transmission Company Limited </v>
      </c>
      <c r="B1" s="769"/>
      <c r="C1" s="769"/>
      <c r="D1" s="769"/>
      <c r="E1" s="769"/>
      <c r="F1" s="2"/>
      <c r="G1" s="2"/>
    </row>
    <row r="2" spans="1:7" ht="18" customHeight="1">
      <c r="A2" s="766" t="s">
        <v>0</v>
      </c>
      <c r="B2" s="766"/>
      <c r="C2" s="766"/>
      <c r="D2" s="766"/>
      <c r="E2" s="766"/>
    </row>
    <row r="3" spans="1:7" ht="18" customHeight="1">
      <c r="A3" s="10"/>
      <c r="B3" s="10"/>
      <c r="C3" s="10"/>
      <c r="D3" s="10"/>
      <c r="E3" s="10"/>
    </row>
    <row r="4" spans="1:7" ht="18" customHeight="1">
      <c r="A4" s="26" t="s">
        <v>71</v>
      </c>
      <c r="B4" s="93"/>
      <c r="C4" s="1"/>
      <c r="D4" s="1"/>
    </row>
    <row r="5" spans="1:7" ht="18" customHeight="1">
      <c r="A5" s="26" t="s">
        <v>72</v>
      </c>
      <c r="B5" s="93"/>
      <c r="C5" s="1"/>
      <c r="D5" s="94"/>
    </row>
    <row r="6" spans="1:7" ht="51.75" customHeight="1">
      <c r="A6" s="247" t="s">
        <v>3</v>
      </c>
      <c r="B6" s="231" t="s">
        <v>4</v>
      </c>
      <c r="C6" s="231" t="s">
        <v>5</v>
      </c>
    </row>
    <row r="7" spans="1:7" ht="18" customHeight="1">
      <c r="A7" s="95" t="s">
        <v>73</v>
      </c>
      <c r="B7" s="96"/>
      <c r="C7" s="96"/>
    </row>
    <row r="8" spans="1:7" ht="63.75" customHeight="1" thickBot="1">
      <c r="A8" s="97" t="s">
        <v>730</v>
      </c>
      <c r="B8" s="191">
        <f>81000000000/100000</f>
        <v>810000</v>
      </c>
      <c r="C8" s="191">
        <v>300000</v>
      </c>
    </row>
    <row r="9" spans="1:7" ht="17.25" customHeight="1" thickTop="1">
      <c r="A9" s="98" t="s">
        <v>74</v>
      </c>
      <c r="B9" s="192"/>
      <c r="C9" s="192"/>
    </row>
    <row r="10" spans="1:7" ht="61.5" customHeight="1">
      <c r="A10" s="99" t="s">
        <v>421</v>
      </c>
      <c r="B10" s="193">
        <f>72453736080/100000</f>
        <v>724537.36080000002</v>
      </c>
      <c r="C10" s="193">
        <v>300000</v>
      </c>
    </row>
    <row r="11" spans="1:7" ht="18" customHeight="1">
      <c r="A11" s="95"/>
      <c r="B11" s="194"/>
      <c r="C11" s="194"/>
    </row>
    <row r="12" spans="1:7" ht="18" customHeight="1" thickBot="1">
      <c r="A12" s="248" t="s">
        <v>75</v>
      </c>
      <c r="B12" s="249">
        <f>+B10</f>
        <v>724537.36080000002</v>
      </c>
      <c r="C12" s="249">
        <f>+C10</f>
        <v>300000</v>
      </c>
    </row>
    <row r="13" spans="1:7" ht="18" customHeight="1" thickTop="1">
      <c r="A13" s="100"/>
      <c r="B13" s="18"/>
      <c r="C13" s="18"/>
      <c r="D13" s="18"/>
    </row>
    <row r="14" spans="1:7" ht="18" customHeight="1">
      <c r="A14" s="526" t="s">
        <v>731</v>
      </c>
      <c r="B14" s="41"/>
      <c r="C14" s="41"/>
      <c r="D14" s="41"/>
    </row>
    <row r="15" spans="1:7" ht="18" customHeight="1">
      <c r="A15" s="6"/>
      <c r="B15" s="41"/>
      <c r="C15" s="41"/>
      <c r="D15" s="41"/>
    </row>
    <row r="16" spans="1:7" ht="18" customHeight="1">
      <c r="A16" s="70" t="s">
        <v>76</v>
      </c>
      <c r="B16" s="82"/>
      <c r="C16" s="82"/>
      <c r="D16" s="67"/>
      <c r="E16" s="67"/>
      <c r="F16" s="67"/>
      <c r="G16" s="67"/>
    </row>
    <row r="17" spans="1:7" ht="18" customHeight="1">
      <c r="A17" s="250" t="s">
        <v>3</v>
      </c>
      <c r="B17" s="775" t="s">
        <v>77</v>
      </c>
      <c r="C17" s="776"/>
      <c r="D17" s="775" t="s">
        <v>78</v>
      </c>
      <c r="E17" s="776"/>
    </row>
    <row r="18" spans="1:7" ht="18" customHeight="1">
      <c r="A18" s="251"/>
      <c r="B18" s="252" t="s">
        <v>79</v>
      </c>
      <c r="C18" s="253" t="s">
        <v>80</v>
      </c>
      <c r="D18" s="254" t="s">
        <v>79</v>
      </c>
      <c r="E18" s="255" t="s">
        <v>80</v>
      </c>
    </row>
    <row r="19" spans="1:7" ht="18" customHeight="1">
      <c r="A19" s="101" t="s">
        <v>81</v>
      </c>
      <c r="B19" s="257">
        <f>+D21</f>
        <v>3000000000</v>
      </c>
      <c r="C19" s="195">
        <f>+E21</f>
        <v>300000</v>
      </c>
      <c r="D19" s="257">
        <v>3000000000</v>
      </c>
      <c r="E19" s="196">
        <v>300000</v>
      </c>
    </row>
    <row r="20" spans="1:7" ht="18" customHeight="1">
      <c r="A20" s="102" t="s">
        <v>82</v>
      </c>
      <c r="B20" s="257">
        <f>+B21-B19</f>
        <v>4245373608</v>
      </c>
      <c r="C20" s="196">
        <f>+C21-C19</f>
        <v>424537</v>
      </c>
      <c r="D20" s="259">
        <v>0</v>
      </c>
      <c r="E20" s="196">
        <v>0</v>
      </c>
      <c r="G20" s="51"/>
    </row>
    <row r="21" spans="1:7" ht="18" customHeight="1" thickBot="1">
      <c r="A21" s="256" t="s">
        <v>83</v>
      </c>
      <c r="B21" s="258">
        <v>7245373608</v>
      </c>
      <c r="C21" s="261">
        <v>724537</v>
      </c>
      <c r="D21" s="263">
        <f>+D19+D20</f>
        <v>3000000000</v>
      </c>
      <c r="E21" s="262">
        <f>+E19+E20</f>
        <v>300000</v>
      </c>
    </row>
    <row r="22" spans="1:7" ht="18" customHeight="1" thickTop="1">
      <c r="A22" s="71"/>
      <c r="B22" s="68"/>
      <c r="C22" s="68"/>
      <c r="D22" s="68"/>
      <c r="E22" s="68"/>
    </row>
    <row r="23" spans="1:7" ht="18" customHeight="1">
      <c r="A23" s="71"/>
      <c r="B23" s="71"/>
      <c r="C23" s="71"/>
      <c r="D23" s="68"/>
      <c r="E23" s="68"/>
      <c r="F23" s="68"/>
      <c r="G23" s="68"/>
    </row>
    <row r="24" spans="1:7" ht="18" customHeight="1">
      <c r="A24" s="70" t="s">
        <v>84</v>
      </c>
      <c r="B24" s="82"/>
      <c r="C24" s="84"/>
      <c r="D24" s="69"/>
      <c r="E24" s="69"/>
      <c r="F24" s="69"/>
      <c r="G24" s="69"/>
    </row>
    <row r="25" spans="1:7" ht="18" customHeight="1">
      <c r="A25" s="250" t="s">
        <v>3</v>
      </c>
      <c r="B25" s="777" t="s">
        <v>77</v>
      </c>
      <c r="C25" s="777"/>
      <c r="D25" s="777" t="s">
        <v>78</v>
      </c>
      <c r="E25" s="777"/>
    </row>
    <row r="26" spans="1:7" ht="18" customHeight="1">
      <c r="A26" s="251"/>
      <c r="B26" s="252" t="s">
        <v>79</v>
      </c>
      <c r="C26" s="253" t="s">
        <v>85</v>
      </c>
      <c r="D26" s="252" t="s">
        <v>79</v>
      </c>
      <c r="E26" s="252" t="s">
        <v>85</v>
      </c>
    </row>
    <row r="27" spans="1:7" ht="36.75" customHeight="1">
      <c r="A27" s="260" t="s">
        <v>86</v>
      </c>
      <c r="B27" s="196">
        <v>7245373608</v>
      </c>
      <c r="C27" s="197">
        <v>1</v>
      </c>
      <c r="D27" s="198">
        <v>3000000000</v>
      </c>
      <c r="E27" s="197">
        <v>1</v>
      </c>
    </row>
    <row r="28" spans="1:7" ht="18" customHeight="1">
      <c r="A28" s="71"/>
      <c r="B28" s="71"/>
      <c r="C28" s="71"/>
      <c r="D28" s="68"/>
      <c r="E28" s="68"/>
      <c r="F28" s="68"/>
      <c r="G28" s="68"/>
    </row>
    <row r="29" spans="1:7" ht="18" customHeight="1">
      <c r="A29" s="70"/>
      <c r="B29" s="71"/>
      <c r="C29" s="71"/>
      <c r="D29" s="71"/>
      <c r="E29" s="72"/>
      <c r="F29" s="73"/>
      <c r="G29" s="73"/>
    </row>
    <row r="30" spans="1:7" ht="18" customHeight="1">
      <c r="A30" s="70"/>
      <c r="B30" s="71"/>
      <c r="C30" s="71"/>
      <c r="D30" s="71"/>
      <c r="E30" s="72"/>
      <c r="F30" s="73"/>
      <c r="G30" s="73"/>
    </row>
    <row r="31" spans="1:7" ht="18" customHeight="1">
      <c r="A31" s="70"/>
      <c r="B31" s="71"/>
      <c r="C31" s="71"/>
      <c r="D31" s="71"/>
      <c r="E31" s="71"/>
      <c r="F31" s="74"/>
      <c r="G31" s="74"/>
    </row>
    <row r="32" spans="1:7" ht="18" customHeight="1">
      <c r="A32" s="70"/>
      <c r="B32" s="71"/>
      <c r="C32" s="71"/>
      <c r="D32" s="71"/>
      <c r="E32" s="71"/>
      <c r="F32" s="74"/>
      <c r="G32" s="74"/>
    </row>
    <row r="33" spans="1:7" ht="18" customHeight="1">
      <c r="A33" s="71"/>
      <c r="B33" s="71"/>
      <c r="C33" s="71"/>
      <c r="D33" s="75"/>
      <c r="E33" s="75"/>
      <c r="F33" s="76"/>
      <c r="G33" s="77"/>
    </row>
    <row r="34" spans="1:7" ht="18" customHeight="1">
      <c r="A34" s="71"/>
      <c r="B34" s="71"/>
      <c r="C34" s="71"/>
      <c r="D34" s="75"/>
      <c r="E34" s="78"/>
      <c r="F34" s="79"/>
      <c r="G34" s="77"/>
    </row>
    <row r="35" spans="1:7" ht="18" customHeight="1">
      <c r="A35" s="71"/>
      <c r="B35" s="71"/>
      <c r="C35" s="71"/>
      <c r="D35" s="75"/>
      <c r="E35" s="78"/>
      <c r="F35" s="79"/>
      <c r="G35" s="77"/>
    </row>
    <row r="36" spans="1:7" ht="18" customHeight="1">
      <c r="A36" s="71"/>
      <c r="B36" s="71"/>
      <c r="C36" s="71"/>
      <c r="D36" s="75"/>
      <c r="E36" s="78"/>
      <c r="F36" s="80"/>
      <c r="G36" s="80"/>
    </row>
    <row r="37" spans="1:7" ht="18" customHeight="1">
      <c r="A37" s="71"/>
      <c r="B37" s="71"/>
      <c r="C37" s="71"/>
      <c r="D37" s="75"/>
      <c r="E37" s="75"/>
      <c r="F37" s="79"/>
      <c r="G37" s="77"/>
    </row>
    <row r="38" spans="1:7" ht="18" customHeight="1">
      <c r="A38" s="71"/>
      <c r="B38" s="71"/>
      <c r="C38" s="71"/>
      <c r="D38" s="75"/>
      <c r="E38" s="75"/>
      <c r="F38" s="77"/>
      <c r="G38" s="77"/>
    </row>
    <row r="39" spans="1:7" ht="18" customHeight="1">
      <c r="A39" s="71"/>
      <c r="B39" s="71"/>
      <c r="C39" s="71"/>
      <c r="D39" s="75"/>
      <c r="E39" s="75"/>
      <c r="F39" s="77"/>
      <c r="G39" s="77"/>
    </row>
    <row r="40" spans="1:7" ht="18" customHeight="1">
      <c r="A40" s="71"/>
      <c r="B40" s="71"/>
      <c r="C40" s="71"/>
      <c r="D40" s="75"/>
      <c r="E40" s="75"/>
      <c r="F40" s="81"/>
      <c r="G40" s="81"/>
    </row>
    <row r="41" spans="1:7" ht="18" customHeight="1">
      <c r="A41" s="71"/>
      <c r="B41" s="71"/>
      <c r="C41" s="71"/>
      <c r="D41" s="75"/>
      <c r="E41" s="75"/>
      <c r="F41" s="79"/>
      <c r="G41" s="79"/>
    </row>
    <row r="42" spans="1:7" ht="18" customHeight="1">
      <c r="A42" s="71"/>
      <c r="B42" s="71"/>
      <c r="C42" s="71"/>
      <c r="D42" s="75"/>
      <c r="E42" s="75"/>
      <c r="F42" s="79"/>
      <c r="G42" s="79"/>
    </row>
    <row r="43" spans="1:7" ht="18" customHeight="1">
      <c r="A43" s="71"/>
      <c r="B43" s="71"/>
      <c r="C43" s="71"/>
      <c r="D43" s="75"/>
      <c r="E43" s="75"/>
      <c r="F43" s="81"/>
      <c r="G43" s="81"/>
    </row>
    <row r="44" spans="1:7" ht="18" customHeight="1">
      <c r="A44" s="71"/>
      <c r="B44" s="71"/>
      <c r="C44" s="71"/>
      <c r="D44" s="75"/>
      <c r="E44" s="75"/>
      <c r="F44" s="80"/>
      <c r="G44" s="81"/>
    </row>
    <row r="45" spans="1:7" ht="18" customHeight="1">
      <c r="A45" s="82"/>
      <c r="B45" s="71"/>
      <c r="C45" s="71"/>
      <c r="D45" s="75"/>
      <c r="E45" s="75"/>
      <c r="F45" s="80"/>
      <c r="G45" s="80"/>
    </row>
    <row r="46" spans="1:7" ht="18" customHeight="1">
      <c r="A46" s="71"/>
      <c r="B46" s="71"/>
      <c r="C46" s="71"/>
      <c r="D46" s="75"/>
      <c r="E46" s="75"/>
      <c r="F46" s="83"/>
      <c r="G46" s="83"/>
    </row>
    <row r="47" spans="1:7" ht="18" customHeight="1">
      <c r="A47" s="71"/>
      <c r="B47" s="71"/>
      <c r="C47" s="71"/>
      <c r="D47" s="75"/>
      <c r="E47" s="75"/>
      <c r="F47" s="79"/>
      <c r="G47" s="79"/>
    </row>
    <row r="48" spans="1:7" ht="18" customHeight="1">
      <c r="A48" s="82"/>
      <c r="B48" s="71"/>
      <c r="C48" s="71"/>
      <c r="D48" s="75"/>
      <c r="E48" s="75"/>
      <c r="F48" s="79"/>
      <c r="G48" s="79"/>
    </row>
    <row r="49" spans="1:7" ht="18" customHeight="1">
      <c r="A49" s="71"/>
      <c r="B49" s="71"/>
      <c r="C49" s="71"/>
      <c r="D49" s="75"/>
      <c r="E49" s="75"/>
      <c r="F49" s="79"/>
      <c r="G49" s="79"/>
    </row>
    <row r="50" spans="1:7" ht="18" customHeight="1">
      <c r="A50" s="82"/>
      <c r="B50" s="82"/>
      <c r="C50" s="84"/>
      <c r="D50" s="85"/>
      <c r="E50" s="85"/>
      <c r="F50" s="86"/>
      <c r="G50" s="86"/>
    </row>
    <row r="51" spans="1:7" ht="18" customHeight="1">
      <c r="A51" s="71"/>
      <c r="B51" s="82"/>
      <c r="C51" s="84"/>
      <c r="D51" s="85"/>
      <c r="E51" s="85"/>
      <c r="F51" s="86"/>
      <c r="G51" s="86"/>
    </row>
    <row r="52" spans="1:7" ht="18" customHeight="1">
      <c r="A52" s="71"/>
      <c r="B52" s="82"/>
      <c r="C52" s="84"/>
      <c r="D52" s="85"/>
      <c r="E52" s="85"/>
      <c r="F52" s="86"/>
      <c r="G52" s="86"/>
    </row>
    <row r="53" spans="1:7" ht="18" customHeight="1">
      <c r="A53" s="71"/>
      <c r="B53" s="82"/>
      <c r="C53" s="84"/>
      <c r="D53" s="85"/>
      <c r="E53" s="85"/>
      <c r="F53" s="86"/>
      <c r="G53" s="86"/>
    </row>
    <row r="54" spans="1:7" ht="18" customHeight="1">
      <c r="A54" s="71"/>
      <c r="B54" s="82"/>
      <c r="C54" s="84"/>
      <c r="D54" s="85"/>
      <c r="E54" s="85"/>
      <c r="F54" s="86"/>
      <c r="G54" s="86"/>
    </row>
    <row r="55" spans="1:7" ht="18" customHeight="1">
      <c r="A55" s="70"/>
      <c r="B55" s="87"/>
      <c r="C55" s="87"/>
      <c r="D55" s="87"/>
      <c r="E55" s="87"/>
      <c r="F55" s="87"/>
      <c r="G55" s="87"/>
    </row>
    <row r="56" spans="1:7" ht="18" customHeight="1">
      <c r="A56" s="71"/>
      <c r="B56" s="71"/>
      <c r="C56" s="71"/>
      <c r="D56" s="71"/>
      <c r="E56" s="71"/>
      <c r="F56" s="88"/>
      <c r="G56" s="88"/>
    </row>
    <row r="57" spans="1:7" ht="18" customHeight="1">
      <c r="A57" s="70"/>
      <c r="B57" s="71"/>
      <c r="C57" s="71"/>
      <c r="D57" s="71"/>
      <c r="E57" s="72"/>
      <c r="F57" s="73"/>
      <c r="G57" s="73"/>
    </row>
    <row r="58" spans="1:7" ht="18" customHeight="1">
      <c r="A58" s="70"/>
      <c r="B58" s="71"/>
      <c r="C58" s="71"/>
      <c r="D58" s="71"/>
      <c r="E58" s="72"/>
      <c r="F58" s="73"/>
      <c r="G58" s="73"/>
    </row>
    <row r="59" spans="1:7" ht="18" customHeight="1">
      <c r="A59" s="89"/>
      <c r="B59" s="71"/>
      <c r="C59" s="71"/>
      <c r="D59" s="69"/>
      <c r="E59" s="78"/>
      <c r="F59" s="90"/>
      <c r="G59" s="90"/>
    </row>
    <row r="60" spans="1:7" ht="18" customHeight="1">
      <c r="A60" s="89"/>
      <c r="B60" s="71"/>
      <c r="C60" s="71"/>
      <c r="D60" s="69"/>
      <c r="E60" s="78"/>
      <c r="F60" s="91"/>
      <c r="G60" s="91"/>
    </row>
    <row r="61" spans="1:7" ht="18" customHeight="1">
      <c r="A61" s="82"/>
      <c r="B61" s="71"/>
      <c r="C61" s="71"/>
      <c r="D61" s="85"/>
      <c r="E61" s="85"/>
      <c r="F61" s="92"/>
      <c r="G61" s="92"/>
    </row>
    <row r="62" spans="1:7" ht="18" customHeight="1">
      <c r="A62" s="82"/>
      <c r="B62" s="71"/>
      <c r="C62" s="71"/>
      <c r="D62" s="85"/>
      <c r="E62" s="85"/>
      <c r="F62" s="92"/>
      <c r="G62" s="92"/>
    </row>
    <row r="63" spans="1:7" ht="18" customHeight="1">
      <c r="A63" s="82"/>
      <c r="B63" s="71"/>
      <c r="C63" s="71"/>
      <c r="D63" s="85"/>
      <c r="E63" s="85"/>
      <c r="F63" s="92"/>
      <c r="G63" s="92"/>
    </row>
    <row r="137" spans="1:1" ht="18" customHeight="1">
      <c r="A137" s="9" t="s">
        <v>33</v>
      </c>
    </row>
  </sheetData>
  <mergeCells count="6">
    <mergeCell ref="A1:E1"/>
    <mergeCell ref="A2:E2"/>
    <mergeCell ref="B17:C17"/>
    <mergeCell ref="D17:E17"/>
    <mergeCell ref="B25:C25"/>
    <mergeCell ref="D25:E25"/>
  </mergeCells>
  <pageMargins left="0.51181102362204722" right="0.5118110236220472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dimension ref="A1:E171"/>
  <sheetViews>
    <sheetView topLeftCell="A63" workbookViewId="0">
      <selection activeCell="E76" sqref="E76"/>
    </sheetView>
  </sheetViews>
  <sheetFormatPr defaultRowHeight="18" customHeight="1"/>
  <cols>
    <col min="1" max="1" width="59" style="1" customWidth="1"/>
    <col min="2" max="2" width="17.42578125" style="1" customWidth="1"/>
    <col min="3" max="3" width="17" style="8" customWidth="1"/>
    <col min="4" max="4" width="13.85546875" style="1" bestFit="1" customWidth="1"/>
    <col min="5" max="5" width="11.5703125" style="1" customWidth="1"/>
    <col min="6" max="16384" width="9.140625" style="1"/>
  </cols>
  <sheetData>
    <row r="1" spans="1:3" ht="18" customHeight="1">
      <c r="A1" s="769" t="str">
        <f>[4]BS!A1</f>
        <v xml:space="preserve">Bihar State Power Transmission Company Limited </v>
      </c>
      <c r="B1" s="769"/>
      <c r="C1" s="769"/>
    </row>
    <row r="2" spans="1:3" ht="18" customHeight="1">
      <c r="A2" s="766" t="s">
        <v>0</v>
      </c>
      <c r="B2" s="766"/>
      <c r="C2" s="766"/>
    </row>
    <row r="3" spans="1:3" ht="18" customHeight="1">
      <c r="A3" s="10"/>
      <c r="B3" s="10"/>
      <c r="C3" s="10"/>
    </row>
    <row r="4" spans="1:3" ht="18" customHeight="1">
      <c r="A4" s="37" t="s">
        <v>87</v>
      </c>
      <c r="B4" s="37"/>
    </row>
    <row r="5" spans="1:3" ht="18" customHeight="1">
      <c r="A5" s="37" t="s">
        <v>88</v>
      </c>
      <c r="B5" s="37"/>
    </row>
    <row r="6" spans="1:3" ht="48.75" customHeight="1">
      <c r="A6" s="233" t="s">
        <v>3</v>
      </c>
      <c r="B6" s="232" t="s">
        <v>4</v>
      </c>
      <c r="C6" s="232" t="s">
        <v>5</v>
      </c>
    </row>
    <row r="7" spans="1:3" ht="18" customHeight="1">
      <c r="A7" s="38" t="s">
        <v>89</v>
      </c>
      <c r="B7" s="5"/>
      <c r="C7" s="20"/>
    </row>
    <row r="8" spans="1:3" ht="18" customHeight="1">
      <c r="A8" s="39" t="s">
        <v>90</v>
      </c>
      <c r="B8" s="243">
        <f>+C12</f>
        <v>-18952.516953030903</v>
      </c>
      <c r="C8" s="243">
        <v>-45154.994882131192</v>
      </c>
    </row>
    <row r="9" spans="1:3" ht="18" customHeight="1">
      <c r="A9" s="39" t="s">
        <v>91</v>
      </c>
      <c r="B9" s="227">
        <f>+'P&amp;L'!E23</f>
        <v>14728.390650000001</v>
      </c>
      <c r="C9" s="227">
        <v>26202.477929100289</v>
      </c>
    </row>
    <row r="10" spans="1:3" ht="18" customHeight="1">
      <c r="A10" s="39" t="s">
        <v>554</v>
      </c>
      <c r="B10" s="243">
        <f>+SOCIE!E22</f>
        <v>35985.752959999998</v>
      </c>
      <c r="C10" s="227">
        <v>0</v>
      </c>
    </row>
    <row r="11" spans="1:3" ht="18" customHeight="1">
      <c r="A11" s="39" t="s">
        <v>92</v>
      </c>
      <c r="B11" s="227">
        <v>0</v>
      </c>
      <c r="C11" s="227">
        <v>0</v>
      </c>
    </row>
    <row r="12" spans="1:3" s="6" customFormat="1" ht="18" customHeight="1">
      <c r="A12" s="40" t="s">
        <v>93</v>
      </c>
      <c r="B12" s="243">
        <f>+B8+B9+B10-B11</f>
        <v>31761.626656969096</v>
      </c>
      <c r="C12" s="243">
        <f>+C8+C9-C10-C11</f>
        <v>-18952.516953030903</v>
      </c>
    </row>
    <row r="13" spans="1:3" ht="18" customHeight="1">
      <c r="A13" s="39"/>
      <c r="B13" s="227"/>
      <c r="C13" s="227"/>
    </row>
    <row r="14" spans="1:3" s="6" customFormat="1" ht="18" customHeight="1">
      <c r="A14" s="38" t="s">
        <v>94</v>
      </c>
      <c r="B14" s="227"/>
      <c r="C14" s="227"/>
    </row>
    <row r="15" spans="1:3" ht="18" customHeight="1">
      <c r="A15" s="39" t="s">
        <v>90</v>
      </c>
      <c r="B15" s="227">
        <v>361674.41084999999</v>
      </c>
      <c r="C15" s="227">
        <v>307553.88085000002</v>
      </c>
    </row>
    <row r="16" spans="1:3" ht="18" customHeight="1">
      <c r="A16" s="39" t="s">
        <v>95</v>
      </c>
      <c r="B16" s="227">
        <v>97248.876980000001</v>
      </c>
      <c r="C16" s="227">
        <v>54120.53</v>
      </c>
    </row>
    <row r="17" spans="1:3" ht="18" customHeight="1">
      <c r="A17" s="39" t="s">
        <v>96</v>
      </c>
      <c r="B17" s="227">
        <v>424537.36080000002</v>
      </c>
      <c r="C17" s="227">
        <v>0</v>
      </c>
    </row>
    <row r="18" spans="1:3" ht="18" customHeight="1">
      <c r="A18" s="40" t="s">
        <v>93</v>
      </c>
      <c r="B18" s="227">
        <f>+B15+B16-B17</f>
        <v>34385.927029999963</v>
      </c>
      <c r="C18" s="227">
        <f>+C15+C16-C17</f>
        <v>361674.41084999999</v>
      </c>
    </row>
    <row r="19" spans="1:3" ht="18" customHeight="1">
      <c r="A19" s="39"/>
      <c r="B19" s="227">
        <v>0</v>
      </c>
      <c r="C19" s="227">
        <v>0</v>
      </c>
    </row>
    <row r="20" spans="1:3" ht="18" customHeight="1">
      <c r="A20" s="215" t="s">
        <v>8</v>
      </c>
      <c r="B20" s="228">
        <f>+B12+B18</f>
        <v>66147.553686969055</v>
      </c>
      <c r="C20" s="228">
        <f>+C12+C18</f>
        <v>342721.89389696909</v>
      </c>
    </row>
    <row r="21" spans="1:3" ht="18" customHeight="1">
      <c r="A21" s="41"/>
      <c r="B21" s="41"/>
    </row>
    <row r="22" spans="1:3" ht="18" customHeight="1">
      <c r="A22" s="41"/>
      <c r="B22" s="41"/>
    </row>
    <row r="23" spans="1:3" ht="18" customHeight="1">
      <c r="A23" s="37" t="s">
        <v>97</v>
      </c>
      <c r="B23" s="37"/>
    </row>
    <row r="24" spans="1:3" ht="18" customHeight="1">
      <c r="A24" s="42" t="s">
        <v>98</v>
      </c>
      <c r="B24" s="42"/>
    </row>
    <row r="25" spans="1:3" ht="48" customHeight="1">
      <c r="A25" s="233" t="s">
        <v>3</v>
      </c>
      <c r="B25" s="232" t="s">
        <v>4</v>
      </c>
      <c r="C25" s="232" t="s">
        <v>5</v>
      </c>
    </row>
    <row r="26" spans="1:3" ht="18" customHeight="1">
      <c r="A26" s="40" t="s">
        <v>99</v>
      </c>
      <c r="B26" s="5"/>
      <c r="C26" s="20"/>
    </row>
    <row r="27" spans="1:3" ht="18" customHeight="1">
      <c r="A27" s="39" t="s">
        <v>90</v>
      </c>
      <c r="B27" s="227">
        <v>3509.6035520000005</v>
      </c>
      <c r="C27" s="227">
        <v>3644.5883040000003</v>
      </c>
    </row>
    <row r="28" spans="1:3" ht="18" customHeight="1">
      <c r="A28" s="39" t="s">
        <v>100</v>
      </c>
      <c r="B28" s="227">
        <v>0</v>
      </c>
      <c r="C28" s="227">
        <v>0</v>
      </c>
    </row>
    <row r="29" spans="1:3" ht="18" customHeight="1">
      <c r="A29" s="39" t="s">
        <v>101</v>
      </c>
      <c r="B29" s="227">
        <v>134.98475199999999</v>
      </c>
      <c r="C29" s="227">
        <v>134.98475199999999</v>
      </c>
    </row>
    <row r="30" spans="1:3" s="6" customFormat="1" ht="18" customHeight="1">
      <c r="A30" s="215" t="s">
        <v>55</v>
      </c>
      <c r="B30" s="228">
        <f>+B27+B28-B29</f>
        <v>3374.6188000000006</v>
      </c>
      <c r="C30" s="228">
        <f>+C27+C28-C29</f>
        <v>3509.6035520000005</v>
      </c>
    </row>
    <row r="31" spans="1:3" ht="18" customHeight="1">
      <c r="A31" s="39"/>
      <c r="B31" s="199"/>
      <c r="C31" s="177"/>
    </row>
    <row r="32" spans="1:3" ht="18" customHeight="1">
      <c r="A32" s="40" t="s">
        <v>420</v>
      </c>
      <c r="B32" s="5"/>
      <c r="C32" s="20"/>
    </row>
    <row r="33" spans="1:5" ht="18" customHeight="1">
      <c r="A33" s="39" t="s">
        <v>90</v>
      </c>
      <c r="B33" s="227">
        <v>128107.1008588</v>
      </c>
      <c r="C33" s="227">
        <v>134821.25963879999</v>
      </c>
    </row>
    <row r="34" spans="1:5" ht="18" customHeight="1">
      <c r="A34" s="39" t="s">
        <v>100</v>
      </c>
      <c r="B34" s="227">
        <v>0</v>
      </c>
      <c r="C34" s="227">
        <v>0</v>
      </c>
    </row>
    <row r="35" spans="1:5" ht="18" customHeight="1">
      <c r="A35" s="39" t="s">
        <v>101</v>
      </c>
      <c r="B35" s="227">
        <v>6714.1587799999998</v>
      </c>
      <c r="C35" s="227">
        <v>6714.1587799999998</v>
      </c>
    </row>
    <row r="36" spans="1:5" s="6" customFormat="1" ht="18" customHeight="1">
      <c r="A36" s="215" t="s">
        <v>56</v>
      </c>
      <c r="B36" s="228">
        <f>+B33+B34-B35</f>
        <v>121392.9420788</v>
      </c>
      <c r="C36" s="228">
        <f>+C33+C34-C35</f>
        <v>128107.1008588</v>
      </c>
    </row>
    <row r="37" spans="1:5" s="6" customFormat="1" ht="18" customHeight="1">
      <c r="A37" s="43"/>
      <c r="B37" s="242"/>
      <c r="C37" s="200"/>
    </row>
    <row r="38" spans="1:5" ht="18" customHeight="1">
      <c r="A38" s="22" t="s">
        <v>102</v>
      </c>
      <c r="B38" s="5"/>
      <c r="C38" s="20"/>
    </row>
    <row r="39" spans="1:5" ht="18" customHeight="1">
      <c r="A39" s="5" t="s">
        <v>90</v>
      </c>
      <c r="B39" s="227">
        <v>44866.415947499998</v>
      </c>
      <c r="C39" s="227">
        <v>22830.3320413</v>
      </c>
    </row>
    <row r="40" spans="1:5" ht="18" customHeight="1">
      <c r="A40" s="5" t="s">
        <v>103</v>
      </c>
      <c r="B40" s="227">
        <v>4805.9890233000006</v>
      </c>
      <c r="C40" s="227">
        <v>22036.083906199998</v>
      </c>
      <c r="E40" s="1">
        <v>6923.0085875000004</v>
      </c>
    </row>
    <row r="41" spans="1:5" ht="18" customHeight="1">
      <c r="A41" s="5" t="s">
        <v>104</v>
      </c>
      <c r="B41" s="227">
        <v>0</v>
      </c>
      <c r="C41" s="227">
        <v>0</v>
      </c>
    </row>
    <row r="42" spans="1:5" ht="18" customHeight="1">
      <c r="A42" s="215" t="s">
        <v>105</v>
      </c>
      <c r="B42" s="228">
        <f>+B39+B40-B41</f>
        <v>49672.404970799995</v>
      </c>
      <c r="C42" s="228">
        <f>+C39+C40-C41</f>
        <v>44866.415947499998</v>
      </c>
    </row>
    <row r="43" spans="1:5" ht="18" customHeight="1">
      <c r="A43" s="22"/>
      <c r="B43" s="5"/>
      <c r="C43" s="20"/>
    </row>
    <row r="44" spans="1:5" ht="18" customHeight="1">
      <c r="A44" s="215" t="s">
        <v>106</v>
      </c>
      <c r="B44" s="228">
        <f>+B30+B36+B42</f>
        <v>174439.96584959998</v>
      </c>
      <c r="C44" s="228">
        <f>+C30+C36+C42</f>
        <v>176483.12035830002</v>
      </c>
    </row>
    <row r="45" spans="1:5" ht="18" customHeight="1">
      <c r="B45" s="179"/>
      <c r="C45" s="201"/>
    </row>
    <row r="46" spans="1:5" ht="18" customHeight="1">
      <c r="B46" s="179"/>
      <c r="C46" s="201"/>
    </row>
    <row r="47" spans="1:5" ht="18" customHeight="1">
      <c r="A47" s="769" t="str">
        <f>+A1</f>
        <v xml:space="preserve">Bihar State Power Transmission Company Limited </v>
      </c>
      <c r="B47" s="769"/>
      <c r="C47" s="769"/>
    </row>
    <row r="48" spans="1:5" ht="18" customHeight="1">
      <c r="A48" s="766" t="s">
        <v>0</v>
      </c>
      <c r="B48" s="766"/>
      <c r="C48" s="766"/>
    </row>
    <row r="49" spans="1:5" ht="18" customHeight="1">
      <c r="B49" s="179"/>
      <c r="C49" s="201"/>
    </row>
    <row r="50" spans="1:5" ht="18" customHeight="1">
      <c r="A50" s="6" t="s">
        <v>107</v>
      </c>
      <c r="B50" s="202"/>
      <c r="C50" s="201"/>
    </row>
    <row r="51" spans="1:5" ht="18" customHeight="1">
      <c r="A51" s="32" t="s">
        <v>108</v>
      </c>
      <c r="B51" s="203"/>
      <c r="C51" s="201"/>
    </row>
    <row r="52" spans="1:5" ht="47.25" customHeight="1">
      <c r="A52" s="233" t="s">
        <v>3</v>
      </c>
      <c r="B52" s="232" t="s">
        <v>4</v>
      </c>
      <c r="C52" s="232" t="s">
        <v>5</v>
      </c>
    </row>
    <row r="53" spans="1:5" ht="18" customHeight="1">
      <c r="A53" s="237" t="s">
        <v>109</v>
      </c>
      <c r="B53" s="227"/>
      <c r="C53" s="227"/>
    </row>
    <row r="54" spans="1:5" ht="18" customHeight="1">
      <c r="A54" s="237" t="s">
        <v>110</v>
      </c>
      <c r="B54" s="227"/>
      <c r="C54" s="227"/>
    </row>
    <row r="55" spans="1:5" ht="18" customHeight="1">
      <c r="A55" s="238" t="s">
        <v>111</v>
      </c>
      <c r="B55" s="227">
        <v>0</v>
      </c>
      <c r="C55" s="227">
        <v>34054.949999999997</v>
      </c>
    </row>
    <row r="56" spans="1:5" ht="18" customHeight="1">
      <c r="A56" s="239" t="s">
        <v>112</v>
      </c>
      <c r="B56" s="227">
        <v>0</v>
      </c>
      <c r="C56" s="227">
        <v>0</v>
      </c>
    </row>
    <row r="57" spans="1:5" ht="18" customHeight="1">
      <c r="A57" s="238" t="s">
        <v>113</v>
      </c>
      <c r="B57" s="227">
        <v>38847.317329999998</v>
      </c>
      <c r="C57" s="227">
        <v>22573.281589999999</v>
      </c>
    </row>
    <row r="58" spans="1:5" ht="18" customHeight="1">
      <c r="A58" s="239" t="s">
        <v>114</v>
      </c>
      <c r="B58" s="227">
        <v>0</v>
      </c>
      <c r="C58" s="227">
        <v>0</v>
      </c>
    </row>
    <row r="59" spans="1:5" ht="18" customHeight="1">
      <c r="A59" s="240" t="s">
        <v>115</v>
      </c>
      <c r="B59" s="227">
        <f>+B55+B57</f>
        <v>38847.317329999998</v>
      </c>
      <c r="C59" s="227">
        <f>+C55+C57</f>
        <v>56628.231589999996</v>
      </c>
    </row>
    <row r="60" spans="1:5" ht="18" customHeight="1">
      <c r="A60" s="241" t="s">
        <v>116</v>
      </c>
      <c r="B60" s="227">
        <v>0</v>
      </c>
      <c r="C60" s="227">
        <v>0</v>
      </c>
    </row>
    <row r="61" spans="1:5" s="6" customFormat="1" ht="18" customHeight="1">
      <c r="A61" s="215" t="s">
        <v>75</v>
      </c>
      <c r="B61" s="228">
        <f>+B59-B60</f>
        <v>38847.317329999998</v>
      </c>
      <c r="C61" s="228">
        <f>+C59-C60</f>
        <v>56628.231589999996</v>
      </c>
      <c r="D61" s="6">
        <v>53391.455650000004</v>
      </c>
      <c r="E61" s="730">
        <f>+C61-D61</f>
        <v>3236.7759399999923</v>
      </c>
    </row>
    <row r="62" spans="1:5" ht="18" customHeight="1">
      <c r="C62" s="45"/>
    </row>
    <row r="63" spans="1:5" ht="18" customHeight="1">
      <c r="A63" s="37" t="s">
        <v>117</v>
      </c>
      <c r="B63" s="37"/>
      <c r="C63" s="46"/>
    </row>
    <row r="64" spans="1:5" ht="18" customHeight="1">
      <c r="A64" s="37" t="s">
        <v>119</v>
      </c>
      <c r="B64" s="37"/>
    </row>
    <row r="65" spans="1:5" ht="47.25" customHeight="1">
      <c r="A65" s="233" t="s">
        <v>3</v>
      </c>
      <c r="B65" s="232" t="s">
        <v>4</v>
      </c>
      <c r="C65" s="232" t="s">
        <v>5</v>
      </c>
    </row>
    <row r="66" spans="1:5" ht="18" customHeight="1">
      <c r="A66" s="22" t="s">
        <v>120</v>
      </c>
      <c r="B66" s="227"/>
      <c r="C66" s="227"/>
    </row>
    <row r="67" spans="1:5" ht="18" customHeight="1">
      <c r="A67" s="22" t="s">
        <v>121</v>
      </c>
      <c r="B67" s="227"/>
      <c r="C67" s="227"/>
    </row>
    <row r="68" spans="1:5" ht="18" customHeight="1">
      <c r="A68" s="5" t="s">
        <v>16</v>
      </c>
      <c r="B68" s="227">
        <v>11042.01929</v>
      </c>
      <c r="C68" s="227">
        <v>10424.99884</v>
      </c>
    </row>
    <row r="69" spans="1:5" ht="18" customHeight="1">
      <c r="A69" s="5" t="s">
        <v>17</v>
      </c>
      <c r="B69" s="227">
        <v>794.66278999999997</v>
      </c>
      <c r="C69" s="227">
        <v>885.71487000000002</v>
      </c>
    </row>
    <row r="70" spans="1:5" ht="18" customHeight="1">
      <c r="A70" s="5" t="s">
        <v>18</v>
      </c>
      <c r="B70" s="243">
        <v>-1338.0671199999999</v>
      </c>
      <c r="C70" s="227">
        <v>0</v>
      </c>
    </row>
    <row r="71" spans="1:5" ht="18" customHeight="1">
      <c r="A71" s="5"/>
      <c r="B71" s="5"/>
      <c r="C71" s="5"/>
    </row>
    <row r="72" spans="1:5" ht="18" customHeight="1">
      <c r="A72" s="22" t="s">
        <v>122</v>
      </c>
      <c r="B72" s="227"/>
      <c r="C72" s="227"/>
    </row>
    <row r="73" spans="1:5" ht="18" customHeight="1">
      <c r="A73" s="5" t="s">
        <v>16</v>
      </c>
      <c r="B73" s="227">
        <v>0</v>
      </c>
      <c r="C73" s="227">
        <v>79836.586750000002</v>
      </c>
    </row>
    <row r="74" spans="1:5" ht="18" customHeight="1">
      <c r="A74" s="5" t="s">
        <v>17</v>
      </c>
      <c r="B74" s="227">
        <v>0</v>
      </c>
      <c r="C74" s="227">
        <v>3704.22757</v>
      </c>
    </row>
    <row r="75" spans="1:5" ht="18" customHeight="1">
      <c r="A75" s="5" t="s">
        <v>18</v>
      </c>
      <c r="B75" s="227">
        <v>0</v>
      </c>
      <c r="C75" s="227">
        <v>2393.3650600000001</v>
      </c>
    </row>
    <row r="76" spans="1:5" ht="18" customHeight="1">
      <c r="A76" s="215" t="s">
        <v>8</v>
      </c>
      <c r="B76" s="228">
        <f>SUM(B66:B75)</f>
        <v>10498.614960000001</v>
      </c>
      <c r="C76" s="228">
        <f>SUM(C66:C75)</f>
        <v>97244.893089999998</v>
      </c>
      <c r="D76" s="1">
        <v>92788.139020000002</v>
      </c>
      <c r="E76" s="731">
        <f>+C76-D76</f>
        <v>4456.7540699999954</v>
      </c>
    </row>
    <row r="77" spans="1:5" ht="18" customHeight="1">
      <c r="A77" s="48"/>
      <c r="B77" s="48"/>
      <c r="C77" s="33"/>
    </row>
    <row r="78" spans="1:5" s="50" customFormat="1" ht="18" customHeight="1">
      <c r="A78" s="49" t="s">
        <v>123</v>
      </c>
      <c r="B78" s="49"/>
    </row>
    <row r="79" spans="1:5" s="50" customFormat="1" ht="18" customHeight="1">
      <c r="A79" s="51" t="s">
        <v>411</v>
      </c>
      <c r="B79" s="51"/>
      <c r="C79" s="51"/>
    </row>
    <row r="80" spans="1:5" s="50" customFormat="1" ht="50.25" customHeight="1">
      <c r="A80" s="233" t="s">
        <v>3</v>
      </c>
      <c r="B80" s="232" t="s">
        <v>4</v>
      </c>
      <c r="C80" s="232" t="s">
        <v>5</v>
      </c>
    </row>
    <row r="81" spans="1:3" s="50" customFormat="1" ht="18" customHeight="1">
      <c r="A81" s="52" t="s">
        <v>125</v>
      </c>
      <c r="B81" s="227"/>
      <c r="C81" s="227"/>
    </row>
    <row r="82" spans="1:3" s="50" customFormat="1" ht="18" customHeight="1">
      <c r="A82" s="53" t="s">
        <v>126</v>
      </c>
      <c r="B82" s="227">
        <f>+'P&amp;L'!E20</f>
        <v>11943.998</v>
      </c>
      <c r="C82" s="227">
        <v>5139.7788132244905</v>
      </c>
    </row>
    <row r="83" spans="1:3" s="50" customFormat="1" ht="18" customHeight="1">
      <c r="A83" s="54" t="s">
        <v>127</v>
      </c>
      <c r="B83" s="227">
        <f>+B82</f>
        <v>11943.998</v>
      </c>
      <c r="C83" s="243">
        <v>5139.7788132244896</v>
      </c>
    </row>
    <row r="84" spans="1:3" s="50" customFormat="1" ht="18" customHeight="1">
      <c r="A84" s="215" t="s">
        <v>128</v>
      </c>
      <c r="B84" s="228">
        <f>+B82-B83</f>
        <v>0</v>
      </c>
      <c r="C84" s="228">
        <f>+C82-C83</f>
        <v>0</v>
      </c>
    </row>
    <row r="85" spans="1:3" s="50" customFormat="1" ht="18" customHeight="1">
      <c r="A85" s="52" t="s">
        <v>129</v>
      </c>
      <c r="B85" s="227"/>
      <c r="C85" s="227"/>
    </row>
    <row r="86" spans="1:3" s="50" customFormat="1" ht="18" customHeight="1">
      <c r="A86" s="53" t="s">
        <v>130</v>
      </c>
      <c r="B86" s="243">
        <f>-'P&amp;L'!E21</f>
        <v>-41241.609349999999</v>
      </c>
      <c r="C86" s="243">
        <v>-2119.0970522002935</v>
      </c>
    </row>
    <row r="87" spans="1:3" s="50" customFormat="1" ht="18" customHeight="1">
      <c r="A87" s="215" t="s">
        <v>131</v>
      </c>
      <c r="B87" s="244">
        <f>+B86</f>
        <v>-41241.609349999999</v>
      </c>
      <c r="C87" s="244">
        <f>+C86</f>
        <v>-2119.0970522002935</v>
      </c>
    </row>
    <row r="88" spans="1:3" s="50" customFormat="1" ht="18" customHeight="1">
      <c r="A88" s="215" t="s">
        <v>8</v>
      </c>
      <c r="B88" s="244">
        <f>+B87+B84</f>
        <v>-41241.609349999999</v>
      </c>
      <c r="C88" s="244">
        <f>+C87+C84</f>
        <v>-2119.0970522002935</v>
      </c>
    </row>
    <row r="89" spans="1:3" ht="18" customHeight="1">
      <c r="A89" s="48"/>
      <c r="B89" s="48"/>
      <c r="C89" s="33"/>
    </row>
    <row r="90" spans="1:3" ht="18" customHeight="1">
      <c r="A90" s="48"/>
      <c r="B90" s="48"/>
      <c r="C90" s="33"/>
    </row>
    <row r="91" spans="1:3" ht="18" customHeight="1">
      <c r="A91" s="769" t="str">
        <f>+A1</f>
        <v xml:space="preserve">Bihar State Power Transmission Company Limited </v>
      </c>
      <c r="B91" s="769"/>
      <c r="C91" s="769"/>
    </row>
    <row r="92" spans="1:3" ht="18" customHeight="1">
      <c r="A92" s="766" t="s">
        <v>0</v>
      </c>
      <c r="B92" s="766"/>
      <c r="C92" s="766"/>
    </row>
    <row r="93" spans="1:3" ht="20.25" customHeight="1">
      <c r="A93" s="48"/>
      <c r="B93" s="48"/>
      <c r="C93" s="33"/>
    </row>
    <row r="94" spans="1:3" s="50" customFormat="1" ht="18" customHeight="1">
      <c r="A94" s="51" t="s">
        <v>132</v>
      </c>
      <c r="B94" s="51"/>
      <c r="C94" s="51"/>
    </row>
    <row r="95" spans="1:3" s="50" customFormat="1" ht="50.25" customHeight="1">
      <c r="A95" s="233" t="s">
        <v>3</v>
      </c>
      <c r="B95" s="232" t="s">
        <v>4</v>
      </c>
      <c r="C95" s="232" t="s">
        <v>5</v>
      </c>
    </row>
    <row r="96" spans="1:3" s="50" customFormat="1" ht="18" customHeight="1">
      <c r="A96" s="53" t="s">
        <v>133</v>
      </c>
      <c r="B96" s="227">
        <v>55969.8675755</v>
      </c>
      <c r="C96" s="227">
        <v>24083.380876899995</v>
      </c>
    </row>
    <row r="97" spans="1:3" s="50" customFormat="1" ht="18" customHeight="1">
      <c r="A97" s="53" t="s">
        <v>134</v>
      </c>
      <c r="B97" s="245">
        <v>0.21340000000000001</v>
      </c>
      <c r="C97" s="245">
        <v>0.21340000000000001</v>
      </c>
    </row>
    <row r="98" spans="1:3" s="50" customFormat="1" ht="18" customHeight="1">
      <c r="A98" s="53" t="s">
        <v>135</v>
      </c>
      <c r="B98" s="227">
        <f>+'P&amp;L'!E20</f>
        <v>11943.998</v>
      </c>
      <c r="C98" s="227">
        <v>5139.7788132244905</v>
      </c>
    </row>
    <row r="99" spans="1:3" s="50" customFormat="1" ht="18" customHeight="1">
      <c r="A99" s="236" t="s">
        <v>136</v>
      </c>
      <c r="B99" s="243">
        <f>-'P&amp;L'!E21</f>
        <v>-41241.609349999999</v>
      </c>
      <c r="C99" s="243">
        <v>-2119.0970522002935</v>
      </c>
    </row>
    <row r="100" spans="1:3" s="50" customFormat="1" ht="18" customHeight="1">
      <c r="A100" s="53" t="s">
        <v>137</v>
      </c>
      <c r="B100" s="243">
        <f>-B98</f>
        <v>-11943.998</v>
      </c>
      <c r="C100" s="243">
        <v>-5139.7788132244905</v>
      </c>
    </row>
    <row r="101" spans="1:3" s="50" customFormat="1" ht="18" customHeight="1">
      <c r="A101" s="215" t="s">
        <v>138</v>
      </c>
      <c r="B101" s="244">
        <f>+B98+B99+B100</f>
        <v>-41241.609349999999</v>
      </c>
      <c r="C101" s="244">
        <f>+C98+C99+C100</f>
        <v>-2119.0970522002935</v>
      </c>
    </row>
    <row r="102" spans="1:3" s="50" customFormat="1" ht="15" customHeight="1">
      <c r="A102" s="56"/>
      <c r="B102" s="56"/>
      <c r="C102" s="51"/>
    </row>
    <row r="103" spans="1:3" s="50" customFormat="1" ht="15.75" customHeight="1">
      <c r="A103" s="19" t="s">
        <v>139</v>
      </c>
      <c r="B103" s="19"/>
      <c r="C103" s="19"/>
    </row>
    <row r="104" spans="1:3" s="50" customFormat="1" ht="17.25" customHeight="1">
      <c r="A104" s="57" t="s">
        <v>140</v>
      </c>
      <c r="B104" s="57"/>
      <c r="C104" s="57"/>
    </row>
    <row r="105" spans="1:3" s="50" customFormat="1" ht="48.75" customHeight="1">
      <c r="A105" s="233" t="s">
        <v>3</v>
      </c>
      <c r="B105" s="232" t="s">
        <v>4</v>
      </c>
      <c r="C105" s="232" t="s">
        <v>5</v>
      </c>
    </row>
    <row r="106" spans="1:3" s="50" customFormat="1" ht="18" customHeight="1">
      <c r="A106" s="234" t="s">
        <v>143</v>
      </c>
      <c r="B106" s="227"/>
      <c r="C106" s="227"/>
    </row>
    <row r="107" spans="1:3" s="50" customFormat="1" ht="18" customHeight="1">
      <c r="A107" s="235" t="s">
        <v>144</v>
      </c>
      <c r="B107" s="227">
        <v>85909</v>
      </c>
      <c r="C107" s="227">
        <v>67042.204818414102</v>
      </c>
    </row>
    <row r="108" spans="1:3" s="50" customFormat="1" ht="18" customHeight="1">
      <c r="A108" s="234" t="s">
        <v>145</v>
      </c>
      <c r="B108" s="227">
        <f>+B107</f>
        <v>85909</v>
      </c>
      <c r="C108" s="227">
        <f>+C107</f>
        <v>67042.204818414102</v>
      </c>
    </row>
    <row r="109" spans="1:3" s="50" customFormat="1" ht="18" customHeight="1">
      <c r="A109" s="234" t="s">
        <v>146</v>
      </c>
      <c r="B109" s="227"/>
      <c r="C109" s="227"/>
    </row>
    <row r="110" spans="1:3" s="50" customFormat="1" ht="18" customHeight="1">
      <c r="A110" s="235" t="s">
        <v>147</v>
      </c>
      <c r="B110" s="227">
        <v>549</v>
      </c>
      <c r="C110" s="227">
        <v>23107.5509272608</v>
      </c>
    </row>
    <row r="111" spans="1:3" s="50" customFormat="1" ht="18" customHeight="1">
      <c r="A111" s="235" t="s">
        <v>17</v>
      </c>
      <c r="B111" s="227">
        <v>278</v>
      </c>
      <c r="C111" s="227">
        <v>309.50420417280003</v>
      </c>
    </row>
    <row r="112" spans="1:3" s="50" customFormat="1" ht="18" customHeight="1">
      <c r="A112" s="235" t="s">
        <v>16</v>
      </c>
      <c r="B112" s="227">
        <v>3858</v>
      </c>
      <c r="C112" s="227">
        <v>3642.9115946496004</v>
      </c>
    </row>
    <row r="113" spans="1:3" s="50" customFormat="1" ht="18" customHeight="1">
      <c r="A113" s="234" t="s">
        <v>145</v>
      </c>
      <c r="B113" s="227">
        <f>+B110+B111+B112</f>
        <v>4685</v>
      </c>
      <c r="C113" s="227">
        <f>+C110+C111+C112</f>
        <v>27059.966726083199</v>
      </c>
    </row>
    <row r="114" spans="1:3" s="50" customFormat="1" ht="18" customHeight="1">
      <c r="A114" s="234" t="s">
        <v>148</v>
      </c>
      <c r="B114" s="227">
        <f>+B108-B113</f>
        <v>81224</v>
      </c>
      <c r="C114" s="227">
        <f>+C108-C113</f>
        <v>39982.238092330903</v>
      </c>
    </row>
    <row r="115" spans="1:3" s="9" customFormat="1" ht="18" customHeight="1">
      <c r="A115" s="15" t="str">
        <f>'[4]Trial Balance 17-18'!J1205</f>
        <v>MAT Credit Entitlement</v>
      </c>
      <c r="B115" s="227">
        <f>+'P&amp;L'!E20+C115</f>
        <v>19060.31205322449</v>
      </c>
      <c r="C115" s="227">
        <v>7116.3140532244897</v>
      </c>
    </row>
    <row r="116" spans="1:3" s="50" customFormat="1" ht="18" customHeight="1">
      <c r="A116" s="215" t="s">
        <v>8</v>
      </c>
      <c r="B116" s="228">
        <f>+B114-B115</f>
        <v>62163.687946775506</v>
      </c>
      <c r="C116" s="228">
        <f>+C114-C115</f>
        <v>32865.924039106416</v>
      </c>
    </row>
    <row r="117" spans="1:3" s="50" customFormat="1" ht="15" customHeight="1">
      <c r="A117" s="205"/>
      <c r="B117" s="206"/>
      <c r="C117" s="207"/>
    </row>
    <row r="118" spans="1:3" s="50" customFormat="1" ht="15" customHeight="1">
      <c r="A118" s="205"/>
      <c r="B118" s="206"/>
      <c r="C118" s="207"/>
    </row>
    <row r="119" spans="1:3" ht="18" customHeight="1">
      <c r="A119" s="26" t="s">
        <v>152</v>
      </c>
      <c r="B119" s="26"/>
      <c r="C119" s="58"/>
    </row>
    <row r="120" spans="1:3" ht="18" customHeight="1">
      <c r="A120" s="37" t="s">
        <v>153</v>
      </c>
      <c r="B120" s="37"/>
      <c r="C120" s="58"/>
    </row>
    <row r="121" spans="1:3" ht="48.75" customHeight="1">
      <c r="A121" s="233" t="s">
        <v>3</v>
      </c>
      <c r="B121" s="232" t="s">
        <v>4</v>
      </c>
      <c r="C121" s="232" t="s">
        <v>5</v>
      </c>
    </row>
    <row r="122" spans="1:3" ht="18" customHeight="1">
      <c r="A122" s="62" t="s">
        <v>154</v>
      </c>
      <c r="B122" s="227">
        <v>0</v>
      </c>
      <c r="C122" s="227">
        <v>26114.021122400001</v>
      </c>
    </row>
    <row r="123" spans="1:3" ht="18" customHeight="1">
      <c r="A123" s="61" t="s">
        <v>155</v>
      </c>
      <c r="B123" s="227">
        <v>12144.5751069</v>
      </c>
      <c r="C123" s="227">
        <v>27094.200359999999</v>
      </c>
    </row>
    <row r="124" spans="1:3" ht="18" customHeight="1">
      <c r="A124" s="62" t="s">
        <v>120</v>
      </c>
      <c r="B124" s="227">
        <v>661.24234000000001</v>
      </c>
      <c r="C124" s="227">
        <v>501.54480999999998</v>
      </c>
    </row>
    <row r="125" spans="1:3" ht="18" customHeight="1">
      <c r="A125" s="62" t="s">
        <v>156</v>
      </c>
      <c r="B125" s="227">
        <v>1252.605231</v>
      </c>
      <c r="C125" s="227">
        <v>1160.0019709999999</v>
      </c>
    </row>
    <row r="126" spans="1:3" ht="18" customHeight="1">
      <c r="A126" s="62" t="s">
        <v>157</v>
      </c>
      <c r="B126" s="227">
        <v>33417.881619699998</v>
      </c>
      <c r="C126" s="227">
        <v>41150.761801500004</v>
      </c>
    </row>
    <row r="127" spans="1:3" ht="18" customHeight="1">
      <c r="A127" s="62" t="s">
        <v>158</v>
      </c>
      <c r="B127" s="227">
        <v>994.88243319999992</v>
      </c>
      <c r="C127" s="227">
        <v>995.01293319999991</v>
      </c>
    </row>
    <row r="128" spans="1:3" ht="18" customHeight="1">
      <c r="A128" s="62" t="s">
        <v>159</v>
      </c>
      <c r="B128" s="227">
        <v>4074.8562567000004</v>
      </c>
      <c r="C128" s="227">
        <v>3955.7780952999997</v>
      </c>
    </row>
    <row r="129" spans="1:3" ht="18" customHeight="1">
      <c r="A129" s="62" t="s">
        <v>160</v>
      </c>
      <c r="B129" s="227">
        <v>190.81470999999999</v>
      </c>
      <c r="C129" s="227">
        <v>46.60322</v>
      </c>
    </row>
    <row r="130" spans="1:3" ht="18" customHeight="1">
      <c r="A130" s="62"/>
      <c r="B130" s="246"/>
      <c r="C130" s="184"/>
    </row>
    <row r="131" spans="1:3" ht="18" customHeight="1">
      <c r="A131" s="215" t="s">
        <v>8</v>
      </c>
      <c r="B131" s="228">
        <f>+SUM(B122:B129)</f>
        <v>52736.857697499996</v>
      </c>
      <c r="C131" s="228">
        <f>+SUM(C122:C129)</f>
        <v>101017.92431340001</v>
      </c>
    </row>
    <row r="132" spans="1:3" s="50" customFormat="1" ht="15" customHeight="1">
      <c r="A132" s="205"/>
      <c r="B132" s="206"/>
      <c r="C132" s="207"/>
    </row>
    <row r="133" spans="1:3" s="50" customFormat="1" ht="15" customHeight="1">
      <c r="A133" s="205"/>
      <c r="B133" s="206"/>
      <c r="C133" s="207"/>
    </row>
    <row r="134" spans="1:3" s="50" customFormat="1" ht="15" customHeight="1">
      <c r="A134" s="205"/>
      <c r="B134" s="206"/>
      <c r="C134" s="207"/>
    </row>
    <row r="135" spans="1:3" s="50" customFormat="1" ht="15" customHeight="1">
      <c r="A135" s="205"/>
      <c r="B135" s="206"/>
      <c r="C135" s="207"/>
    </row>
    <row r="136" spans="1:3" ht="18" customHeight="1">
      <c r="A136" s="769" t="str">
        <f>+A1</f>
        <v xml:space="preserve">Bihar State Power Transmission Company Limited </v>
      </c>
      <c r="B136" s="769"/>
      <c r="C136" s="769"/>
    </row>
    <row r="137" spans="1:3" ht="18" customHeight="1">
      <c r="A137" s="766" t="s">
        <v>0</v>
      </c>
      <c r="B137" s="766"/>
      <c r="C137" s="766"/>
    </row>
    <row r="138" spans="1:3" ht="18" customHeight="1">
      <c r="A138" s="10"/>
      <c r="B138" s="10"/>
      <c r="C138" s="10"/>
    </row>
    <row r="139" spans="1:3" ht="18" customHeight="1">
      <c r="A139" s="26" t="s">
        <v>162</v>
      </c>
      <c r="B139" s="26"/>
      <c r="C139" s="60"/>
    </row>
    <row r="140" spans="1:3" ht="18" customHeight="1">
      <c r="A140" s="26" t="s">
        <v>119</v>
      </c>
      <c r="B140" s="26"/>
      <c r="C140" s="58"/>
    </row>
    <row r="141" spans="1:3" ht="48" customHeight="1">
      <c r="A141" s="233" t="s">
        <v>3</v>
      </c>
      <c r="B141" s="232" t="s">
        <v>4</v>
      </c>
      <c r="C141" s="232" t="s">
        <v>5</v>
      </c>
    </row>
    <row r="142" spans="1:3" ht="18" customHeight="1">
      <c r="A142" s="22" t="s">
        <v>120</v>
      </c>
      <c r="B142" s="204"/>
      <c r="C142" s="189"/>
    </row>
    <row r="143" spans="1:3" ht="18" customHeight="1">
      <c r="A143" s="5" t="s">
        <v>16</v>
      </c>
      <c r="B143" s="227">
        <v>0</v>
      </c>
      <c r="C143" s="227">
        <v>6104.4314199999999</v>
      </c>
    </row>
    <row r="144" spans="1:3" ht="18" customHeight="1">
      <c r="A144" s="5" t="s">
        <v>17</v>
      </c>
      <c r="B144" s="227">
        <v>0</v>
      </c>
      <c r="C144" s="227">
        <v>1134.73161</v>
      </c>
    </row>
    <row r="145" spans="1:3" ht="18" customHeight="1">
      <c r="A145" s="5" t="s">
        <v>18</v>
      </c>
      <c r="B145" s="227">
        <v>0</v>
      </c>
      <c r="C145" s="227">
        <v>722.46460999999999</v>
      </c>
    </row>
    <row r="146" spans="1:3" ht="18" customHeight="1">
      <c r="A146" s="62"/>
      <c r="B146" s="246"/>
      <c r="C146" s="189"/>
    </row>
    <row r="147" spans="1:3" ht="18" customHeight="1">
      <c r="A147" s="215" t="s">
        <v>8</v>
      </c>
      <c r="B147" s="228">
        <f>SUM(B143:B145)</f>
        <v>0</v>
      </c>
      <c r="C147" s="228">
        <f>SUM(C143:C145)</f>
        <v>7961.6276399999997</v>
      </c>
    </row>
    <row r="148" spans="1:3" ht="18" customHeight="1">
      <c r="A148" s="209"/>
      <c r="B148" s="208"/>
      <c r="C148" s="208"/>
    </row>
    <row r="149" spans="1:3" ht="18" customHeight="1">
      <c r="A149" s="209"/>
      <c r="B149" s="208"/>
      <c r="C149" s="208"/>
    </row>
    <row r="150" spans="1:3" ht="18" customHeight="1">
      <c r="A150" s="26" t="s">
        <v>118</v>
      </c>
      <c r="B150" s="26"/>
      <c r="C150" s="60"/>
    </row>
    <row r="151" spans="1:3" ht="18" customHeight="1">
      <c r="A151" s="26" t="s">
        <v>163</v>
      </c>
      <c r="B151" s="26"/>
      <c r="C151" s="58"/>
    </row>
    <row r="152" spans="1:3" ht="51" customHeight="1">
      <c r="A152" s="233" t="s">
        <v>3</v>
      </c>
      <c r="B152" s="232" t="s">
        <v>4</v>
      </c>
      <c r="C152" s="232" t="s">
        <v>5</v>
      </c>
    </row>
    <row r="153" spans="1:3" ht="18" customHeight="1">
      <c r="A153" s="61" t="s">
        <v>164</v>
      </c>
      <c r="B153" s="227">
        <v>728.36693070000013</v>
      </c>
      <c r="C153" s="227">
        <v>541.62289009999995</v>
      </c>
    </row>
    <row r="154" spans="1:3" ht="18" customHeight="1">
      <c r="A154" s="62" t="s">
        <v>165</v>
      </c>
      <c r="B154" s="227">
        <v>0</v>
      </c>
      <c r="C154" s="227">
        <v>49.155329999999999</v>
      </c>
    </row>
    <row r="155" spans="1:3" ht="18" customHeight="1">
      <c r="A155" s="61" t="s">
        <v>166</v>
      </c>
      <c r="B155" s="227">
        <v>1402.1588903999996</v>
      </c>
      <c r="C155" s="227">
        <v>1412.3340903999997</v>
      </c>
    </row>
    <row r="156" spans="1:3" ht="18" customHeight="1">
      <c r="A156" s="61" t="s">
        <v>68</v>
      </c>
      <c r="B156" s="227">
        <v>10108.299583599999</v>
      </c>
      <c r="C156" s="227">
        <v>2581.1545798000093</v>
      </c>
    </row>
    <row r="157" spans="1:3" ht="18" customHeight="1">
      <c r="A157" s="215" t="s">
        <v>8</v>
      </c>
      <c r="B157" s="228">
        <f>SUM(B153:B156)</f>
        <v>12238.825404699999</v>
      </c>
      <c r="C157" s="228">
        <f>SUM(C153:C156)</f>
        <v>4584.2668903000085</v>
      </c>
    </row>
    <row r="158" spans="1:3" ht="18" customHeight="1">
      <c r="A158" s="48"/>
      <c r="B158" s="48"/>
      <c r="C158" s="59"/>
    </row>
    <row r="159" spans="1:3" ht="18" customHeight="1">
      <c r="A159" s="48"/>
      <c r="B159" s="48"/>
      <c r="C159" s="59"/>
    </row>
    <row r="166" spans="1:3" s="63" customFormat="1" ht="18" customHeight="1">
      <c r="A166" s="1"/>
      <c r="B166" s="1"/>
      <c r="C166" s="8"/>
    </row>
    <row r="167" spans="1:3" s="63" customFormat="1" ht="18" customHeight="1">
      <c r="A167" s="1"/>
      <c r="B167" s="1"/>
      <c r="C167" s="8"/>
    </row>
    <row r="168" spans="1:3" s="63" customFormat="1" ht="18" customHeight="1">
      <c r="C168" s="64"/>
    </row>
    <row r="169" spans="1:3" s="63" customFormat="1" ht="18" customHeight="1">
      <c r="C169" s="64"/>
    </row>
    <row r="170" spans="1:3" ht="18" customHeight="1">
      <c r="A170" s="63"/>
      <c r="B170" s="63"/>
      <c r="C170" s="64"/>
    </row>
    <row r="171" spans="1:3" ht="18" customHeight="1">
      <c r="A171" s="63"/>
      <c r="B171" s="63"/>
      <c r="C171" s="64"/>
    </row>
  </sheetData>
  <mergeCells count="8">
    <mergeCell ref="A137:C137"/>
    <mergeCell ref="A1:C1"/>
    <mergeCell ref="A2:C2"/>
    <mergeCell ref="A47:C47"/>
    <mergeCell ref="A48:C48"/>
    <mergeCell ref="A91:C91"/>
    <mergeCell ref="A92:C92"/>
    <mergeCell ref="A136:C136"/>
  </mergeCells>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12</vt:i4>
      </vt:variant>
    </vt:vector>
  </HeadingPairs>
  <TitlesOfParts>
    <vt:vector size="33" baseType="lpstr">
      <vt:lpstr>BS</vt:lpstr>
      <vt:lpstr>P&amp;L</vt:lpstr>
      <vt:lpstr>CFS</vt:lpstr>
      <vt:lpstr>SCWC</vt:lpstr>
      <vt:lpstr>SOCIE</vt:lpstr>
      <vt:lpstr>PPE-2</vt:lpstr>
      <vt:lpstr>BS3-11</vt:lpstr>
      <vt:lpstr>BS12</vt:lpstr>
      <vt:lpstr>BS13-20</vt:lpstr>
      <vt:lpstr>P&amp;L21-22</vt:lpstr>
      <vt:lpstr>P&amp;L22-25</vt:lpstr>
      <vt:lpstr>Prior_Period</vt:lpstr>
      <vt:lpstr>Disc_2-7</vt:lpstr>
      <vt:lpstr>Disc. 8(1)</vt:lpstr>
      <vt:lpstr>Disc. 8(2)</vt:lpstr>
      <vt:lpstr>Disc. 8(3)</vt:lpstr>
      <vt:lpstr>Disc. 8(4)</vt:lpstr>
      <vt:lpstr>Disc. 8(5)</vt:lpstr>
      <vt:lpstr>Dicl_9</vt:lpstr>
      <vt:lpstr>Disc_10-13</vt:lpstr>
      <vt:lpstr>DIsc_14-16</vt:lpstr>
      <vt:lpstr>BS!Print_Area</vt:lpstr>
      <vt:lpstr>'BS12'!Print_Area</vt:lpstr>
      <vt:lpstr>'Disc. 8(1)'!Print_Area</vt:lpstr>
      <vt:lpstr>'Disc. 8(2)'!Print_Area</vt:lpstr>
      <vt:lpstr>'Disc. 8(3)'!Print_Area</vt:lpstr>
      <vt:lpstr>'Disc. 8(4)'!Print_Area</vt:lpstr>
      <vt:lpstr>'Disc. 8(5)'!Print_Area</vt:lpstr>
      <vt:lpstr>'Disc_10-13'!Print_Area</vt:lpstr>
      <vt:lpstr>'P&amp;L'!Print_Area</vt:lpstr>
      <vt:lpstr>'P&amp;L21-22'!Print_Area</vt:lpstr>
      <vt:lpstr>SOCIE!Print_Area</vt:lpstr>
      <vt:lpstr>'Disc. 8(3)'!Print_Titles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AJAY RAI</dc:creator>
  <cp:lastModifiedBy>Windows User</cp:lastModifiedBy>
  <cp:lastPrinted>2019-10-11T05:37:40Z</cp:lastPrinted>
  <dcterms:created xsi:type="dcterms:W3CDTF">2015-06-05T18:17:20Z</dcterms:created>
  <dcterms:modified xsi:type="dcterms:W3CDTF">2019-10-11T09:21:14Z</dcterms:modified>
</cp:coreProperties>
</file>