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ssignments\BSPTCL\BSPTCL 20-21\Capex\Capex\"/>
    </mc:Choice>
  </mc:AlternateContent>
  <xr:revisionPtr revIDLastSave="0" documentId="13_ncr:1_{972E4336-6C94-4242-943D-628E7AEAA610}" xr6:coauthVersionLast="41" xr6:coauthVersionMax="41" xr10:uidLastSave="{00000000-0000-0000-0000-000000000000}"/>
  <bookViews>
    <workbookView xWindow="-120" yWindow="-120" windowWidth="20730" windowHeight="11160" firstSheet="1" activeTab="3" xr2:uid="{E2ED1940-78E2-4C13-BDDA-B5B2B3A6FB5C}"/>
  </bookViews>
  <sheets>
    <sheet name="Capitalization 18-19" sheetId="1" state="hidden" r:id="rId1"/>
    <sheet name="Summary Sheet 18-19" sheetId="2" r:id="rId2"/>
    <sheet name="Capitalization 19-20" sheetId="3" r:id="rId3"/>
    <sheet name="Capitalization 20-21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2" hidden="1">'Capitalization 19-20'!$B$2:$P$50</definedName>
    <definedName name="_xlnm._FilterDatabase" localSheetId="3" hidden="1">'Capitalization 20-21'!$C$2:$S$40</definedName>
    <definedName name="_xlnm._FilterDatabase" localSheetId="1" hidden="1">'Summary Sheet 18-19'!$C$2:$K$4</definedName>
    <definedName name="_xlnm.Print_Area" localSheetId="1">'Summary Sheet 18-19'!$A$1:$L$99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9" i="4" l="1"/>
  <c r="T18" i="4"/>
  <c r="J19" i="4" l="1"/>
  <c r="U19" i="4"/>
  <c r="J18" i="4"/>
  <c r="U18" i="4"/>
  <c r="N30" i="3"/>
  <c r="N29" i="3"/>
  <c r="F31" i="3"/>
  <c r="I31" i="3" s="1"/>
  <c r="N31" i="3" s="1"/>
  <c r="H31" i="3"/>
  <c r="G31" i="3"/>
  <c r="H30" i="3"/>
  <c r="G30" i="3"/>
  <c r="G29" i="3"/>
  <c r="H26" i="3"/>
  <c r="H25" i="3"/>
  <c r="H24" i="3"/>
  <c r="G23" i="3"/>
  <c r="H23" i="3"/>
  <c r="T29" i="3" l="1"/>
  <c r="U29" i="3"/>
  <c r="T30" i="3"/>
  <c r="U30" i="3"/>
  <c r="T31" i="3"/>
  <c r="U31" i="3"/>
  <c r="I24" i="3"/>
  <c r="I25" i="3"/>
  <c r="I26" i="3"/>
  <c r="L99" i="2" l="1"/>
  <c r="L98" i="2"/>
  <c r="F70" i="2" l="1"/>
  <c r="F76" i="2"/>
  <c r="F79" i="2"/>
  <c r="F87" i="2"/>
  <c r="F84" i="2"/>
  <c r="F94" i="2"/>
  <c r="F92" i="2"/>
  <c r="U25" i="4"/>
  <c r="T25" i="4"/>
  <c r="U24" i="4"/>
  <c r="T24" i="4"/>
  <c r="T23" i="4"/>
  <c r="U22" i="4"/>
  <c r="T22" i="4"/>
  <c r="U21" i="4"/>
  <c r="T21" i="4"/>
  <c r="U20" i="4"/>
  <c r="T20" i="4"/>
  <c r="U17" i="4"/>
  <c r="T17" i="4"/>
  <c r="U13" i="4"/>
  <c r="T13" i="4"/>
  <c r="U8" i="4"/>
  <c r="T8" i="4"/>
  <c r="U7" i="4"/>
  <c r="T7" i="4"/>
  <c r="U6" i="4"/>
  <c r="T6" i="4"/>
  <c r="T5" i="4"/>
  <c r="U5" i="4"/>
  <c r="U4" i="4"/>
  <c r="T4" i="4"/>
  <c r="U3" i="4"/>
  <c r="U26" i="4" s="1"/>
  <c r="T3" i="4"/>
  <c r="T26" i="4" l="1"/>
  <c r="Q41" i="4"/>
  <c r="K41" i="4"/>
  <c r="E52" i="4"/>
  <c r="D52" i="4"/>
  <c r="K26" i="4"/>
  <c r="J25" i="4" l="1"/>
  <c r="P25" i="4" s="1"/>
  <c r="J24" i="4"/>
  <c r="P24" i="4" s="1"/>
  <c r="J23" i="4"/>
  <c r="P23" i="4" s="1"/>
  <c r="J22" i="4"/>
  <c r="I21" i="4"/>
  <c r="J21" i="4" s="1"/>
  <c r="P21" i="4" s="1"/>
  <c r="I20" i="4"/>
  <c r="J20" i="4" s="1"/>
  <c r="J17" i="4"/>
  <c r="P17" i="4" s="1"/>
  <c r="F13" i="4"/>
  <c r="J13" i="4" s="1"/>
  <c r="Q13" i="4" s="1"/>
  <c r="Q26" i="4" s="1"/>
  <c r="P22" i="4" l="1"/>
  <c r="J8" i="4" l="1"/>
  <c r="P8" i="4" s="1"/>
  <c r="J7" i="4"/>
  <c r="P7" i="4" s="1"/>
  <c r="J6" i="4"/>
  <c r="P6" i="4" s="1"/>
  <c r="J5" i="4"/>
  <c r="P5" i="4" s="1"/>
  <c r="J4" i="4"/>
  <c r="P4" i="4" s="1"/>
  <c r="J3" i="4"/>
  <c r="D45" i="4" l="1"/>
  <c r="P3" i="4"/>
  <c r="J26" i="4"/>
  <c r="G40" i="4"/>
  <c r="F40" i="4"/>
  <c r="G39" i="4"/>
  <c r="F39" i="4"/>
  <c r="F38" i="4"/>
  <c r="J37" i="4"/>
  <c r="I37" i="4"/>
  <c r="J36" i="4"/>
  <c r="I36" i="4"/>
  <c r="J35" i="4"/>
  <c r="I35" i="4"/>
  <c r="F34" i="4"/>
  <c r="J33" i="4"/>
  <c r="I33" i="4"/>
  <c r="F32" i="4"/>
  <c r="J40" i="4" l="1"/>
  <c r="I39" i="4"/>
  <c r="R39" i="4" s="1"/>
  <c r="J38" i="4"/>
  <c r="J34" i="4"/>
  <c r="J32" i="4"/>
  <c r="S36" i="4"/>
  <c r="S35" i="4"/>
  <c r="S37" i="4"/>
  <c r="J39" i="4"/>
  <c r="I40" i="4"/>
  <c r="I32" i="4"/>
  <c r="S32" i="4" s="1"/>
  <c r="R35" i="4"/>
  <c r="R36" i="4"/>
  <c r="R37" i="4"/>
  <c r="I38" i="4"/>
  <c r="I34" i="4"/>
  <c r="S34" i="4" s="1"/>
  <c r="G31" i="4"/>
  <c r="H31" i="4"/>
  <c r="F31" i="4"/>
  <c r="J30" i="4"/>
  <c r="I30" i="4"/>
  <c r="H30" i="4"/>
  <c r="G30" i="4"/>
  <c r="S39" i="4" l="1"/>
  <c r="P39" i="4" s="1"/>
  <c r="P35" i="4"/>
  <c r="O35" i="4"/>
  <c r="P37" i="4"/>
  <c r="O37" i="4"/>
  <c r="P36" i="4"/>
  <c r="O36" i="4"/>
  <c r="O39" i="4"/>
  <c r="S38" i="4"/>
  <c r="J31" i="4"/>
  <c r="J41" i="4" s="1"/>
  <c r="E53" i="4" s="1"/>
  <c r="D46" i="4"/>
  <c r="R38" i="4"/>
  <c r="S40" i="4"/>
  <c r="R40" i="4"/>
  <c r="I31" i="4"/>
  <c r="I41" i="4" s="1"/>
  <c r="D53" i="4" s="1"/>
  <c r="D47" i="4" l="1"/>
  <c r="P40" i="4"/>
  <c r="O40" i="4"/>
  <c r="O38" i="4"/>
  <c r="P38" i="4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J43" i="2"/>
  <c r="F43" i="2"/>
  <c r="K41" i="2"/>
  <c r="J41" i="2"/>
  <c r="F41" i="2"/>
  <c r="K40" i="2"/>
  <c r="J40" i="2"/>
  <c r="F40" i="2"/>
  <c r="K39" i="2"/>
  <c r="J39" i="2"/>
  <c r="F39" i="2"/>
  <c r="K38" i="2"/>
  <c r="J38" i="2"/>
  <c r="F38" i="2"/>
  <c r="K37" i="2"/>
  <c r="K36" i="2"/>
  <c r="K35" i="2"/>
  <c r="K34" i="2"/>
  <c r="K33" i="2"/>
  <c r="K32" i="2"/>
  <c r="K31" i="2"/>
  <c r="J31" i="2"/>
  <c r="F31" i="2"/>
  <c r="K30" i="2"/>
  <c r="J30" i="2"/>
  <c r="F30" i="2"/>
  <c r="K29" i="2"/>
  <c r="J29" i="2"/>
  <c r="F29" i="2"/>
  <c r="K28" i="2"/>
  <c r="J28" i="2"/>
  <c r="F28" i="2"/>
  <c r="K27" i="2"/>
  <c r="J27" i="2"/>
  <c r="F27" i="2"/>
  <c r="K26" i="2"/>
  <c r="K25" i="2"/>
  <c r="K24" i="2"/>
  <c r="K23" i="2"/>
  <c r="K22" i="2"/>
  <c r="K21" i="2"/>
  <c r="J21" i="2"/>
  <c r="F21" i="2"/>
  <c r="K20" i="2"/>
  <c r="J20" i="2"/>
  <c r="F20" i="2"/>
  <c r="K19" i="2"/>
  <c r="J19" i="2"/>
  <c r="F19" i="2"/>
  <c r="K18" i="2"/>
  <c r="J18" i="2"/>
  <c r="F18" i="2"/>
  <c r="K17" i="2"/>
  <c r="J17" i="2"/>
  <c r="F17" i="2"/>
  <c r="K16" i="2"/>
  <c r="K15" i="2"/>
  <c r="K14" i="2"/>
  <c r="K13" i="2"/>
  <c r="K12" i="2"/>
  <c r="K11" i="2"/>
  <c r="K10" i="2"/>
  <c r="K9" i="2"/>
  <c r="K8" i="2"/>
  <c r="K7" i="2"/>
  <c r="K6" i="2"/>
  <c r="K5" i="2"/>
  <c r="R33" i="4"/>
  <c r="S31" i="4"/>
  <c r="S30" i="4"/>
  <c r="S33" i="4" l="1"/>
  <c r="O33" i="4" s="1"/>
  <c r="R30" i="4"/>
  <c r="R34" i="4"/>
  <c r="R31" i="4"/>
  <c r="R32" i="4"/>
  <c r="P33" i="4" l="1"/>
  <c r="P30" i="4"/>
  <c r="O30" i="4"/>
  <c r="S41" i="4"/>
  <c r="E55" i="4" s="1"/>
  <c r="E56" i="4" s="1"/>
  <c r="R41" i="4"/>
  <c r="D55" i="4" s="1"/>
  <c r="O31" i="4"/>
  <c r="P31" i="4"/>
  <c r="P34" i="4"/>
  <c r="O34" i="4"/>
  <c r="P32" i="4"/>
  <c r="O32" i="4"/>
  <c r="T41" i="4"/>
  <c r="D49" i="4"/>
  <c r="F46" i="4" s="1"/>
  <c r="I46" i="3"/>
  <c r="N46" i="3" s="1"/>
  <c r="G46" i="3"/>
  <c r="H46" i="3"/>
  <c r="I45" i="3"/>
  <c r="N45" i="3" s="1"/>
  <c r="I44" i="3"/>
  <c r="N44" i="3" s="1"/>
  <c r="G43" i="3"/>
  <c r="H43" i="3"/>
  <c r="F43" i="3"/>
  <c r="I43" i="3" s="1"/>
  <c r="N43" i="3" s="1"/>
  <c r="I42" i="3"/>
  <c r="N42" i="3" s="1"/>
  <c r="G42" i="3"/>
  <c r="H42" i="3"/>
  <c r="I41" i="3"/>
  <c r="N41" i="3" s="1"/>
  <c r="H41" i="3"/>
  <c r="F40" i="3"/>
  <c r="I40" i="3" s="1"/>
  <c r="G40" i="3"/>
  <c r="H40" i="3"/>
  <c r="I39" i="3"/>
  <c r="G39" i="3"/>
  <c r="H39" i="3"/>
  <c r="I38" i="3"/>
  <c r="G38" i="3"/>
  <c r="H38" i="3"/>
  <c r="F35" i="3"/>
  <c r="I35" i="3" s="1"/>
  <c r="N35" i="3" s="1"/>
  <c r="G35" i="3"/>
  <c r="H35" i="3"/>
  <c r="G34" i="3"/>
  <c r="H34" i="3"/>
  <c r="F34" i="3"/>
  <c r="I34" i="3" s="1"/>
  <c r="G33" i="3"/>
  <c r="F33" i="3"/>
  <c r="I33" i="3" s="1"/>
  <c r="I32" i="3"/>
  <c r="G32" i="3"/>
  <c r="H32" i="3"/>
  <c r="H28" i="3"/>
  <c r="I28" i="3"/>
  <c r="N28" i="3" s="1"/>
  <c r="E28" i="3"/>
  <c r="I27" i="3"/>
  <c r="N27" i="3" s="1"/>
  <c r="I13" i="3"/>
  <c r="N13" i="3" s="1"/>
  <c r="H12" i="3"/>
  <c r="H11" i="3"/>
  <c r="G9" i="3"/>
  <c r="H9" i="3"/>
  <c r="H22" i="3"/>
  <c r="F22" i="3"/>
  <c r="I22" i="3" s="1"/>
  <c r="N22" i="3" s="1"/>
  <c r="G21" i="3"/>
  <c r="H21" i="3"/>
  <c r="F21" i="3"/>
  <c r="I21" i="3" s="1"/>
  <c r="N21" i="3" s="1"/>
  <c r="H20" i="3"/>
  <c r="F20" i="3"/>
  <c r="I20" i="3" s="1"/>
  <c r="N20" i="3" s="1"/>
  <c r="H19" i="3"/>
  <c r="F19" i="3"/>
  <c r="I19" i="3" s="1"/>
  <c r="N19" i="3" s="1"/>
  <c r="H18" i="3"/>
  <c r="F18" i="3"/>
  <c r="I18" i="3" s="1"/>
  <c r="N18" i="3" s="1"/>
  <c r="I17" i="3"/>
  <c r="N17" i="3" s="1"/>
  <c r="G17" i="3"/>
  <c r="I16" i="3"/>
  <c r="N16" i="3" s="1"/>
  <c r="G16" i="3"/>
  <c r="H16" i="3"/>
  <c r="G15" i="3"/>
  <c r="I15" i="3"/>
  <c r="N15" i="3" s="1"/>
  <c r="J14" i="3"/>
  <c r="I14" i="3"/>
  <c r="J12" i="3"/>
  <c r="J11" i="3"/>
  <c r="J10" i="3"/>
  <c r="I12" i="3"/>
  <c r="I11" i="3"/>
  <c r="H10" i="3"/>
  <c r="I10" i="3"/>
  <c r="R18" i="4" l="1"/>
  <c r="R19" i="4"/>
  <c r="L23" i="3"/>
  <c r="M23" i="3" s="1"/>
  <c r="L24" i="3"/>
  <c r="L25" i="3"/>
  <c r="L26" i="3"/>
  <c r="E46" i="4"/>
  <c r="N10" i="3"/>
  <c r="P41" i="4"/>
  <c r="O41" i="4"/>
  <c r="R20" i="4"/>
  <c r="L40" i="3"/>
  <c r="M40" i="3" s="1"/>
  <c r="L32" i="3"/>
  <c r="N32" i="3" s="1"/>
  <c r="L38" i="3"/>
  <c r="M38" i="3" s="1"/>
  <c r="L34" i="3"/>
  <c r="M34" i="3" s="1"/>
  <c r="L39" i="3"/>
  <c r="N39" i="3" s="1"/>
  <c r="L33" i="3"/>
  <c r="M33" i="3" s="1"/>
  <c r="N14" i="3"/>
  <c r="N11" i="3"/>
  <c r="N12" i="3"/>
  <c r="G22" i="3"/>
  <c r="G19" i="3"/>
  <c r="G20" i="3"/>
  <c r="G18" i="3"/>
  <c r="I9" i="3"/>
  <c r="N9" i="3" s="1"/>
  <c r="I6" i="3"/>
  <c r="N6" i="3" s="1"/>
  <c r="I5" i="3"/>
  <c r="N5" i="3" s="1"/>
  <c r="H5" i="3"/>
  <c r="K98" i="2"/>
  <c r="K42" i="2"/>
  <c r="J42" i="2"/>
  <c r="J98" i="2"/>
  <c r="H7" i="2"/>
  <c r="H6" i="2"/>
  <c r="I98" i="2"/>
  <c r="P18" i="4" l="1"/>
  <c r="O18" i="4"/>
  <c r="O19" i="4"/>
  <c r="P19" i="4"/>
  <c r="N23" i="3"/>
  <c r="N25" i="3"/>
  <c r="M25" i="3"/>
  <c r="M26" i="3"/>
  <c r="N26" i="3"/>
  <c r="M24" i="3"/>
  <c r="N24" i="3"/>
  <c r="O47" i="3"/>
  <c r="D48" i="4"/>
  <c r="R26" i="4"/>
  <c r="P20" i="4"/>
  <c r="O20" i="4"/>
  <c r="N40" i="3"/>
  <c r="N34" i="3"/>
  <c r="M32" i="3"/>
  <c r="M39" i="3"/>
  <c r="N38" i="3"/>
  <c r="L47" i="3"/>
  <c r="N33" i="3"/>
  <c r="J47" i="3"/>
  <c r="G47" i="3"/>
  <c r="H47" i="3"/>
  <c r="H97" i="2"/>
  <c r="H96" i="2"/>
  <c r="H95" i="2"/>
  <c r="H94" i="2"/>
  <c r="H92" i="2"/>
  <c r="H93" i="2" s="1"/>
  <c r="H91" i="2"/>
  <c r="H84" i="2"/>
  <c r="H85" i="2" s="1"/>
  <c r="H86" i="2" s="1"/>
  <c r="H87" i="2" s="1"/>
  <c r="H88" i="2" s="1"/>
  <c r="H89" i="2" s="1"/>
  <c r="H90" i="2" s="1"/>
  <c r="H83" i="2"/>
  <c r="H82" i="2"/>
  <c r="H81" i="2"/>
  <c r="H79" i="2"/>
  <c r="H80" i="2" s="1"/>
  <c r="H78" i="2"/>
  <c r="H77" i="2"/>
  <c r="H71" i="2"/>
  <c r="H72" i="2" s="1"/>
  <c r="H73" i="2" s="1"/>
  <c r="H74" i="2" s="1"/>
  <c r="H75" i="2" s="1"/>
  <c r="H76" i="2" s="1"/>
  <c r="H70" i="2"/>
  <c r="H67" i="2"/>
  <c r="H68" i="2" s="1"/>
  <c r="H69" i="2" s="1"/>
  <c r="H66" i="2"/>
  <c r="H64" i="2"/>
  <c r="H65" i="2" s="1"/>
  <c r="H63" i="2"/>
  <c r="H61" i="2"/>
  <c r="H62" i="2" s="1"/>
  <c r="H60" i="2"/>
  <c r="H59" i="2"/>
  <c r="H58" i="2"/>
  <c r="H57" i="2"/>
  <c r="H56" i="2"/>
  <c r="H55" i="2"/>
  <c r="H48" i="2"/>
  <c r="H49" i="2" s="1"/>
  <c r="H50" i="2" s="1"/>
  <c r="H51" i="2" s="1"/>
  <c r="H52" i="2" s="1"/>
  <c r="H53" i="2" s="1"/>
  <c r="H54" i="2" s="1"/>
  <c r="H47" i="2"/>
  <c r="H46" i="2"/>
  <c r="H45" i="2"/>
  <c r="H44" i="2"/>
  <c r="H38" i="2"/>
  <c r="H39" i="2" s="1"/>
  <c r="H40" i="2" s="1"/>
  <c r="H41" i="2" s="1"/>
  <c r="H42" i="2" s="1"/>
  <c r="H43" i="2" s="1"/>
  <c r="H37" i="2"/>
  <c r="H36" i="2"/>
  <c r="H35" i="2"/>
  <c r="H32" i="2"/>
  <c r="H33" i="2" s="1"/>
  <c r="H34" i="2" s="1"/>
  <c r="H28" i="2"/>
  <c r="H29" i="2" s="1"/>
  <c r="H30" i="2" s="1"/>
  <c r="H31" i="2" s="1"/>
  <c r="H27" i="2"/>
  <c r="H25" i="2"/>
  <c r="H26" i="2" s="1"/>
  <c r="H24" i="2"/>
  <c r="H23" i="2"/>
  <c r="H22" i="2"/>
  <c r="H18" i="2"/>
  <c r="H19" i="2" s="1"/>
  <c r="H20" i="2" s="1"/>
  <c r="H21" i="2" s="1"/>
  <c r="H17" i="2"/>
  <c r="H13" i="2"/>
  <c r="H14" i="2" s="1"/>
  <c r="H15" i="2" s="1"/>
  <c r="H16" i="2" s="1"/>
  <c r="H12" i="2"/>
  <c r="H8" i="2"/>
  <c r="H9" i="2" s="1"/>
  <c r="H10" i="2" s="1"/>
  <c r="H11" i="2" s="1"/>
  <c r="H5" i="2"/>
  <c r="G6" i="2"/>
  <c r="F7" i="2"/>
  <c r="F8" i="2"/>
  <c r="F9" i="2"/>
  <c r="F10" i="2"/>
  <c r="F11" i="2"/>
  <c r="F12" i="2"/>
  <c r="F13" i="2"/>
  <c r="F14" i="2"/>
  <c r="F15" i="2"/>
  <c r="F16" i="2"/>
  <c r="F22" i="2"/>
  <c r="F23" i="2"/>
  <c r="F24" i="2"/>
  <c r="F25" i="2"/>
  <c r="F26" i="2"/>
  <c r="G32" i="2"/>
  <c r="F33" i="2"/>
  <c r="F34" i="2"/>
  <c r="G35" i="2"/>
  <c r="G36" i="2"/>
  <c r="F37" i="2"/>
  <c r="F42" i="2"/>
  <c r="G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G62" i="2"/>
  <c r="G63" i="2"/>
  <c r="F64" i="2"/>
  <c r="F65" i="2"/>
  <c r="F66" i="2"/>
  <c r="F67" i="2"/>
  <c r="F68" i="2"/>
  <c r="F69" i="2"/>
  <c r="F71" i="2"/>
  <c r="F72" i="2"/>
  <c r="F73" i="2"/>
  <c r="F74" i="2"/>
  <c r="F75" i="2"/>
  <c r="F77" i="2"/>
  <c r="F78" i="2"/>
  <c r="F80" i="2"/>
  <c r="F81" i="2"/>
  <c r="F82" i="2"/>
  <c r="G83" i="2"/>
  <c r="F85" i="2"/>
  <c r="F86" i="2"/>
  <c r="F88" i="2"/>
  <c r="F89" i="2"/>
  <c r="F90" i="2"/>
  <c r="F91" i="2"/>
  <c r="F93" i="2"/>
  <c r="F95" i="2"/>
  <c r="F96" i="2"/>
  <c r="F97" i="2"/>
  <c r="F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5" i="2"/>
  <c r="F173" i="1"/>
  <c r="F174" i="1" s="1"/>
  <c r="H172" i="1"/>
  <c r="H171" i="1"/>
  <c r="H170" i="1"/>
  <c r="G170" i="1"/>
  <c r="G174" i="1" s="1"/>
  <c r="F165" i="1"/>
  <c r="B157" i="1"/>
  <c r="B158" i="1" s="1"/>
  <c r="B160" i="1" s="1"/>
  <c r="F152" i="1"/>
  <c r="F151" i="1"/>
  <c r="F150" i="1"/>
  <c r="J149" i="1"/>
  <c r="F149" i="1" s="1"/>
  <c r="F148" i="1"/>
  <c r="F147" i="1"/>
  <c r="F146" i="1"/>
  <c r="F145" i="1"/>
  <c r="F144" i="1"/>
  <c r="F143" i="1"/>
  <c r="F142" i="1"/>
  <c r="F141" i="1"/>
  <c r="F140" i="1"/>
  <c r="F139" i="1"/>
  <c r="F138" i="1"/>
  <c r="F137" i="1"/>
  <c r="J136" i="1"/>
  <c r="F136" i="1" s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J95" i="1"/>
  <c r="H95" i="1"/>
  <c r="H94" i="1"/>
  <c r="I94" i="1" s="1"/>
  <c r="H93" i="1"/>
  <c r="I93" i="1" s="1"/>
  <c r="J92" i="1"/>
  <c r="H92" i="1"/>
  <c r="F92" i="1" s="1"/>
  <c r="H91" i="1"/>
  <c r="F91" i="1" s="1"/>
  <c r="H90" i="1"/>
  <c r="F90" i="1" s="1"/>
  <c r="J89" i="1"/>
  <c r="H89" i="1"/>
  <c r="H88" i="1"/>
  <c r="F88" i="1" s="1"/>
  <c r="J87" i="1"/>
  <c r="H87" i="1"/>
  <c r="J86" i="1"/>
  <c r="H86" i="1"/>
  <c r="J85" i="1"/>
  <c r="H85" i="1"/>
  <c r="J84" i="1"/>
  <c r="H84" i="1"/>
  <c r="H83" i="1"/>
  <c r="I83" i="1" s="1"/>
  <c r="G83" i="1"/>
  <c r="I82" i="1"/>
  <c r="H82" i="1"/>
  <c r="F82" i="1"/>
  <c r="L81" i="1"/>
  <c r="J81" i="1"/>
  <c r="I81" i="1" s="1"/>
  <c r="H81" i="1"/>
  <c r="L80" i="1"/>
  <c r="J80" i="1"/>
  <c r="I80" i="1"/>
  <c r="H80" i="1"/>
  <c r="F80" i="1"/>
  <c r="L79" i="1"/>
  <c r="J79" i="1"/>
  <c r="I79" i="1" s="1"/>
  <c r="H79" i="1"/>
  <c r="L78" i="1"/>
  <c r="J78" i="1"/>
  <c r="H78" i="1"/>
  <c r="F78" i="1" s="1"/>
  <c r="J77" i="1"/>
  <c r="H77" i="1"/>
  <c r="F77" i="1" s="1"/>
  <c r="E77" i="1"/>
  <c r="J76" i="1"/>
  <c r="I76" i="1" s="1"/>
  <c r="H76" i="1"/>
  <c r="H75" i="1"/>
  <c r="F75" i="1" s="1"/>
  <c r="H74" i="1"/>
  <c r="F74" i="1" s="1"/>
  <c r="H73" i="1"/>
  <c r="I73" i="1" s="1"/>
  <c r="H72" i="1"/>
  <c r="F72" i="1" s="1"/>
  <c r="H71" i="1"/>
  <c r="F71" i="1" s="1"/>
  <c r="I70" i="1"/>
  <c r="F70" i="1"/>
  <c r="H69" i="1"/>
  <c r="I69" i="1" s="1"/>
  <c r="J68" i="1"/>
  <c r="I68" i="1" s="1"/>
  <c r="H68" i="1"/>
  <c r="J67" i="1"/>
  <c r="I67" i="1" s="1"/>
  <c r="H67" i="1"/>
  <c r="J66" i="1"/>
  <c r="I66" i="1" s="1"/>
  <c r="H66" i="1"/>
  <c r="E66" i="1"/>
  <c r="J65" i="1"/>
  <c r="H65" i="1"/>
  <c r="F65" i="1" s="1"/>
  <c r="J64" i="1"/>
  <c r="H64" i="1"/>
  <c r="F64" i="1" s="1"/>
  <c r="J63" i="1"/>
  <c r="I63" i="1" s="1"/>
  <c r="G63" i="1"/>
  <c r="F63" i="1" s="1"/>
  <c r="J62" i="1"/>
  <c r="H62" i="1"/>
  <c r="F62" i="1" s="1"/>
  <c r="G62" i="1"/>
  <c r="J61" i="1"/>
  <c r="I61" i="1" s="1"/>
  <c r="H61" i="1"/>
  <c r="J60" i="1"/>
  <c r="F60" i="1" s="1"/>
  <c r="J59" i="1"/>
  <c r="I59" i="1" s="1"/>
  <c r="E59" i="1"/>
  <c r="J58" i="1"/>
  <c r="H58" i="1"/>
  <c r="F58" i="1" s="1"/>
  <c r="H57" i="1"/>
  <c r="I57" i="1" s="1"/>
  <c r="E57" i="1"/>
  <c r="H56" i="1"/>
  <c r="I56" i="1" s="1"/>
  <c r="E56" i="1"/>
  <c r="J55" i="1"/>
  <c r="I55" i="1" s="1"/>
  <c r="E55" i="1"/>
  <c r="H54" i="1"/>
  <c r="I54" i="1" s="1"/>
  <c r="I53" i="1"/>
  <c r="G53" i="1"/>
  <c r="F53" i="1" s="1"/>
  <c r="H52" i="1"/>
  <c r="F52" i="1" s="1"/>
  <c r="H51" i="1"/>
  <c r="I51" i="1" s="1"/>
  <c r="H50" i="1"/>
  <c r="I50" i="1" s="1"/>
  <c r="H49" i="1"/>
  <c r="I49" i="1" s="1"/>
  <c r="H48" i="1"/>
  <c r="F48" i="1" s="1"/>
  <c r="H47" i="1"/>
  <c r="I47" i="1" s="1"/>
  <c r="J46" i="1"/>
  <c r="I46" i="1" s="1"/>
  <c r="H46" i="1"/>
  <c r="J45" i="1"/>
  <c r="I45" i="1" s="1"/>
  <c r="H45" i="1"/>
  <c r="J44" i="1"/>
  <c r="I44" i="1" s="1"/>
  <c r="H43" i="1"/>
  <c r="F43" i="1" s="1"/>
  <c r="F42" i="1"/>
  <c r="H41" i="1"/>
  <c r="F41" i="1" s="1"/>
  <c r="H40" i="1"/>
  <c r="F40" i="1" s="1"/>
  <c r="H39" i="1"/>
  <c r="F39" i="1" s="1"/>
  <c r="I38" i="1"/>
  <c r="F38" i="1"/>
  <c r="H37" i="1"/>
  <c r="F37" i="1" s="1"/>
  <c r="H36" i="1"/>
  <c r="I36" i="1" s="1"/>
  <c r="G36" i="1"/>
  <c r="J35" i="1"/>
  <c r="I35" i="1" s="1"/>
  <c r="G35" i="1"/>
  <c r="J34" i="1"/>
  <c r="H34" i="1"/>
  <c r="J33" i="1"/>
  <c r="H33" i="1"/>
  <c r="J32" i="1"/>
  <c r="I32" i="1" s="1"/>
  <c r="G32" i="1"/>
  <c r="H31" i="1"/>
  <c r="I31" i="1" s="1"/>
  <c r="H30" i="1"/>
  <c r="I30" i="1" s="1"/>
  <c r="J29" i="1"/>
  <c r="H29" i="1"/>
  <c r="H28" i="1"/>
  <c r="F28" i="1" s="1"/>
  <c r="J27" i="1"/>
  <c r="I27" i="1" s="1"/>
  <c r="H27" i="1"/>
  <c r="F27" i="1" s="1"/>
  <c r="J26" i="1"/>
  <c r="F26" i="1" s="1"/>
  <c r="J25" i="1"/>
  <c r="H25" i="1"/>
  <c r="J24" i="1"/>
  <c r="H24" i="1"/>
  <c r="E24" i="1"/>
  <c r="J23" i="1"/>
  <c r="H23" i="1"/>
  <c r="F23" i="1" s="1"/>
  <c r="J22" i="1"/>
  <c r="H22" i="1"/>
  <c r="E22" i="1"/>
  <c r="H21" i="1"/>
  <c r="I21" i="1" s="1"/>
  <c r="J20" i="1"/>
  <c r="H20" i="1"/>
  <c r="H19" i="1"/>
  <c r="F19" i="1" s="1"/>
  <c r="J18" i="1"/>
  <c r="H18" i="1"/>
  <c r="J17" i="1"/>
  <c r="H17" i="1"/>
  <c r="J16" i="1"/>
  <c r="H16" i="1"/>
  <c r="J15" i="1"/>
  <c r="H15" i="1"/>
  <c r="H14" i="1"/>
  <c r="I14" i="1" s="1"/>
  <c r="J13" i="1"/>
  <c r="H13" i="1"/>
  <c r="H12" i="1"/>
  <c r="I12" i="1" s="1"/>
  <c r="I11" i="1"/>
  <c r="F11" i="1"/>
  <c r="I10" i="1"/>
  <c r="F10" i="1"/>
  <c r="I9" i="1"/>
  <c r="F9" i="1"/>
  <c r="I8" i="1"/>
  <c r="F8" i="1"/>
  <c r="I7" i="1"/>
  <c r="G7" i="1"/>
  <c r="F7" i="1" s="1"/>
  <c r="I6" i="1"/>
  <c r="G6" i="1"/>
  <c r="F6" i="1" s="1"/>
  <c r="I5" i="1"/>
  <c r="F5" i="1"/>
  <c r="P26" i="4" l="1"/>
  <c r="D54" i="4"/>
  <c r="D56" i="4" s="1"/>
  <c r="E45" i="4"/>
  <c r="F45" i="4"/>
  <c r="O26" i="4"/>
  <c r="M47" i="3"/>
  <c r="I47" i="3"/>
  <c r="O48" i="3" s="1"/>
  <c r="N47" i="3"/>
  <c r="G98" i="2"/>
  <c r="F98" i="2"/>
  <c r="F95" i="1"/>
  <c r="F13" i="1"/>
  <c r="F20" i="1"/>
  <c r="F22" i="1"/>
  <c r="I13" i="1"/>
  <c r="F16" i="1"/>
  <c r="F18" i="1"/>
  <c r="I20" i="1"/>
  <c r="I22" i="1"/>
  <c r="F24" i="1"/>
  <c r="I26" i="1"/>
  <c r="I28" i="1"/>
  <c r="F31" i="1"/>
  <c r="I34" i="1"/>
  <c r="F46" i="1"/>
  <c r="F67" i="1"/>
  <c r="F76" i="1"/>
  <c r="F84" i="1"/>
  <c r="F86" i="1"/>
  <c r="F15" i="1"/>
  <c r="F17" i="1"/>
  <c r="I23" i="1"/>
  <c r="F25" i="1"/>
  <c r="I29" i="1"/>
  <c r="I33" i="1"/>
  <c r="F45" i="1"/>
  <c r="I58" i="1"/>
  <c r="F61" i="1"/>
  <c r="F66" i="1"/>
  <c r="F68" i="1"/>
  <c r="F85" i="1"/>
  <c r="F87" i="1"/>
  <c r="F89" i="1"/>
  <c r="I92" i="1"/>
  <c r="I95" i="1"/>
  <c r="F14" i="1"/>
  <c r="I15" i="1"/>
  <c r="I17" i="1"/>
  <c r="F21" i="1"/>
  <c r="I25" i="1"/>
  <c r="F32" i="1"/>
  <c r="F34" i="1"/>
  <c r="F36" i="1"/>
  <c r="I39" i="1"/>
  <c r="I41" i="1"/>
  <c r="I43" i="1"/>
  <c r="F47" i="1"/>
  <c r="F49" i="1"/>
  <c r="F51" i="1"/>
  <c r="I62" i="1"/>
  <c r="I64" i="1"/>
  <c r="F69" i="1"/>
  <c r="F83" i="1"/>
  <c r="I84" i="1"/>
  <c r="I86" i="1"/>
  <c r="F93" i="1"/>
  <c r="F44" i="1"/>
  <c r="F55" i="1"/>
  <c r="F59" i="1"/>
  <c r="I16" i="1"/>
  <c r="I18" i="1"/>
  <c r="I24" i="1"/>
  <c r="F29" i="1"/>
  <c r="F33" i="1"/>
  <c r="F35" i="1"/>
  <c r="I65" i="1"/>
  <c r="I77" i="1"/>
  <c r="F79" i="1"/>
  <c r="F81" i="1"/>
  <c r="I85" i="1"/>
  <c r="I87" i="1"/>
  <c r="G175" i="1"/>
  <c r="H154" i="1"/>
  <c r="F12" i="1"/>
  <c r="I19" i="1"/>
  <c r="F30" i="1"/>
  <c r="I37" i="1"/>
  <c r="I40" i="1"/>
  <c r="I48" i="1"/>
  <c r="F50" i="1"/>
  <c r="I52" i="1"/>
  <c r="F54" i="1"/>
  <c r="F56" i="1"/>
  <c r="F57" i="1"/>
  <c r="F73" i="1"/>
  <c r="I88" i="1"/>
  <c r="I91" i="1"/>
  <c r="F94" i="1"/>
  <c r="H173" i="1"/>
  <c r="H174" i="1" s="1"/>
  <c r="H175" i="1" s="1"/>
  <c r="M48" i="3" l="1"/>
  <c r="N48" i="3"/>
  <c r="J99" i="2"/>
  <c r="K99" i="2"/>
  <c r="I154" i="1"/>
  <c r="I156" i="1" s="1"/>
  <c r="F154" i="1"/>
  <c r="F155" i="1" s="1"/>
  <c r="F163" i="1" s="1"/>
</calcChain>
</file>

<file path=xl/sharedStrings.xml><?xml version="1.0" encoding="utf-8"?>
<sst xmlns="http://schemas.openxmlformats.org/spreadsheetml/2006/main" count="780" uniqueCount="416">
  <si>
    <t>NIT</t>
  </si>
  <si>
    <t>Mode Of Finance</t>
  </si>
  <si>
    <t>Name of scheme / Project</t>
  </si>
  <si>
    <t>Name of line/ Sub-station etc</t>
  </si>
  <si>
    <t>Total Outlay</t>
  </si>
  <si>
    <t>Progressive up to the beginning of FY 2018-19</t>
  </si>
  <si>
    <t>FY 2019-20 (H1 Actual)</t>
  </si>
  <si>
    <t>Approved in MYT</t>
  </si>
  <si>
    <t>Actual till date</t>
  </si>
  <si>
    <t>Capitalization</t>
  </si>
  <si>
    <t xml:space="preserve">Capital 
Expenditure
(CWIP)
</t>
  </si>
  <si>
    <t xml:space="preserve"> Actual</t>
  </si>
  <si>
    <t>Capital Expenditure (CWIP)</t>
  </si>
  <si>
    <t>91/PR/BSPTCL/2014</t>
  </si>
  <si>
    <t>State Plan</t>
  </si>
  <si>
    <t>Construction of ( 2X20 MVA) 132/33 KV  GSS at Teghra, Simribakhtiyarpur, &amp; Trapur</t>
  </si>
  <si>
    <t>Teghra</t>
  </si>
  <si>
    <t>Simribakhtiyarpur</t>
  </si>
  <si>
    <t>Trapur</t>
  </si>
  <si>
    <t>87/PR/BSPTCL/2015</t>
  </si>
  <si>
    <t>Construction of 132kv Transmission Lines required for the connectivity of power to upcoming new 132/33 kv Grid Sub Stations at Korha ( distt-Katihar), Nathnagar, ( Distt-Bhagalpur) and Jamui (New) on Turnkey Basis</t>
  </si>
  <si>
    <t>132KV D/C Tr. Line From Jamui (BSPTCL) to Jamui (New S/S) GSS</t>
  </si>
  <si>
    <t>132KV D/C Tr. Line From Banka ( New)- Jamui ( New S/S)</t>
  </si>
  <si>
    <t>86/PR/BSPTCL/2015</t>
  </si>
  <si>
    <t>construction of 132/33 KV 3x50
MVA Jamui and Banka GSS</t>
  </si>
  <si>
    <t>132/33KV Grid Sub Station Banka ( New)</t>
  </si>
  <si>
    <t>132/33KV Grid Sub Station Jamui ( New)</t>
  </si>
  <si>
    <t>30/PR/BSPTCL/2015</t>
  </si>
  <si>
    <t>BRGF</t>
  </si>
  <si>
    <t>Design, manufacture, testing at manufacture’s work and delivery of equipments for the work of Capacity augmentation by addition of 50MVA,132/33 KV Power transformer at GSS Jakkanpur, Baripahari, Chandauti, Jehanabad, Sitamarhi &amp; Beguasarai and replacement of 20 MVA,132/33 KV Power transformer at GSS Dumraon, Raxaul &amp; Purnea with Construction / modification of associated 132 KV &amp; 33KV Transformer bays complete in all respect.</t>
  </si>
  <si>
    <t>Capacity Augmentation at GSS Baripahari</t>
  </si>
  <si>
    <t>Capicity Augmentation at GSS Dumraon</t>
  </si>
  <si>
    <t>Capicity Augmentation at Gss Begusarai &amp; Purnea</t>
  </si>
  <si>
    <t>Capacity Augmentation at Sitamarhi &amp; Raxaul</t>
  </si>
  <si>
    <t>Cap. Augmentation at Gss Chandauti/Jehanabad</t>
  </si>
  <si>
    <t>33/Package M-1/BSPTCL/ADB/2016</t>
  </si>
  <si>
    <t>ADB</t>
  </si>
  <si>
    <t xml:space="preserve">Procurement and Construction for Re-conductoring of 06 nos.132KV Transmission lines </t>
  </si>
  <si>
    <t>S/c Dehri- Sasaram-Kudra- karmnasa</t>
  </si>
  <si>
    <t>Amounting To Rs. 20000000/- against Railway Charges &amp; amounting To Rs. 6862243/- against Interest</t>
  </si>
  <si>
    <t>D/C Sonenagar- Garhwa Up To Bihar Bordar Near Nabinagar</t>
  </si>
  <si>
    <t>Amounting To Rs. 5244422/- against Interest</t>
  </si>
  <si>
    <t>S/c hathidah- Shekpura</t>
  </si>
  <si>
    <t>Amounting Rs. 3895284/- Against Railway Charges &amp; Amounting To Rs. 1788973/- against Interest</t>
  </si>
  <si>
    <t>S/c lakhisarai- Jamalpur</t>
  </si>
  <si>
    <t>Amiounting to Rs. 2996819/- against Interest</t>
  </si>
  <si>
    <t>D/c Biharsharif- Barhi Loc. Near manpur with addition of 31Nos. Tower</t>
  </si>
  <si>
    <t>Amounting To Rs. 28748334/- against Interest</t>
  </si>
  <si>
    <t>90/PR/BSPTCL/2015</t>
  </si>
  <si>
    <t xml:space="preserve"> Construction of 2x50 MVA, 132/33 KV GSS at Bhabhua </t>
  </si>
  <si>
    <t xml:space="preserve">132/33 KV GSS at Bhabhua </t>
  </si>
  <si>
    <t>61/PR/BSPTCL/2015</t>
  </si>
  <si>
    <t>Construction of 132/33KV Grid Sub-Station At Piro(Bhojpur) ( 2X20MVA)</t>
  </si>
  <si>
    <t>132/33KV Grid Sub-Station At Piro</t>
  </si>
  <si>
    <t>03/PR/BSPTCL/2016</t>
  </si>
  <si>
    <t>construction of associated 132 KV line Bays (No. of Bays-05) for second Circuit Stringing of existing 132 KV double Circuit Single Strung</t>
  </si>
  <si>
    <t>Associated Bay (5 No) for Second Stringing</t>
  </si>
  <si>
    <t>84/PR/BSPTCL/2015</t>
  </si>
  <si>
    <t>Construction of 3X50 MVA, 132/33KV Grid Sub-Stations RAMGARH  &amp; WARISALIGANJ</t>
  </si>
  <si>
    <t xml:space="preserve"> RAMGARH </t>
  </si>
  <si>
    <t>WARISALIGANJ</t>
  </si>
  <si>
    <t>32/PACKAGR L-I/BSPTCL/ADB/2016</t>
  </si>
  <si>
    <t>Re-conductoring of 05 nos. 220KV &amp; 132KV Transmission lines -- 254.99 Ckm</t>
  </si>
  <si>
    <t>132/33 KV Ara (PG)- Dumraon</t>
  </si>
  <si>
    <t>Amounting to Rs. 5719366/- against Interest</t>
  </si>
  <si>
    <t>132/33 KV Dehri- Dumraon Old Circuit</t>
  </si>
  <si>
    <t>Amounting to Rs. 8699989/- against Interest</t>
  </si>
  <si>
    <t>132 KV Bodhgaya-Chandauti Ckt. I, II, III &amp; IV</t>
  </si>
  <si>
    <t>Amounting to Rs. 6921440/- against Interest</t>
  </si>
  <si>
    <t>132 KV Bodhgaya- Wazirgunj-Nawad</t>
  </si>
  <si>
    <t>Amounting to Rs. 6005953/- against Interest</t>
  </si>
  <si>
    <t xml:space="preserve">220KV D/C Fatuha- Khagaul </t>
  </si>
  <si>
    <t>Amounting to Rs. 19345685/- against Interest</t>
  </si>
  <si>
    <t>83/PR/BSPTCL/2015</t>
  </si>
  <si>
    <t>i)                     LILO of one ckt.
At north of muthani railway station from 132KV D/C Pusouli (New) – Mohania Trans. Line to proposed 3x50 MV Ramgarh GSS (BSPTCL of route length 20Km.
ii) LILO of 132KV Line Biharsharif – Nawada D/C Trans. Line – Warsaliganj (New) GSS of Route length 40Kms.iii) LILO of
one Ckt. Of 132KV Chhapra – Siwan Transmission Line – Siwan (New) GSS near Darauli of route length 45Kms. Turnkey basis under Under State Plan.</t>
  </si>
  <si>
    <t xml:space="preserve"> 132KV D/C Pusouli (New)- Mohania Tr. Line To Proposed 3X50 MV Ramgarh GSS</t>
  </si>
  <si>
    <t xml:space="preserve"> 132Kv Line Biharsharif- nawada D/C Tr. Line - warsaliganj ( New) GSS</t>
  </si>
  <si>
    <t xml:space="preserve"> 132KV Chhapra- Siwan Tr. Line - Siwan ( New) GSS Near darauli</t>
  </si>
  <si>
    <t>315/PR/BSPTCL/2013</t>
  </si>
  <si>
    <t>work of capacity augmentation of 132/33GSS Farbishganj,katihar, kishanganj , and saharsa</t>
  </si>
  <si>
    <t>Augtn of GSS Shrsa/Khgria/ Kshngnj/Forbes/Katihar</t>
  </si>
  <si>
    <t>03/PR/BSPTCL/2014</t>
  </si>
  <si>
    <t>construction of (2x160+2x50) MVA, 220/132/33 KV GSS at Kishanganj (NEW) with 4 nos 220 KV Line Bays extension at existing 220/132/33 KV Madhepura GSS and 2 nos 132KV Line Bay extension at existing 132/33 KV GSS Kishanganj &amp; Forbesganj with SAS.</t>
  </si>
  <si>
    <t>GSS Kishanganj (New) with Bay Extension</t>
  </si>
  <si>
    <t>427/PR/BSPTCL/2013 ,E</t>
  </si>
  <si>
    <t>R&amp;M Work of 132/33 Kv GSS Saharsha and Katihar</t>
  </si>
  <si>
    <t>R&amp;M Of GSS Katihar &amp; Saharsha</t>
  </si>
  <si>
    <t>31/Pkg K-1/BSPTCL/ADB/2016</t>
  </si>
  <si>
    <t>Re- Conductoring Of Six (06) Nos. of 132KV S/C Tr. Line</t>
  </si>
  <si>
    <t>Motihari-Bettiha</t>
  </si>
  <si>
    <t>Amounting To Rs. 3314512/- against interest</t>
  </si>
  <si>
    <t>samatipur-Hajipur-Shitalpur LILO Point- Chapra</t>
  </si>
  <si>
    <t>Amounting To Rs. 2500000/ against railway Charges &amp; Amounting to Rs. 9691007/- against Interest</t>
  </si>
  <si>
    <t>Purnea- Saharsa</t>
  </si>
  <si>
    <t>Amounting To Rs. 3750000/ against railway Charges &amp; Amounting to Rs. 11553266/- against Interest</t>
  </si>
  <si>
    <t>Forbrsganj- Kataiya ( Kosi)</t>
  </si>
  <si>
    <t>Amounting to Rs. 3418653/- against Interest</t>
  </si>
  <si>
    <t>Ramnagar Balmikinagar-Surajpura</t>
  </si>
  <si>
    <t>Forbrsganj - Purnea</t>
  </si>
  <si>
    <t>Amounting To Rs. 3750000/ against railway Charges &amp; Amounting to Rs. 11461991/- against Interest</t>
  </si>
  <si>
    <t>31/PR/BSPTCL/2015</t>
  </si>
  <si>
    <t>Construction of Tr Ln Purnea - Saharsha</t>
  </si>
  <si>
    <t>132 kv Purnea to saharsha trns line</t>
  </si>
  <si>
    <t>03/PR/BSPTCL/2015</t>
  </si>
  <si>
    <t>Construction Of 220Kv (D/C) Line between Madhepura to Laukhi with Al-59 Conductor (75Km)</t>
  </si>
  <si>
    <t>220Kv (D/C) Line- Madhepura to Laukhi</t>
  </si>
  <si>
    <t>02/PR/BSPTCL/2015</t>
  </si>
  <si>
    <t xml:space="preserve">Construction Of 220KV Kishanganj new- Madhepura D/C </t>
  </si>
  <si>
    <t>220KV Kishanganj new- Madhepura D/C</t>
  </si>
  <si>
    <t>35/PR/BSPTCL/2015</t>
  </si>
  <si>
    <t>Construction Of Lilo Line at GSS Banmankhi, 132Kv Purnea-Katihar line  for Upcoming 132/33Kv GSS Manihari,  132Kv Phulparas-Supaul line at Block Marauna for Upcoming 132/33Kv GSS Nirmali, 132Kv Purnea-Forbesganj line for Upcoming 132/33Kv GSS Triveniganj, Begusarai-Bakhri Line, Begusarai-Bakhri Line for Upcoming GSS Balia &amp;Begusarai-Bakhri Line for Upcoming GSS Manjhaul</t>
  </si>
  <si>
    <t>Construction Of Lilo Line at GSS Banmankhi</t>
  </si>
  <si>
    <t xml:space="preserve"> 132Kv Purnea-Katihar line  for Upcoming 132/33Kv GSS Manihari</t>
  </si>
  <si>
    <t xml:space="preserve"> 132Kv Phulparas-Supaul line at Block Marauna for Upcoming 132/33Kv GSS Nirmali</t>
  </si>
  <si>
    <t>132Kv Purnea-Forbesganj line for Upcoming 132/33Kv GSS Triveniganj</t>
  </si>
  <si>
    <t xml:space="preserve">Begusarai-Bakhri Line </t>
  </si>
  <si>
    <t>Begusarai-Bakhri Line for Upcoming GSS Balia</t>
  </si>
  <si>
    <t>construction of 132 kv Trans line BikramGanj To  Piro</t>
  </si>
  <si>
    <t>Begusarai-Bakhri Line for Upcoming GSS Manjhaul</t>
  </si>
  <si>
    <t>31/PR/BSPTCL/2017</t>
  </si>
  <si>
    <t>Construction Of LILO Of one circuit of 132KV Laukhahi- supaul Tr. Line at 132/33Kv GSS Raghopur</t>
  </si>
  <si>
    <t>LILO of S/C Laukahi-Supaul Tr Line(Raghopur)</t>
  </si>
  <si>
    <t>89/PR/BSPTCL/2014</t>
  </si>
  <si>
    <t>Earth Filling and Construction Of Boundary wall of Proposed land for 220/132/33KV GSS Supaul (Laukahi)</t>
  </si>
  <si>
    <t>Boundry Wall at GSS Laukahi</t>
  </si>
  <si>
    <t>467/PR/BSPTCL/2013</t>
  </si>
  <si>
    <t>Earth Filling and Construction Of Boundary wall of Proposed land for 220/132/33KV GSS Samastipur</t>
  </si>
  <si>
    <t>Boundry Wall at GSS Samastipur</t>
  </si>
  <si>
    <t>95/PR/BSPTCL/2014</t>
  </si>
  <si>
    <t>Construction Of 220KV D/C Tr. Line From BTPS To Hajipur</t>
  </si>
  <si>
    <t>220KV D/C Tr. Line From BTPS To Hajipur</t>
  </si>
  <si>
    <t>15/PR/BSPTCL/2017</t>
  </si>
  <si>
    <t>IRF</t>
  </si>
  <si>
    <t>Construction of 132KV S/C Tr. Line On D/C  Tower 132/33KV GSS Rosera Between  Hasanpur Sugar Mill Along With 01 No. 132Kv Line bay at 132/33Kv GSS Rosera</t>
  </si>
  <si>
    <t>Rosera Hasanpur Transmission Line</t>
  </si>
  <si>
    <t>81/PR/BSPTCL/2014</t>
  </si>
  <si>
    <t>Construction Of 132/33KV SC transmission Line on D/C  Tower From Existing Kushershwarsthan to upcoming Benipur GSS , New 132kv S/C Transmission Line on D/C tower from 220/132Kv samstipur GSS to upcoming Shahpurpatori GSS  &amp;  Lilo of 132KV S/C Of Muzaffarpur- sitamarhi  transmission Line at upcoming Belsand GSS</t>
  </si>
  <si>
    <t>132/33KV SC transmission Line on D/C  Tower From Existing Kushershwarsthan to upcoming Benipur GSS</t>
  </si>
  <si>
    <t>New 132kv S/C Transmission Line on D/C tower from 220/132Kv samstipur GSS to upcoming Shahpurpatori GSS</t>
  </si>
  <si>
    <t>Lilo of 132KV S/C Of Muzaffarpur- sitamarhi  transmission Line at upcoming Belsand GSS</t>
  </si>
  <si>
    <t>62/PR/BSPTCL/2014 PKG-A</t>
  </si>
  <si>
    <t>construction of  2X10 MVA,132/33 kv Grid Sub-Station Chakiya, Jhanjharpur (Dist.Madhubani) &amp; Pakridayal (Dist.East Champaran)</t>
  </si>
  <si>
    <t xml:space="preserve">2X10 MVA,132/33 kv Grid Sub-Station Chakiya </t>
  </si>
  <si>
    <t>2X10 MVA,132/33 kv grid sub station Jhanjharpur (Dist.Madhubani)</t>
  </si>
  <si>
    <t>2X10 MVA,132/33 kv Grid sub station Pakridayal (Dist.East Champaran)</t>
  </si>
  <si>
    <t>94/PR/BSPTCL/2014</t>
  </si>
  <si>
    <t>Construction Of 132/33Kv GSS Rosera, 132/33Kv GSS Pupuri, 132/33 kV GSS Benipatti &amp; 132/33kv GSS Mahnar</t>
  </si>
  <si>
    <t>132/33Kv GSS Rosera</t>
  </si>
  <si>
    <t>132/33Kv GSS Pupuri</t>
  </si>
  <si>
    <t>132/33 kV GSS Benipatti</t>
  </si>
  <si>
    <t>132/33kv GSS Mahnar</t>
  </si>
  <si>
    <t>28/PR/BSPTCL/2016</t>
  </si>
  <si>
    <t>Construction of drain along road and expended metalfencing in area of proposed 132 KV line Kv GSs jandaha.</t>
  </si>
  <si>
    <t>132/33 KV GSS Jandaha</t>
  </si>
  <si>
    <t>04/PR/BSPTCL/2016</t>
  </si>
  <si>
    <t>construction of 132kv line bays ( 08 no bays) for second circuit stringing of existing 132kv double circuit single strung tran. Line under TC Muzaffarpur</t>
  </si>
  <si>
    <t>Jainagar</t>
  </si>
  <si>
    <t>Kusheshwarsthan</t>
  </si>
  <si>
    <t>Madhubani</t>
  </si>
  <si>
    <t>Pandaul</t>
  </si>
  <si>
    <t>Phulparas</t>
  </si>
  <si>
    <t>Ekma</t>
  </si>
  <si>
    <t>482/PR/BSPTCL/2013</t>
  </si>
  <si>
    <t>Construction Of 132 Kv bay Extension at remote at GSS samastipur</t>
  </si>
  <si>
    <t>132Kv Bay Extension at Samastipur</t>
  </si>
  <si>
    <t>62/PR/BSPTCL/2014 (Pkg-B)</t>
  </si>
  <si>
    <t>Construction Of  132/33Kv GSS Benipur (2X10MVA), 132/33 KV GSS Belsand (2X20MVA) &amp; 132/33KV GSS Shahpurpatori (2X20MVA)</t>
  </si>
  <si>
    <t>132/33Kv GSS Benipur (2X10MVA)</t>
  </si>
  <si>
    <t>132/33 KV GSS Belsand (2X20MVA)</t>
  </si>
  <si>
    <t>132/33KV GSS Shahpurpatori (2X20MVA)</t>
  </si>
  <si>
    <t>33/PR/BSPTCL/2014</t>
  </si>
  <si>
    <t>Construction Of 2X160 + 2X50 MVA, 220/132/33KV GSS Laukahi</t>
  </si>
  <si>
    <t>220/132/33KV GSS Laukahi</t>
  </si>
  <si>
    <t>98/PR/BSPTCL/2014</t>
  </si>
  <si>
    <t>Construction of 132 kv 2 no Bays each at 132kv GSS DARBGANGA  &amp; Gangwra</t>
  </si>
  <si>
    <t>Bay at GSS Darbhanga &amp; Gangwara</t>
  </si>
  <si>
    <t>477/PR/BSPTCL/2013</t>
  </si>
  <si>
    <t>Construction of (2X160+3X50)MVA 220/132/33 kv Grid Sub-Station Muasahri With ug-Station Automation System(SAS)</t>
  </si>
  <si>
    <t>GSS Mushari with SAS</t>
  </si>
  <si>
    <t>01/PR/BSPTCL/2016</t>
  </si>
  <si>
    <t>Design, Manuffacture, Testing at manufacturer's works and delivery of equipments required fo constraction of Associated 132KV Line Bays( No. of Bays-08) for second Circuit Stringing of Existing 132KV Double Circuit singleStrung Trans Line under Transmission Circle Gaya</t>
  </si>
  <si>
    <t>132Kv Bay at Tekari</t>
  </si>
  <si>
    <t>132Kv Bay at Hulasganj</t>
  </si>
  <si>
    <t>132Kv Bay at Attaulah</t>
  </si>
  <si>
    <t>132Kv Bay at Jahanabad</t>
  </si>
  <si>
    <t>132Kv Bay at Chandauti (Gaya)</t>
  </si>
  <si>
    <t>132Kv Bay at Belaganj</t>
  </si>
  <si>
    <t>132Kv Bay at Nawada</t>
  </si>
  <si>
    <t>72/PR/BSPTCL/2015</t>
  </si>
  <si>
    <t>Second Circuit Stringing of Existing 03 nos of 132 KV Double Circuit single Strung Transmission Line</t>
  </si>
  <si>
    <t>1   GSS Belaganj to tapping point of L-32 &amp; L-33 Tr. Line (2.3CKM)</t>
  </si>
  <si>
    <t>2. 132KV Gaya- Tekari and 132KV Tekari- Goh (51.8 CKM)</t>
  </si>
  <si>
    <t>3.   132kv jehanabad- Ataula ( Karpi) ( 22.57CKM)</t>
  </si>
  <si>
    <t>02/PR/BSPTCL/2017</t>
  </si>
  <si>
    <t>132kv S/C Tr. Line for Solar PV At Bhagaura from 132/33KV GSS Rafiganj, 01No. 132KV Line bay at GSS Raiganj for connecting Solar PV</t>
  </si>
  <si>
    <t>Solar PV Line From Rafiganj to Bhagarua</t>
  </si>
  <si>
    <t>97/PR/BSPTCL/2015</t>
  </si>
  <si>
    <t>Construction of Bays at GSS Gaihat</t>
  </si>
  <si>
    <t>Bay at GSS Gaighat</t>
  </si>
  <si>
    <t xml:space="preserve"> </t>
  </si>
  <si>
    <t>93/PR/BSPTCL/2014</t>
  </si>
  <si>
    <t>Construction of 132/33KV GSS
Maharajganj, Narkatiyaganj, Hathua &amp; Areraj</t>
  </si>
  <si>
    <t>132/33KV GSS Maharajganj</t>
  </si>
  <si>
    <t xml:space="preserve">132/33KV GSS Narkatiyaganj </t>
  </si>
  <si>
    <t>132/33KV GSS Hathua</t>
  </si>
  <si>
    <t>132/33KV GSS Areraj</t>
  </si>
  <si>
    <t>Construction of 132/33KV GSS
Siwan-New</t>
  </si>
  <si>
    <t>132/33KV GSS Siwan-New</t>
  </si>
  <si>
    <t>38/PR/BSPTCL/2014</t>
  </si>
  <si>
    <t>Construction of Loop In Loop Out arrangement of 132 KV Tx. line Madhepura- Sonebarsa 132 KV S/C Tx.line on D/C Tower at Saharsa Existing (CKM-40KM) under Special Plan of Phase-III</t>
  </si>
  <si>
    <t>07/PR/BSPTCL/2016</t>
  </si>
  <si>
    <t xml:space="preserve">R&amp;M of 132/33KV GSS at Kishanganj, Jamalpur and Purnea 
</t>
  </si>
  <si>
    <t>10 /PR/BSPTCL/2016</t>
  </si>
  <si>
    <t xml:space="preserve">Construction of 3X50 MVA, 132/33kV Grid Sub-Station, Jagdishpur (Bhagalpur New) and Korha(Katihar)against  NIT no. </t>
  </si>
  <si>
    <t>Strengthening of 132 KV &amp; 33 KV main bus and transfer bus by double moose &amp;quad moose respectively of different GSS of BSPTCL</t>
  </si>
  <si>
    <t>76/PR/BSPTCL/2015</t>
  </si>
  <si>
    <t xml:space="preserve">Second circuit stringing of Existing 03 Nos. of 132 kV Double Circuit Single Strung Transmission Lines under Transmission Circle, Purnea on Turnkey Basis  </t>
  </si>
  <si>
    <t>403/PR/BSPTCL/2013 Pkg A</t>
  </si>
  <si>
    <t>Construction of 132 KV D/C T/L from Motihari (400 KV) to Motihari (BSPTCL)</t>
  </si>
  <si>
    <t>403/PR/BSPTCL/2013 Pkg B</t>
  </si>
  <si>
    <t>Construction of 132 KV D/C T/L from Motihari (400 KV) to Bettiah</t>
  </si>
  <si>
    <t>403/PR/BSPTCL/2013 Pkg C</t>
  </si>
  <si>
    <t>Construction of 132 KV D/C T/L from Motihari (400 KV) to Raxaul</t>
  </si>
  <si>
    <t xml:space="preserve">403/PR/BSPTCL/2013 </t>
  </si>
  <si>
    <t>construction of two numbers of 132 KV Line bays each at Bettiah (132/33 KV) GSS and Raxaul
(132/33 KV) GSS</t>
  </si>
  <si>
    <t>82/PR/BSPTCL/2014</t>
  </si>
  <si>
    <t>(i) construction of 132 KV S/C transmission lines on D/C Tower from 132/33 KV Dhaka GSS to upcoming Pakridayal GSS
(ii) Construction of New 132 KV S/C Transmission line on D/C Tower from 220/132 KV Motipur GSS to upcoming Chakiya GSS
(iii) LILO of 132 KV S/C of Jainagar-Phulparas Transmission Line at upcoming Jhanjharpur GSS</t>
  </si>
  <si>
    <t>RSVY &amp; State
Plan</t>
  </si>
  <si>
    <t>Construction of 220 KV Purnea (PG) – Begusarai  D/C Tx. Line</t>
  </si>
  <si>
    <t>Misc. Transmission Line</t>
  </si>
  <si>
    <t>Misc. Plant &amp; machinery</t>
  </si>
  <si>
    <t>22/PR/BSPTCL/2015</t>
  </si>
  <si>
    <t>132 KV LILO T/l on one of  the CKT of 132 KV Betia--Dhanha to Ramanagar GSS</t>
  </si>
  <si>
    <t xml:space="preserve"> 30/PR/BSPTCL/2017</t>
  </si>
  <si>
    <t xml:space="preserve">Construction of  3x50MVA , 132/33KV GSS Raghopur </t>
  </si>
  <si>
    <t xml:space="preserve">Construction of 02 nos. 132KV line bays each at 132/33KV GSS SKMCH &amp; Sitamarhi under Special Plan/BRGF, Phase- III,Part-I </t>
  </si>
  <si>
    <t xml:space="preserve">Construction of New 132 KV S/C Transmission Line on D/C Tower from existing Kuseshwarsthan GSS to Benipur GSS (Line length-37 Km), construction of New 132 KV S/C Transmission Line on D/C Tower from 220/132 KV Samastipur GSS to Upcoming Shahpurpatori GSS (Line Length- 31 CKM), LILO of 132 KV S/C of Muzaffarpur –Sitamarhi at Belsand GSS under State Plan on
turnkey basis  </t>
  </si>
  <si>
    <t>01/PR/BSPTCL/2014</t>
  </si>
  <si>
    <t>Construction of  220 KV &amp; 132 KV D/C Transmission line for
evacuation of power from upcoming Motipur GSS</t>
  </si>
  <si>
    <t>15/PR/BSPTCL/2014 (pkg-D)</t>
  </si>
  <si>
    <t>Construction of
(i) 220KV D/C Line from Darbhanga 400/200 KV GSS to Laukahi (new)GSS
(ii) 220KV D/C Line from Laukahi(new) GSS to Supaul (existing)  GSS</t>
  </si>
  <si>
    <t>Construction of  220 KV &amp; 132 KV D/C Transmission line for evacuation of power from upcoming Musahari GSS</t>
  </si>
  <si>
    <t>24/PR/BSPTCL/2014</t>
  </si>
  <si>
    <t xml:space="preserve">Construction of 220 /132 /33 kV
Motipur GSS </t>
  </si>
  <si>
    <t>63/PR/BSPTCL/2014, Package- (A)</t>
  </si>
  <si>
    <t xml:space="preserve">Construction of 132/33kV GSS at Manjhaul , Ballia   and Bakhari </t>
  </si>
  <si>
    <t>92/PR/BSPTCL/2014</t>
  </si>
  <si>
    <t>Construction of  2 x50MVA , 132/33KV GSS Araria, Barsoi, Baisi and Dhamdaha AGAINST NIT 92/2014.</t>
  </si>
  <si>
    <t>63/PR/BSPTCL/2014, Package- (B)</t>
  </si>
  <si>
    <t>Construction of 132/33 KV,  2 x20MVA Nirmali,  2 x 20 MVA,
2 x 20 MVA Banmankhi,  2 x 20 MVA Manihari and 2 x 10 MVA Triveniganj against NIT 63/2014(Package B)</t>
  </si>
  <si>
    <t xml:space="preserve"> ICB No. 23/ Pkg- C-1</t>
  </si>
  <si>
    <t xml:space="preserve">Capacity augmentation of 220/132/33 kV &amp; 132/33 kV Grid Substation  Madhepura, Naugachia,  Vaishali,  Gangwara, Jamui, Ara and Bihta </t>
  </si>
  <si>
    <t>ICB No. 25/ Pkg -E-1</t>
  </si>
  <si>
    <t xml:space="preserve">Procurement and construction of 33 KV line bays in form of Indoor VCB panels at 10 nos. of AIS sub-station under transmission circle, Purnea </t>
  </si>
  <si>
    <t xml:space="preserve"> ICB 26/Pkg-F-1</t>
  </si>
  <si>
    <t>Procurement and construction of 33 KV line bays in form of Indoor VCB panels at 21 nos. of AIS sub-station under transmission circle, Muzaffarpur</t>
  </si>
  <si>
    <t>ICB 29/Pkg-I-1</t>
  </si>
  <si>
    <t xml:space="preserve">Procurement and construction of 33 KV line bays in form of Indoor VCB panels at 08 nos. of AIS sub-station under transmission circle, Biharsharif </t>
  </si>
  <si>
    <t>PSDF</t>
  </si>
  <si>
    <t xml:space="preserve">Renovation &amp; Up gradation of Protection and Control Systems of 220/132KV Grid Substation at Biharsharif, Fatuha, Bodhgaya, Dehri On Sone, Khagaul and 132/33KV Grid Substation Kataiya on turnkey basis </t>
  </si>
  <si>
    <t>ICB 24/Pkg D-1</t>
  </si>
  <si>
    <t xml:space="preserve">Procurement and Construction of 33KV line bays in form of Indoor VCB panels at 06 nos. of AIS Sub-station under Transmission Circle Bhagalpur against </t>
  </si>
  <si>
    <t>ICB No. 28/Package H-1</t>
  </si>
  <si>
    <t>Procurement and Construction of 33KV line bays in form of Indoor VCB panels at 14 nos. of AIS Sub-station under Transmission
Circle DOS</t>
  </si>
  <si>
    <t xml:space="preserve"> ICB 07/ Pkg-I</t>
  </si>
  <si>
    <t>Construction of 132KV  Lines
and 33KV Lines</t>
  </si>
  <si>
    <t>ICB 08/Pkg-J</t>
  </si>
  <si>
    <t xml:space="preserve">Construction of 220KV  Lines </t>
  </si>
  <si>
    <t xml:space="preserve"> ICB 27/Pkg-G-1</t>
  </si>
  <si>
    <t>Procurement and Construction of 33KV line bays in form of Indoor VCB panels at 14 nos. of AIS Sub-station under Trans Circle DOS</t>
  </si>
  <si>
    <t>ICB 30/ Pkg- J-1</t>
  </si>
  <si>
    <t xml:space="preserve">Construction of 33 kV Line Bays in form of Indoor GIS Panel at 11 nos. of AIS Substation under Patna District of BSPTCL on Turnkey Basis. </t>
  </si>
  <si>
    <t>ICB 35 Pkg-O-1</t>
  </si>
  <si>
    <t xml:space="preserve">Supply, Installation, Implementation, Configuration and Integration of ERP system in </t>
  </si>
  <si>
    <t>183/PR/BSPTCL/2013</t>
  </si>
  <si>
    <t>Construction of 220 KV Bihta(new) -Sipara(Patna) D/C transmission line ,220 KV Bihta(new)-Bihta(existing) D/c Transmission line (charged at 132 KV ) and 33 Kv down linking lines from Bihta(new) 220/132/33
KV GSS on tunkey basis.</t>
  </si>
  <si>
    <t>74/PR/BSPTCL/2015</t>
  </si>
  <si>
    <t>Second circuit stringing of existing 04 nos of 132KV Double circuit Single strung transmission line:-
1)  132KV Biharsharif- Ekangarsarai- Hulasganj(Except
LILO point to Ekangarsasari)(48.14CKM) 2)132KV BIharsharif- Nawada(48.89CKM) 3)132KV BIharsharif- Sheikhpura(38.78CKM) 4)132KV Jamui-
sheikhpura(51.9CKM</t>
  </si>
  <si>
    <t>68/PR/BSPTCL/2014</t>
  </si>
  <si>
    <t>Construction of 11 Nos. of line bays at Sherghati -01,Imamganj - 01, Sonenagar-02, Aurangaba-02, Ara-02, Jagdishpur-03 &amp; 1 No. of T/F bay at Sherghati</t>
  </si>
  <si>
    <t>3X50 MVA,132/33 KV  GSS Kerpa</t>
  </si>
  <si>
    <t>12/PR/BSPTCL/2016 Pkg-A</t>
  </si>
  <si>
    <t xml:space="preserve">Construction of LILO line on both circuits of 220 KV Begusarai- Purnea (PG)Transmission line at Khagariya new 220/132/33 KV GSS </t>
  </si>
  <si>
    <t>12/PR/BSPTCL/2016 Pkg-B</t>
  </si>
  <si>
    <t xml:space="preserve">construction of   LILO line on both circuits of 132 KV BTPS- Purnea D/C Transmission line at Khagariya new 220/132/33 KV GSS (CKM-10 KM) </t>
  </si>
  <si>
    <t>Construction of (2x160 + 2x50) MVA, 220/132/33KV Grid Sub-
Station in KHAGARIA (New) under State Plan in between 220KV D/C Purnea (PG) – Begusarai Transmission Line</t>
  </si>
  <si>
    <t>59/PR/BSPTCL/2014</t>
  </si>
  <si>
    <t>Construction of 132KV D/C
Sonenagar (New)-Aurangabad Transmission Line</t>
  </si>
  <si>
    <t>34/PR/BSPTCL/2016</t>
  </si>
  <si>
    <t xml:space="preserve">Replacement of 23 nos. 50 MVA
and 01 no 20 MVA transformer by 24 nos. 132/33 KV, 80   MVA
transformer along with associated bay work in existing GSS of Patna, </t>
  </si>
  <si>
    <t>62/PR/BSPTCL/2013</t>
  </si>
  <si>
    <t>Construction of (2X160 MVA+2X50 MVA),220/132/33
KV GSS at Bihta(Patna) &amp; associated 220,132 &amp; 33 kv bays extension at remote end on turnkey basis,</t>
  </si>
  <si>
    <t>24/PR/BSPTCl/2016</t>
  </si>
  <si>
    <t>Construction of 132 KV D/C Transmission Line between 220/132/33 KV Bihta (New) GSS and 132/33KV Upcoming Paliganj GSS</t>
  </si>
  <si>
    <t>Misc Plant &amp; Machinery</t>
  </si>
  <si>
    <t>Misc Line &amp; cable</t>
  </si>
  <si>
    <t>Misc Civil Work</t>
  </si>
  <si>
    <t>10/PR/BSPTCL/2015</t>
  </si>
  <si>
    <t xml:space="preserve">Being consultancy charge paid to PGCIL for towards construction of 02 nos. 132 KV bays at 400/220 KV GSS Banka (PG) for evacuation of power from 400/220 KV Banka (PG) </t>
  </si>
  <si>
    <t>ICB No. 06/Package M-1</t>
  </si>
  <si>
    <t>Procurement &amp; Construction for  Reconductoring of 132KV Transmission lines on Turnkey Basis under ADB Funded Package M-1.</t>
  </si>
  <si>
    <t>Capex ADB-31.03.19</t>
  </si>
  <si>
    <t>Capitalisation</t>
  </si>
  <si>
    <t>Wip- Tally (Wo-Intt)</t>
  </si>
  <si>
    <t>Balance</t>
  </si>
  <si>
    <t>Addition-18-19</t>
  </si>
  <si>
    <t>Capitalised</t>
  </si>
  <si>
    <t>Loan</t>
  </si>
  <si>
    <t>Equity</t>
  </si>
  <si>
    <t>Capitalization before 18-19</t>
  </si>
  <si>
    <t>Capitalization in 18-19</t>
  </si>
  <si>
    <t>Total Capitalization</t>
  </si>
  <si>
    <t>Additional Capitalization in 18-19</t>
  </si>
  <si>
    <t>Funding</t>
  </si>
  <si>
    <t>TOTAL</t>
  </si>
  <si>
    <t>IDC</t>
  </si>
  <si>
    <t>Amended Project Cost</t>
  </si>
  <si>
    <t>Capitalization before 19-20</t>
  </si>
  <si>
    <t>Capitalization in 19-20</t>
  </si>
  <si>
    <t>Additional Capitalization in 19-20</t>
  </si>
  <si>
    <t>Comment</t>
  </si>
  <si>
    <t>Construction of 132/33KV GSS
Maharajganj- NIT/93/2014.</t>
  </si>
  <si>
    <t>Sr. No.</t>
  </si>
  <si>
    <t>Construction of 132/33KV GSS
Narkatiyaganj - NIT-93/2014</t>
  </si>
  <si>
    <t>Construction of 132/33KV GSS
Hathua NIT-93/2014</t>
  </si>
  <si>
    <t>Construction of 132/33KV GSS
Areraj, NIT-93/2014</t>
  </si>
  <si>
    <t>H1 FY 2019-20</t>
  </si>
  <si>
    <t>Before FY 2018-19</t>
  </si>
  <si>
    <t>Construction of 132/33KV GSS
Siwan-New, 85/2015</t>
  </si>
  <si>
    <t>Construction of Loop In Loop Out arrangement of 132 KV Tx. line Madhepura- Sonebarsa 132 KV S/C Tx.line on D/C Tower at Saharsa Existing (CKM-40KM) under Special Plan of Phase-III against NIT 38/2014.</t>
  </si>
  <si>
    <t>Tarapur</t>
  </si>
  <si>
    <t>R&amp;M of 132/33KV GSS at Kishanganj, Jamalpur and Purnea against  NIT no.
07/PR/BSPTCL/2016</t>
  </si>
  <si>
    <t>Construction of 3X50 MVA, 132/33kV Grid Sub-Station, Jagdishpur (Bhagalpur New) and Korha(Katihar)against  NIT no. 10 /PR/BSPTCL/2016</t>
  </si>
  <si>
    <t>H2 FY 2019-20</t>
  </si>
  <si>
    <t>Capex in FY 2019-20 H2</t>
  </si>
  <si>
    <t>Capex in FY 2019-20 H1</t>
  </si>
  <si>
    <t>Strengthening of 132 KV &amp; 33 KV main bus and transfer bus by double moose &amp;quad moose
respectively of different GSS of BSPTCL</t>
  </si>
  <si>
    <t>Second circuit stringing of Existing 03 Nos. of 132 kV Double Circuit Single Strung Transmission Lines under Transmission Circle, Purnea on Turnkey Basis  against NIT No.
76/PR/BSPTCL/2015</t>
  </si>
  <si>
    <t>construction of two numbers of 132 KV Line bays each at Bettiah (132/33 KV) GSS and Raxaul
(132/33 KV) GSS, NIT-403/2013, VSPL</t>
  </si>
  <si>
    <t>(i) construction of 132 KV S/C transmission lines on D/C Tower from 132/33 KV Dhaka GSS to upcoming Pakridayal GSS
(ii) Construction of New 132 KV S/C Transmission line on D/C Tower from 220/132 KV Motipur GSS to upcoming Chakiya GSS
(iii) LILO of 132 KV S/C of Jainagar-Phulparas Transmission Line at upcoming Jhanjharpur GSS
NIT No 82/PR/BSPTCL/2014</t>
  </si>
  <si>
    <t>Construction of 220 KV Purnea
(PG) – Begusarai  D/C Tx. Line</t>
  </si>
  <si>
    <t>132 KV LILO T/l on one of  the CKT of 132 KV Betia--Dhanha to Ramanagar GSS against NIT No.
22/PR/BSPTCL/2015</t>
  </si>
  <si>
    <t>Construction of  3x50MVA , 132/33KV GSS Raghopur against
NIT 30/PR/BSPTCL/2017.</t>
  </si>
  <si>
    <t>Construction of 02 nos. 132KV line bays each at 132/33KV GSS SKMCH &amp; Sitamarhi under Special Plan/BRGF, Phase- III,Part-I  against NIT No.
07/PR/BSPTCL/2016</t>
  </si>
  <si>
    <t>Construction of New 132 KV S/C Transmission Line on D/C Tower from existing Kuseshwarsthan GSS to Benipur GSS (Line
length-37 Km), construction of New 132 KV S/C Transmission Line on D/C Tower from 220/132 KV Samastipur GSS to Upcoming Shahpurpatori GSS (Line Length- 31 CKM), LILO of 132 KV S/C
of Muzaffarpur –Sitamarhi at Belsand GSS under State Plan on
turnkey basis against NIT No.- 81/PR/BSPTCL/2014</t>
  </si>
  <si>
    <t>Construction of 132/33 KV Grid Sub-station, Belsand (2X10MVA), Shahpur Patori (2X20MVA) and Benipur (2X10MVA), NIT-
62/BSPTCL/2014 Pkg-B under state plan on turnkey basis against NIT No.-62/PR/BSPTCL/2014</t>
  </si>
  <si>
    <t>Construction of  220 KV &amp; 132 KV D/C Transmission line for
evacuation of power from upcoming Motipur GSS, NIT-01/2014, L&amp;T</t>
  </si>
  <si>
    <t>Construction of
(i) 220KV D/C Line from Darbhanga 400/200 KV GSS to to Laukahi (new)GSS
(ii) 220KV D/C Line from Laukahi(new) GSS to Supaul (existing)   Pkg-'D'
GSS, NIT-15/2014 (pkg-D),. L&amp;T</t>
  </si>
  <si>
    <t>Construction of  220 KV &amp; 132 KV D/C Transmission line for evacuation of power from
upcoming Musahari GSS</t>
  </si>
  <si>
    <t>Construction of 132/33kV GSS at Manjhaul , Ballia   and Bakhari against  NIT- 63/PR/BSPTCL/2014, Package- (A)</t>
  </si>
  <si>
    <t>Capacity augmentation of 220/132/33 kV &amp; 132/33 kV Grid Substation  Madhepura,
Naugachia,  Vaishali,  Gangwara, Jamui, Ara and Bihta</t>
  </si>
  <si>
    <t>Procurement and construction of 33 KV line bays in form of Indoor VCB panels at 10 nos. of AIS
sub-station under transmission circle, Purnea</t>
  </si>
  <si>
    <t>Procurement and construction of 33 KV line bays in form of Indoor VCB panels at 21 nos. of AIS
sub-station under transmission circle, Muzaffarpur</t>
  </si>
  <si>
    <t>Procurement and construction of 33 KV line bays in form of Indoor VCB panels at 08 nos. of AIS
sub-station under transmission circle, Biharsharif</t>
  </si>
  <si>
    <t>Construction of 220 KV Bihta(new) -Sipara(Patna) D/C transmission line ,220 KV Bihta(new)-Bihta(existing) D/c Transmission line (charged at 132 KV ) and 33 Kv down linking lines from Bihta(new) 220/132/33</t>
  </si>
  <si>
    <t>Renovation &amp; Up gradation of Protection and Control Systems of 220/132KV Grid Substation at Biharsharif, Fatuha, Bodhgaya, Dehri On Sone, Khagaul and 132/33KV Grid Substation</t>
  </si>
  <si>
    <t>Construction of 08 nos. 132 KV Line bays  each at -Belaganj 01no. , Hulasganj-01 no., Jehanabad -01 no., Tekari-02 no., Ataula-01 no. ,Chandauti-01 no., Nawada-01 no. under Trans.</t>
  </si>
  <si>
    <t>Construction of 11 Nos. of line bays at Sherghati -01,Imamganj - 01, Sonenagar-02, Aurangaba-02, Ara-02, Jagdishpur-03 &amp; 1 No. of T/F bay at Sherghati agaisnt NIT
No.-68/PR/BSPTCL/14</t>
  </si>
  <si>
    <t>Construction of 3x50MVA, 132/33KV GSS Ramgarh (Kaimur dist.) and Warislaiganj (Nawada Dist.) on turnkey basis against NIT No.-
84/PR/BSPTCl/15</t>
  </si>
  <si>
    <t>Procurement and Construction of 33KV line bays in form of Indoor VCB panels at 06 nos. of AIS Sub-station under Transmission Circle Bhagalpur against
24/Package D-1/ BSPTCL/ADB/16</t>
  </si>
  <si>
    <t>Procurement and Construction for Re-conductoring of 06 nos.132KV Transmission lines against 31/Package K-1/
BSPTCL/ADB/16</t>
  </si>
  <si>
    <t>Procurement and Construction for Re-conductoring of 06 nos.132KV Transmission lines against 33/Package M-1/
BSPTCL/ADB/16</t>
  </si>
  <si>
    <t>i)                     LILO of one ckt.
At north of muthani railway station from 132KV D/C Pusouli (New) – Mohania Trans. Line to proposed 3x50 MV Ramgarh GSS (BSPTCL of route length 20Km.
ii) LILO of 132KV Line Biharsharif – Nawada D/C Trans. Line – Warsaliganj (New) GSS of Route length 40Kms.iii) LILO of
one Ckt. Of 132KV Chhapra – Siwan Transmission Line – Siwan (New) GSS near Darauli of route length 45Kms. Turnkey basis under Under State Plan.NIT-83/PR/BSPTCL/2015</t>
  </si>
  <si>
    <t>3X50 MVA,132/33 KV  GSS
Kerpa</t>
  </si>
  <si>
    <t>Construction of 220KV  Lines</t>
  </si>
  <si>
    <t>Construction of 33 kV Line Bays in form of Indoor GIS Panel at 11 nos. of AIS Substation under Patna District of BSPTCL on Turnkey Basis.</t>
  </si>
  <si>
    <t>Supply, Installation, Implementation, Configuration and Integration of ERP system</t>
  </si>
  <si>
    <t>Construction of LILO line on both circuits of 220 KV Begusarai- Purnea (PG)Transmission line at Khagariya new 220/132/33 KV GSS against NIT 12/PR/BSPTCL/2016 Pkg-A
under state plan</t>
  </si>
  <si>
    <t>construction of   LILO line on both circuits of 132 KV BTPS- Purnea D/C Transmission line at Khagariya new 220/132/33 KV GSS (CKM-10 KM)  against NIT 12/PR/BSPTCL/2016 Pkg-B
under state plan</t>
  </si>
  <si>
    <t>Construction of (2x160 + 2x50) MVA, 220/132/33KV Grid Sub-
Station in KHAGARIA (New) under State Plan in between 220KV D/C Purnea (PG) – Begusarai Transmission Line. Nit-41/2015</t>
  </si>
  <si>
    <t>construction of 132/33 KV 3x50
MVA Jamui and Banka GSS against NIT 86/PR/BSPTCL/2015</t>
  </si>
  <si>
    <t>Construction of 132 KV Transmission Lines required for the connectivity of power to upcoming new 132/33 KV Grid Sub Stations at Korha (Distt- Katihar),Nathnagar (Distt.- Bhagalpur) and Jamui(new) on turnkey basis under State Plan
(R.L.=190 CKM) against NIT No.-87/PR/BSPTCL/2015</t>
  </si>
  <si>
    <t>Construction of 132KV D/C
Sonenagar (New)-Aurangabad Transmission Line.NIT-59/2014</t>
  </si>
  <si>
    <t>Construction of 132KV D/C Ara-
Jagdishpur Transmission Line., NIT-59/PR/BSPTCL/2014, PKG-C</t>
  </si>
  <si>
    <t>Work of construction of 06 nos. of 132 KV D/C towers from Ara (PG) to tower loc. No. 1 with ACSR Panther Conductor for connectivity of 2nd circuit of 132 KV D/C Ara (PG)- Jagdishpur
Transmission line on turnkey basis.</t>
  </si>
  <si>
    <t>Replacement of 23 nos. 50 MVA
and 01 no 20 MVA transformer by 24 nos. 132/33 KV, 80   MVA
transformer along with associated bay work in existing GSS of Patna, nit-34/PR/BSPTCL/2016</t>
  </si>
  <si>
    <t>Construction of (2X160 MVA+2X50 MVA),220/132/33
KV GSS at Bihta(Patna) &amp; associated 220,132 &amp; 33 kv bays extension at remote end on turnkey basis, NIT-62/PR/BSPTCL/2013</t>
  </si>
  <si>
    <t>Construction of 132 KV D/C Transmission Line between 220/132/33 KV Bihta (New) GSS and 132/33KV Upcoming
Paliganj GSS NIT No.- 24/PR/BSPTCl/2016</t>
  </si>
  <si>
    <t>*Capitalization is slightly higher than project cost in few cases due to inclusion of Entry Tax</t>
  </si>
  <si>
    <t>** Capitalization does not include land cost and has been seperately considered</t>
  </si>
  <si>
    <t>Cost of Project as per DPR</t>
  </si>
  <si>
    <t>FY 2019-20</t>
  </si>
  <si>
    <t>FY 2020-21</t>
  </si>
  <si>
    <t>Probable Month of Commissioning</t>
  </si>
  <si>
    <t xml:space="preserve">Capitalized in </t>
  </si>
  <si>
    <t>Debt</t>
  </si>
  <si>
    <t>Grant</t>
  </si>
  <si>
    <t>IDC (19-20)</t>
  </si>
  <si>
    <t>IDC (20-21)</t>
  </si>
  <si>
    <t>NOA issued on 21.01.2019</t>
  </si>
  <si>
    <t>Construction of 132/33KV (2X50 MVA) GSS at Palasi (Dist. Araria) on turnkey basis. NIT No.-37/PR/BSPTCL/18</t>
  </si>
  <si>
    <t>Construction of 220/132/33 KV (2X160+3x50MVA) GSS at Garaul (Dist. Vaishali) on turnkey basis NIT No 39/PR/BSPTCL/2018.</t>
  </si>
  <si>
    <t>1. Construction of 220kV D/c Pusauli (PG)- Sahpuri LILO Karmnasha (new) Transmission line with single moose (Line length-12 Ckm) on turnkey basis. 2. Construction of 220kV D/c Pusauli (BSPTCL)- Karmnasha (New) Transmission Line with twin moose (Line length - 80 Ckm) on turnkey basis NIT No.-56/PR/BSPTCL/2018</t>
  </si>
  <si>
    <t>Construction of 220 KV D/C Saharsa( New)- Khagaria(New) Transmission line with ACSR Zebra Conductor (Approx Route Length-80KM) under State Plan against NIT No. 57/PR/BSPTCL/2018</t>
  </si>
  <si>
    <t>Construction of 132Kv D/C Karmnasa (new)-Ramgarh Tr Line on single mooze. 2. Construction of 132KV D/c Karmnasa (new)-Karmnasa Tr line on single mooze.NIT No.-55/PR/BSPTCl/2018</t>
  </si>
  <si>
    <t>Construction of following Transmission lines on Turnkey basis: i) 220 KV D/C Muzaffarpur(PG)-Garaul Transmission Line with ACSR Zebra Conductor (Line Length-20 RKM) ii) 132 KV D/C Garaul-MahnarTransmission Line with ACSR Panther Conductor (Line Length- 45 RKM) iii) LILO of both circuit of 132 KV D/C Muzaffarpur-vaishali Transmission Line at Garaul GSS with ACSR Panther Conductor (Line Length- 2x15 RKM) iv) 132 KV D/C Transmission line from GSS Chhapra(New)-Ekma with ACSR Panther Conductor (Line Length - 45 RKM) NIT No- 50/PR/BSPTCL/2018.</t>
  </si>
  <si>
    <t>Construction of 220 KV D/C Saharsa(New)- Begusarai Transmission line with ACSR Zebra Conductor (Approx Route Length-100KM) under State Plan against NIT No. 54/PR/BSPTCL/2018.</t>
  </si>
  <si>
    <t>Construction of LILO of 132 KV DCSS Benipatti - Pupari Transmission line at Sitamarhi (new) and LILO of both ckt. of 132 KV Raxaul - Bettiah D/C Transmission line at Raxaul (new) with ACSR Panther Conductor. NIT No.-71/PR/BSPTCL/2018</t>
  </si>
  <si>
    <t>Capacity augmentation of different GSS by Addition /Replacement by 200 MVA Power Transformer alongwith associated bays on Turnkey Basis at GSS Khagaul &amp; Sipara NIT No.-49/PR/BSPTCL2018</t>
  </si>
  <si>
    <t>Construction of (2x50) MVA, 132/33 KV GSS Paliganj (Dist.- Patna) and 02 Nos. 132 KV Line Bay Extension at remote end on turnkey basis NIT No.-03/PR/BSPTCL/2018</t>
  </si>
  <si>
    <t>Construction of 220/132/33 KV (2x200 MVA + 3x50MVA) GSS Karmnasha (new) NIT No.-38/PR/BSPTCL/2018</t>
  </si>
  <si>
    <t>Name of Scheme</t>
  </si>
  <si>
    <t>NOA date</t>
  </si>
  <si>
    <t>Cost of Land</t>
  </si>
  <si>
    <t>FY 2018-19</t>
  </si>
  <si>
    <t>NOA issued on 03.10.2018</t>
  </si>
  <si>
    <t>Awarded Cost/ Revised Cost</t>
  </si>
  <si>
    <t>Add Cap</t>
  </si>
  <si>
    <t>Ongoing</t>
  </si>
  <si>
    <t>Upcoming</t>
  </si>
  <si>
    <t>IDC (Ongoing)</t>
  </si>
  <si>
    <t>IDC (Upcoming)</t>
  </si>
  <si>
    <t>Total</t>
  </si>
  <si>
    <t>Total Capex</t>
  </si>
  <si>
    <t>Previous Year Capitalization</t>
  </si>
  <si>
    <t>IDC during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</si>
</sst>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 Light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mbria"/>
      <family val="1"/>
    </font>
    <font>
      <sz val="10"/>
      <name val="Calibri"/>
      <family val="2"/>
      <scheme val="minor"/>
    </font>
    <font>
      <sz val="11"/>
      <name val="Cambria"/>
      <family val="1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rgb="FF00B050"/>
      <name val="Calibri Light"/>
      <family val="2"/>
      <scheme val="major"/>
    </font>
    <font>
      <sz val="11"/>
      <color rgb="FF0070C0"/>
      <name val="Calibri Light"/>
      <family val="2"/>
      <scheme val="major"/>
    </font>
    <font>
      <i/>
      <sz val="1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/>
    <xf numFmtId="43" fontId="4" fillId="0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43" fontId="4" fillId="0" borderId="0" xfId="0" applyNumberFormat="1" applyFont="1" applyFill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3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3" fontId="4" fillId="0" borderId="0" xfId="0" applyNumberFormat="1" applyFont="1" applyFill="1" applyAlignment="1">
      <alignment horizontal="center" vertical="center"/>
    </xf>
    <xf numFmtId="0" fontId="4" fillId="2" borderId="1" xfId="0" applyFont="1" applyFill="1" applyBorder="1"/>
    <xf numFmtId="0" fontId="4" fillId="0" borderId="0" xfId="0" applyFont="1" applyFill="1" applyAlignment="1">
      <alignment horizontal="center"/>
    </xf>
    <xf numFmtId="43" fontId="4" fillId="0" borderId="0" xfId="1" applyFont="1" applyFill="1"/>
    <xf numFmtId="9" fontId="4" fillId="0" borderId="0" xfId="2" applyFont="1" applyFill="1"/>
    <xf numFmtId="43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3" fontId="4" fillId="3" borderId="1" xfId="0" applyNumberFormat="1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/>
    </xf>
    <xf numFmtId="43" fontId="4" fillId="4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43" fontId="4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9" fillId="0" borderId="0" xfId="0" applyFont="1"/>
    <xf numFmtId="0" fontId="10" fillId="0" borderId="1" xfId="0" applyFont="1" applyFill="1" applyBorder="1" applyAlignment="1">
      <alignment vertical="center" wrapText="1"/>
    </xf>
    <xf numFmtId="43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43" fontId="9" fillId="0" borderId="1" xfId="1" applyFont="1" applyFill="1" applyBorder="1" applyAlignment="1">
      <alignment vertical="center"/>
    </xf>
    <xf numFmtId="0" fontId="11" fillId="0" borderId="1" xfId="0" applyFont="1" applyFill="1" applyBorder="1"/>
    <xf numFmtId="0" fontId="12" fillId="0" borderId="1" xfId="0" applyFont="1" applyBorder="1"/>
    <xf numFmtId="43" fontId="12" fillId="0" borderId="1" xfId="0" applyNumberFormat="1" applyFont="1" applyBorder="1"/>
    <xf numFmtId="43" fontId="12" fillId="0" borderId="1" xfId="1" applyFont="1" applyBorder="1"/>
    <xf numFmtId="0" fontId="10" fillId="0" borderId="0" xfId="0" applyFont="1" applyFill="1"/>
    <xf numFmtId="9" fontId="9" fillId="0" borderId="0" xfId="2" applyFont="1"/>
    <xf numFmtId="0" fontId="10" fillId="0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43" fontId="13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wrapText="1"/>
    </xf>
    <xf numFmtId="43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wrapText="1"/>
    </xf>
    <xf numFmtId="0" fontId="14" fillId="0" borderId="1" xfId="0" applyFont="1" applyFill="1" applyBorder="1" applyAlignment="1">
      <alignment vertical="center" wrapText="1"/>
    </xf>
    <xf numFmtId="43" fontId="10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3" fontId="10" fillId="0" borderId="1" xfId="1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43" fontId="9" fillId="0" borderId="4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3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43" fontId="15" fillId="0" borderId="1" xfId="1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5" fillId="0" borderId="0" xfId="0" applyFont="1"/>
    <xf numFmtId="0" fontId="10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vertical="center" wrapText="1"/>
    </xf>
    <xf numFmtId="43" fontId="15" fillId="0" borderId="4" xfId="0" applyNumberFormat="1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6" fillId="0" borderId="0" xfId="0" applyFont="1" applyFill="1"/>
    <xf numFmtId="9" fontId="10" fillId="0" borderId="0" xfId="2" applyFont="1" applyFill="1"/>
    <xf numFmtId="9" fontId="9" fillId="0" borderId="0" xfId="2" applyNumberFormat="1" applyFont="1"/>
    <xf numFmtId="0" fontId="0" fillId="5" borderId="1" xfId="0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vertical="center"/>
    </xf>
    <xf numFmtId="2" fontId="9" fillId="0" borderId="0" xfId="0" applyNumberFormat="1" applyFont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/>
    <xf numFmtId="43" fontId="9" fillId="0" borderId="0" xfId="0" applyNumberFormat="1" applyFont="1"/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vertical="center" wrapText="1"/>
    </xf>
    <xf numFmtId="2" fontId="9" fillId="0" borderId="0" xfId="0" applyNumberFormat="1" applyFont="1" applyBorder="1" applyAlignment="1">
      <alignment horizontal="center" vertical="center" wrapText="1"/>
    </xf>
    <xf numFmtId="17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43" fontId="9" fillId="0" borderId="0" xfId="1" applyFont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6" borderId="0" xfId="0" applyFont="1" applyFill="1"/>
    <xf numFmtId="0" fontId="9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17" fontId="9" fillId="6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/>
    <xf numFmtId="43" fontId="9" fillId="6" borderId="1" xfId="1" applyFont="1" applyFill="1" applyBorder="1" applyAlignment="1">
      <alignment vertical="center"/>
    </xf>
    <xf numFmtId="43" fontId="10" fillId="0" borderId="4" xfId="0" applyNumberFormat="1" applyFont="1" applyBorder="1" applyAlignment="1">
      <alignment vertical="center"/>
    </xf>
    <xf numFmtId="43" fontId="9" fillId="0" borderId="4" xfId="1" applyFont="1" applyBorder="1" applyAlignment="1">
      <alignment vertical="center"/>
    </xf>
    <xf numFmtId="43" fontId="10" fillId="0" borderId="3" xfId="0" applyNumberFormat="1" applyFont="1" applyBorder="1" applyAlignment="1">
      <alignment vertical="center"/>
    </xf>
    <xf numFmtId="43" fontId="9" fillId="7" borderId="1" xfId="0" applyNumberFormat="1" applyFont="1" applyFill="1" applyBorder="1" applyAlignment="1">
      <alignment vertical="center"/>
    </xf>
    <xf numFmtId="43" fontId="15" fillId="0" borderId="9" xfId="0" applyNumberFormat="1" applyFont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43" fontId="9" fillId="0" borderId="0" xfId="1" applyFont="1" applyBorder="1" applyAlignment="1">
      <alignment horizontal="center" vertical="center" wrapText="1"/>
    </xf>
    <xf numFmtId="43" fontId="9" fillId="0" borderId="1" xfId="0" applyNumberFormat="1" applyFont="1" applyBorder="1"/>
    <xf numFmtId="0" fontId="9" fillId="8" borderId="1" xfId="0" applyFont="1" applyFill="1" applyBorder="1"/>
    <xf numFmtId="43" fontId="9" fillId="8" borderId="1" xfId="0" applyNumberFormat="1" applyFont="1" applyFill="1" applyBorder="1" applyAlignment="1">
      <alignment vertical="center"/>
    </xf>
    <xf numFmtId="43" fontId="9" fillId="8" borderId="0" xfId="0" applyNumberFormat="1" applyFont="1" applyFill="1"/>
    <xf numFmtId="43" fontId="9" fillId="8" borderId="9" xfId="0" applyNumberFormat="1" applyFont="1" applyFill="1" applyBorder="1" applyAlignment="1">
      <alignment vertical="center"/>
    </xf>
    <xf numFmtId="43" fontId="9" fillId="0" borderId="1" xfId="0" applyNumberFormat="1" applyFont="1" applyFill="1" applyBorder="1" applyAlignment="1">
      <alignment vertical="center"/>
    </xf>
    <xf numFmtId="0" fontId="9" fillId="0" borderId="0" xfId="0" applyFont="1" applyFill="1"/>
    <xf numFmtId="0" fontId="9" fillId="0" borderId="4" xfId="0" applyFont="1" applyFill="1" applyBorder="1" applyAlignment="1">
      <alignment horizontal="center" vertical="center"/>
    </xf>
    <xf numFmtId="43" fontId="9" fillId="0" borderId="4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vertical="center"/>
    </xf>
    <xf numFmtId="43" fontId="9" fillId="0" borderId="4" xfId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43" fontId="9" fillId="0" borderId="1" xfId="0" applyNumberFormat="1" applyFont="1" applyFill="1" applyBorder="1"/>
    <xf numFmtId="0" fontId="9" fillId="6" borderId="4" xfId="0" applyFont="1" applyFill="1" applyBorder="1" applyAlignment="1">
      <alignment wrapText="1"/>
    </xf>
    <xf numFmtId="0" fontId="9" fillId="6" borderId="4" xfId="0" applyFont="1" applyFill="1" applyBorder="1" applyAlignment="1">
      <alignment vertical="center" wrapText="1"/>
    </xf>
    <xf numFmtId="2" fontId="9" fillId="6" borderId="4" xfId="0" applyNumberFormat="1" applyFont="1" applyFill="1" applyBorder="1" applyAlignment="1">
      <alignment horizontal="center" vertical="center" wrapText="1"/>
    </xf>
    <xf numFmtId="17" fontId="9" fillId="6" borderId="4" xfId="0" applyNumberFormat="1" applyFont="1" applyFill="1" applyBorder="1" applyAlignment="1">
      <alignment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4" xfId="0" applyFont="1" applyFill="1" applyBorder="1"/>
    <xf numFmtId="43" fontId="9" fillId="6" borderId="4" xfId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/>
    <xf numFmtId="43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3" fontId="9" fillId="0" borderId="0" xfId="0" applyNumberFormat="1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3" fontId="4" fillId="0" borderId="2" xfId="0" applyNumberFormat="1" applyFont="1" applyFill="1" applyBorder="1" applyAlignment="1">
      <alignment horizontal="center" vertical="center"/>
    </xf>
    <xf numFmtId="43" fontId="4" fillId="0" borderId="3" xfId="0" applyNumberFormat="1" applyFont="1" applyFill="1" applyBorder="1" applyAlignment="1">
      <alignment horizontal="center" vertical="center"/>
    </xf>
    <xf numFmtId="43" fontId="4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right" vertical="center" wrapText="1"/>
    </xf>
    <xf numFmtId="2" fontId="9" fillId="0" borderId="3" xfId="0" applyNumberFormat="1" applyFont="1" applyFill="1" applyBorder="1" applyAlignment="1">
      <alignment horizontal="right" vertical="center" wrapText="1"/>
    </xf>
    <xf numFmtId="2" fontId="9" fillId="0" borderId="4" xfId="0" applyNumberFormat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penditure%2012th%20Plan%2019-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1%20and%20P2/BERC%20Directive__24.06.19%20P-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ummary%20Capitalization%20Annexu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1%20and%20P2/BERC%20directive-%20P-I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ummary%20Capitalization%20Annexure_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Actual%20Exp%20for%20New%20Project.xl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ssignments/BSPTCL/BSPTCL%2020-21/Capex/Capitalization/P1/P-I%20project-%20BERC%20-%20upcomin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ssignments/BSPTCL/BSPTCL%2020-21/Capex/Capitalization/P2/P-II%20project-%20BERC%20-%20upcom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>
        <row r="3">
          <cell r="I3">
            <v>0.63</v>
          </cell>
        </row>
        <row r="10">
          <cell r="G10">
            <v>25.53</v>
          </cell>
          <cell r="H10">
            <v>23.77</v>
          </cell>
          <cell r="I10">
            <v>0.86</v>
          </cell>
        </row>
        <row r="12">
          <cell r="G12">
            <v>78.88</v>
          </cell>
          <cell r="H12">
            <v>83.28</v>
          </cell>
          <cell r="I12">
            <v>0.13</v>
          </cell>
        </row>
        <row r="14">
          <cell r="G14">
            <v>105.07</v>
          </cell>
          <cell r="H14">
            <v>104.7</v>
          </cell>
          <cell r="I14">
            <v>4.1500000000000004</v>
          </cell>
        </row>
        <row r="15">
          <cell r="G15">
            <v>30.97</v>
          </cell>
          <cell r="H15">
            <v>31.02</v>
          </cell>
          <cell r="I15">
            <v>1.47</v>
          </cell>
        </row>
        <row r="23">
          <cell r="G23">
            <v>48.16</v>
          </cell>
          <cell r="H23">
            <v>50.05</v>
          </cell>
        </row>
        <row r="29">
          <cell r="G29">
            <v>122.36</v>
          </cell>
          <cell r="H29">
            <v>119.72</v>
          </cell>
        </row>
        <row r="31">
          <cell r="G31">
            <v>32.299999999999997</v>
          </cell>
          <cell r="H31">
            <v>29.2</v>
          </cell>
          <cell r="I31">
            <v>0.77</v>
          </cell>
        </row>
        <row r="35">
          <cell r="G35">
            <v>7.02</v>
          </cell>
          <cell r="H35">
            <v>6.75</v>
          </cell>
        </row>
        <row r="36">
          <cell r="I36">
            <v>0.8</v>
          </cell>
        </row>
        <row r="37">
          <cell r="I37">
            <v>5.42</v>
          </cell>
        </row>
        <row r="39">
          <cell r="I39">
            <v>1.35</v>
          </cell>
        </row>
        <row r="41">
          <cell r="G41">
            <v>123.09</v>
          </cell>
          <cell r="H41">
            <v>112.46</v>
          </cell>
          <cell r="I41"/>
        </row>
        <row r="44">
          <cell r="I44">
            <v>1.82</v>
          </cell>
        </row>
        <row r="48">
          <cell r="H48">
            <v>32.78</v>
          </cell>
          <cell r="I48">
            <v>2.37</v>
          </cell>
        </row>
        <row r="49">
          <cell r="H49">
            <v>72.12</v>
          </cell>
          <cell r="I49">
            <v>7.03</v>
          </cell>
        </row>
        <row r="50">
          <cell r="H50">
            <v>31.82</v>
          </cell>
          <cell r="I50">
            <v>5.71</v>
          </cell>
        </row>
        <row r="51">
          <cell r="H51">
            <v>75.8</v>
          </cell>
        </row>
        <row r="52">
          <cell r="G52">
            <v>65.67</v>
          </cell>
        </row>
        <row r="53">
          <cell r="H53">
            <v>21.1</v>
          </cell>
          <cell r="I53">
            <v>0.48</v>
          </cell>
        </row>
        <row r="59">
          <cell r="G59">
            <v>23.38</v>
          </cell>
          <cell r="H59">
            <v>21.59</v>
          </cell>
          <cell r="I59">
            <v>1.52</v>
          </cell>
        </row>
        <row r="60">
          <cell r="G60">
            <v>44.39</v>
          </cell>
          <cell r="H60">
            <v>41.67</v>
          </cell>
        </row>
        <row r="61">
          <cell r="G61">
            <v>41.32</v>
          </cell>
          <cell r="H61">
            <v>38.76</v>
          </cell>
          <cell r="I61">
            <v>0.53</v>
          </cell>
        </row>
        <row r="62">
          <cell r="G62">
            <v>36.909999999999997</v>
          </cell>
          <cell r="H62">
            <v>36.75</v>
          </cell>
          <cell r="I62">
            <v>0.13</v>
          </cell>
        </row>
        <row r="64">
          <cell r="G64">
            <v>81.06</v>
          </cell>
          <cell r="H64">
            <v>39.49</v>
          </cell>
          <cell r="I64">
            <v>24.89</v>
          </cell>
        </row>
        <row r="65">
          <cell r="G65">
            <v>41.52</v>
          </cell>
          <cell r="H65">
            <v>22.22</v>
          </cell>
          <cell r="I65">
            <v>0.8</v>
          </cell>
        </row>
        <row r="66">
          <cell r="G66">
            <v>46.84</v>
          </cell>
          <cell r="H66">
            <v>40.700000000000003</v>
          </cell>
          <cell r="I66">
            <v>3.38</v>
          </cell>
        </row>
        <row r="67">
          <cell r="G67">
            <v>75.459999999999994</v>
          </cell>
          <cell r="H67">
            <v>70.5</v>
          </cell>
          <cell r="I67">
            <v>4.45</v>
          </cell>
        </row>
        <row r="68">
          <cell r="G68">
            <v>35.549999999999997</v>
          </cell>
          <cell r="H68">
            <v>34.549999999999997</v>
          </cell>
          <cell r="I68">
            <v>0.56999999999999995</v>
          </cell>
        </row>
        <row r="70">
          <cell r="H70">
            <v>9.02</v>
          </cell>
          <cell r="I70">
            <v>0.31</v>
          </cell>
        </row>
        <row r="71">
          <cell r="G71">
            <v>10.25</v>
          </cell>
          <cell r="H71">
            <v>8</v>
          </cell>
          <cell r="I71">
            <v>0</v>
          </cell>
        </row>
        <row r="73">
          <cell r="G73">
            <v>54.25</v>
          </cell>
          <cell r="H73">
            <v>48.9</v>
          </cell>
          <cell r="I73">
            <v>4.6500000000000004</v>
          </cell>
        </row>
        <row r="78">
          <cell r="H78">
            <v>86.16</v>
          </cell>
          <cell r="I78">
            <v>23.45</v>
          </cell>
        </row>
        <row r="79">
          <cell r="G79">
            <v>62.56</v>
          </cell>
          <cell r="H79">
            <v>24.44</v>
          </cell>
          <cell r="I79">
            <v>9.9700000000000006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</sheetNames>
    <sheetDataSet>
      <sheetData sheetId="0">
        <row r="36">
          <cell r="J36">
            <v>22.31</v>
          </cell>
        </row>
        <row r="37">
          <cell r="J37">
            <v>38.51</v>
          </cell>
        </row>
        <row r="39">
          <cell r="J39">
            <v>81.19</v>
          </cell>
        </row>
        <row r="41">
          <cell r="J41">
            <v>87.26</v>
          </cell>
        </row>
        <row r="44">
          <cell r="J44">
            <v>41.03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ization 18-19"/>
      <sheetName val="Summary Sheet 18-19"/>
      <sheetName val="Capitalization 19-20"/>
      <sheetName val="Capitalization 20-21"/>
    </sheetNames>
    <sheetDataSet>
      <sheetData sheetId="0"/>
      <sheetData sheetId="1"/>
      <sheetData sheetId="2">
        <row r="14">
          <cell r="G14">
            <v>0.5</v>
          </cell>
          <cell r="H14">
            <v>0.74999999999999989</v>
          </cell>
        </row>
        <row r="19">
          <cell r="G19">
            <v>6.4399999999999977</v>
          </cell>
          <cell r="H19">
            <v>6.3</v>
          </cell>
        </row>
        <row r="20">
          <cell r="G20">
            <v>10.370000000000005</v>
          </cell>
          <cell r="H20">
            <v>0</v>
          </cell>
        </row>
        <row r="21">
          <cell r="G21">
            <v>1.7800000000000011</v>
          </cell>
          <cell r="H21">
            <v>0</v>
          </cell>
        </row>
        <row r="33">
          <cell r="G33">
            <v>16.440000000000001</v>
          </cell>
          <cell r="H33">
            <v>2.8</v>
          </cell>
        </row>
        <row r="43">
          <cell r="G43">
            <v>6.2799999999999869</v>
          </cell>
          <cell r="H43">
            <v>2.0099999999999998</v>
          </cell>
        </row>
        <row r="50">
          <cell r="G50">
            <v>2.3399999999999954</v>
          </cell>
          <cell r="H50">
            <v>1.97</v>
          </cell>
        </row>
        <row r="51">
          <cell r="H51">
            <v>2.37</v>
          </cell>
        </row>
        <row r="52">
          <cell r="H52">
            <v>7.03</v>
          </cell>
        </row>
        <row r="53">
          <cell r="H53">
            <v>5.71</v>
          </cell>
        </row>
        <row r="55">
          <cell r="G55">
            <v>8.5799999999999983</v>
          </cell>
          <cell r="H55"/>
        </row>
        <row r="57">
          <cell r="G57">
            <v>0.92999999999999972</v>
          </cell>
          <cell r="H57"/>
        </row>
        <row r="59">
          <cell r="G59">
            <v>0.61000000000000099</v>
          </cell>
          <cell r="H59">
            <v>0.51</v>
          </cell>
        </row>
        <row r="61">
          <cell r="G61">
            <v>2.7200000000000095</v>
          </cell>
          <cell r="H61">
            <v>1.66</v>
          </cell>
        </row>
        <row r="66">
          <cell r="G66">
            <v>13.879999999999999</v>
          </cell>
          <cell r="H66">
            <v>7.69</v>
          </cell>
        </row>
        <row r="72">
          <cell r="G72">
            <v>5.75</v>
          </cell>
          <cell r="H72">
            <v>8.34</v>
          </cell>
        </row>
        <row r="75">
          <cell r="G75">
            <v>9.8700000000000045</v>
          </cell>
          <cell r="H75">
            <v>39.11</v>
          </cell>
        </row>
        <row r="77">
          <cell r="G77">
            <v>22.889999999999993</v>
          </cell>
          <cell r="H77">
            <v>4.92</v>
          </cell>
        </row>
        <row r="78">
          <cell r="H78">
            <v>0.49</v>
          </cell>
        </row>
        <row r="81">
          <cell r="G81"/>
          <cell r="H81">
            <v>23.45</v>
          </cell>
        </row>
        <row r="83">
          <cell r="G83">
            <v>5.0499999999999989</v>
          </cell>
          <cell r="H83">
            <v>1.25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PCC issue"/>
      <sheetName val="time extension"/>
    </sheetNames>
    <sheetDataSet>
      <sheetData sheetId="0">
        <row r="8">
          <cell r="F8">
            <v>20.34</v>
          </cell>
        </row>
        <row r="15">
          <cell r="J15">
            <v>35.33</v>
          </cell>
        </row>
        <row r="16">
          <cell r="J16">
            <v>33.44</v>
          </cell>
        </row>
        <row r="23">
          <cell r="J23">
            <v>33.979999999999997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ization 18-19"/>
      <sheetName val="Summary Sheet 18-19"/>
      <sheetName val="Capitalization 19-20"/>
      <sheetName val="Capitalization 20-21"/>
    </sheetNames>
    <sheetDataSet>
      <sheetData sheetId="0"/>
      <sheetData sheetId="1"/>
      <sheetData sheetId="2">
        <row r="29">
          <cell r="H29">
            <v>24.89</v>
          </cell>
        </row>
        <row r="30">
          <cell r="H30">
            <v>0.8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2"/>
    </sheetNames>
    <sheetDataSet>
      <sheetData sheetId="0">
        <row r="7">
          <cell r="E7">
            <v>12</v>
          </cell>
          <cell r="G7">
            <v>0</v>
          </cell>
        </row>
        <row r="8">
          <cell r="E8">
            <v>37.5</v>
          </cell>
          <cell r="G8">
            <v>0</v>
          </cell>
        </row>
        <row r="54">
          <cell r="E54">
            <v>2</v>
          </cell>
        </row>
        <row r="56">
          <cell r="E56">
            <v>9.6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"/>
      <sheetName val="to be added"/>
    </sheetNames>
    <sheetDataSet>
      <sheetData sheetId="0">
        <row r="28">
          <cell r="F28">
            <v>86.6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"/>
      <sheetName val="to be added"/>
    </sheetNames>
    <sheetDataSet>
      <sheetData sheetId="0">
        <row r="7">
          <cell r="F7">
            <v>65.41</v>
          </cell>
        </row>
        <row r="13">
          <cell r="F13">
            <v>34.74</v>
          </cell>
        </row>
        <row r="17">
          <cell r="F17">
            <v>24.74</v>
          </cell>
        </row>
        <row r="18">
          <cell r="F18">
            <v>75.22</v>
          </cell>
        </row>
        <row r="19">
          <cell r="F19">
            <v>86.67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V16501" id="{DC45F7EE-43C7-4A6D-8DF8-3D84B2BE23CD}" userId="V16501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37228-A974-4895-AFA5-A740DF79BE56}">
  <dimension ref="A2:S177"/>
  <sheetViews>
    <sheetView workbookViewId="0">
      <selection activeCell="F170" sqref="F170:F173"/>
    </sheetView>
  </sheetViews>
  <sheetFormatPr defaultColWidth="10.5703125" defaultRowHeight="15" x14ac:dyDescent="0.25"/>
  <cols>
    <col min="1" max="1" width="10.85546875" style="2" customWidth="1"/>
    <col min="2" max="2" width="10.5703125" style="22"/>
    <col min="3" max="3" width="30.140625" style="2" customWidth="1"/>
    <col min="4" max="4" width="19.28515625" style="2" customWidth="1"/>
    <col min="5" max="16384" width="10.5703125" style="2"/>
  </cols>
  <sheetData>
    <row r="2" spans="1:12" s="1" customFormat="1" ht="25.5" customHeight="1" x14ac:dyDescent="0.25">
      <c r="A2" s="146" t="s">
        <v>0</v>
      </c>
      <c r="B2" s="146" t="s">
        <v>1</v>
      </c>
      <c r="C2" s="146" t="s">
        <v>2</v>
      </c>
      <c r="D2" s="146" t="s">
        <v>3</v>
      </c>
      <c r="E2" s="147" t="s">
        <v>4</v>
      </c>
      <c r="F2" s="147"/>
      <c r="G2" s="146" t="s">
        <v>5</v>
      </c>
      <c r="H2" s="146"/>
      <c r="I2" s="35"/>
      <c r="J2" s="35"/>
      <c r="K2" s="146" t="s">
        <v>6</v>
      </c>
      <c r="L2" s="146"/>
    </row>
    <row r="3" spans="1:12" x14ac:dyDescent="0.25">
      <c r="A3" s="146"/>
      <c r="B3" s="146"/>
      <c r="C3" s="146"/>
      <c r="D3" s="146"/>
      <c r="E3" s="146" t="s">
        <v>7</v>
      </c>
      <c r="F3" s="146" t="s">
        <v>8</v>
      </c>
      <c r="G3" s="146" t="s">
        <v>9</v>
      </c>
      <c r="H3" s="146" t="s">
        <v>10</v>
      </c>
      <c r="I3" s="148" t="s">
        <v>11</v>
      </c>
      <c r="J3" s="148"/>
      <c r="K3" s="149" t="s">
        <v>9</v>
      </c>
      <c r="L3" s="146" t="s">
        <v>12</v>
      </c>
    </row>
    <row r="4" spans="1:12" ht="43.5" customHeight="1" x14ac:dyDescent="0.25">
      <c r="A4" s="146"/>
      <c r="B4" s="146"/>
      <c r="C4" s="146"/>
      <c r="D4" s="146"/>
      <c r="E4" s="146"/>
      <c r="F4" s="146"/>
      <c r="G4" s="146"/>
      <c r="H4" s="146"/>
      <c r="I4" s="3" t="s">
        <v>9</v>
      </c>
      <c r="J4" s="3" t="s">
        <v>12</v>
      </c>
      <c r="K4" s="149"/>
      <c r="L4" s="146"/>
    </row>
    <row r="5" spans="1:12" s="26" customFormat="1" ht="18.75" customHeight="1" x14ac:dyDescent="0.25">
      <c r="A5" s="150" t="s">
        <v>13</v>
      </c>
      <c r="B5" s="151" t="s">
        <v>14</v>
      </c>
      <c r="C5" s="152" t="s">
        <v>15</v>
      </c>
      <c r="D5" s="12" t="s">
        <v>16</v>
      </c>
      <c r="E5" s="155">
        <v>63.84</v>
      </c>
      <c r="F5" s="5">
        <f t="shared" ref="F5:F37" si="0">+G5+H5+J5</f>
        <v>21.680000000000003</v>
      </c>
      <c r="G5" s="5">
        <v>0</v>
      </c>
      <c r="H5" s="5">
        <v>19.920000000000002</v>
      </c>
      <c r="I5" s="5">
        <f t="shared" ref="I5:I16" si="1">+J5+H5</f>
        <v>21.680000000000003</v>
      </c>
      <c r="J5" s="25">
        <v>1.76</v>
      </c>
      <c r="K5" s="5"/>
      <c r="L5" s="5"/>
    </row>
    <row r="6" spans="1:12" s="26" customFormat="1" ht="21" customHeight="1" x14ac:dyDescent="0.25">
      <c r="A6" s="150"/>
      <c r="B6" s="151"/>
      <c r="C6" s="153"/>
      <c r="D6" s="12" t="s">
        <v>17</v>
      </c>
      <c r="E6" s="156"/>
      <c r="F6" s="5">
        <f t="shared" si="0"/>
        <v>24.523773800000001</v>
      </c>
      <c r="G6" s="5">
        <f>237637738/10000000</f>
        <v>23.763773799999999</v>
      </c>
      <c r="H6" s="5">
        <v>0</v>
      </c>
      <c r="I6" s="5">
        <f t="shared" si="1"/>
        <v>0.76</v>
      </c>
      <c r="J6" s="25">
        <v>0.76</v>
      </c>
      <c r="K6" s="5"/>
      <c r="L6" s="5"/>
    </row>
    <row r="7" spans="1:12" s="26" customFormat="1" ht="23.25" customHeight="1" x14ac:dyDescent="0.25">
      <c r="A7" s="150"/>
      <c r="B7" s="151"/>
      <c r="C7" s="154"/>
      <c r="D7" s="12" t="s">
        <v>18</v>
      </c>
      <c r="E7" s="157"/>
      <c r="F7" s="5">
        <f t="shared" si="0"/>
        <v>19.631276499999998</v>
      </c>
      <c r="G7" s="5">
        <f>196312765/10000000</f>
        <v>19.631276499999998</v>
      </c>
      <c r="H7" s="5">
        <v>0</v>
      </c>
      <c r="I7" s="5">
        <f t="shared" si="1"/>
        <v>0</v>
      </c>
      <c r="J7" s="25"/>
      <c r="K7" s="5"/>
      <c r="L7" s="5"/>
    </row>
    <row r="8" spans="1:12" s="26" customFormat="1" ht="60" x14ac:dyDescent="0.25">
      <c r="A8" s="150" t="s">
        <v>19</v>
      </c>
      <c r="B8" s="151" t="s">
        <v>14</v>
      </c>
      <c r="C8" s="150" t="s">
        <v>20</v>
      </c>
      <c r="D8" s="7" t="s">
        <v>21</v>
      </c>
      <c r="E8" s="155">
        <v>71.06</v>
      </c>
      <c r="F8" s="5">
        <f t="shared" si="0"/>
        <v>14.64</v>
      </c>
      <c r="G8" s="5"/>
      <c r="H8" s="5">
        <v>13.21</v>
      </c>
      <c r="I8" s="5">
        <f t="shared" si="1"/>
        <v>14.64</v>
      </c>
      <c r="J8" s="25">
        <v>1.43</v>
      </c>
      <c r="K8" s="5"/>
      <c r="L8" s="5"/>
    </row>
    <row r="9" spans="1:12" s="26" customFormat="1" ht="45" x14ac:dyDescent="0.25">
      <c r="A9" s="150"/>
      <c r="B9" s="151"/>
      <c r="C9" s="150"/>
      <c r="D9" s="7" t="s">
        <v>22</v>
      </c>
      <c r="E9" s="157"/>
      <c r="F9" s="5">
        <f t="shared" si="0"/>
        <v>27.1</v>
      </c>
      <c r="G9" s="5"/>
      <c r="H9" s="5">
        <v>20.07</v>
      </c>
      <c r="I9" s="5">
        <f t="shared" si="1"/>
        <v>27.1</v>
      </c>
      <c r="J9" s="25">
        <v>7.03</v>
      </c>
      <c r="K9" s="5"/>
      <c r="L9" s="5"/>
    </row>
    <row r="10" spans="1:12" s="26" customFormat="1" ht="45" customHeight="1" x14ac:dyDescent="0.25">
      <c r="A10" s="150" t="s">
        <v>23</v>
      </c>
      <c r="B10" s="151" t="s">
        <v>14</v>
      </c>
      <c r="C10" s="152" t="s">
        <v>24</v>
      </c>
      <c r="D10" s="7" t="s">
        <v>25</v>
      </c>
      <c r="E10" s="155">
        <v>54.25</v>
      </c>
      <c r="F10" s="5">
        <f t="shared" si="0"/>
        <v>24.52</v>
      </c>
      <c r="G10" s="5"/>
      <c r="H10" s="5">
        <v>20.36</v>
      </c>
      <c r="I10" s="5">
        <f t="shared" si="1"/>
        <v>24.52</v>
      </c>
      <c r="J10" s="25">
        <v>4.16</v>
      </c>
      <c r="K10" s="5"/>
      <c r="L10" s="5"/>
    </row>
    <row r="11" spans="1:12" s="26" customFormat="1" ht="45" x14ac:dyDescent="0.25">
      <c r="A11" s="150"/>
      <c r="B11" s="151"/>
      <c r="C11" s="154"/>
      <c r="D11" s="7" t="s">
        <v>26</v>
      </c>
      <c r="E11" s="157"/>
      <c r="F11" s="5">
        <f t="shared" si="0"/>
        <v>24.18</v>
      </c>
      <c r="G11" s="5"/>
      <c r="H11" s="5">
        <v>20.2</v>
      </c>
      <c r="I11" s="5">
        <f t="shared" si="1"/>
        <v>24.18</v>
      </c>
      <c r="J11" s="25">
        <v>3.98</v>
      </c>
      <c r="K11" s="5"/>
      <c r="L11" s="5"/>
    </row>
    <row r="12" spans="1:12" s="26" customFormat="1" ht="45" x14ac:dyDescent="0.25">
      <c r="A12" s="150" t="s">
        <v>27</v>
      </c>
      <c r="B12" s="151" t="s">
        <v>28</v>
      </c>
      <c r="C12" s="158" t="s">
        <v>29</v>
      </c>
      <c r="D12" s="7" t="s">
        <v>30</v>
      </c>
      <c r="E12" s="155"/>
      <c r="F12" s="27">
        <f t="shared" si="0"/>
        <v>5.6079505000000003</v>
      </c>
      <c r="G12" s="5"/>
      <c r="H12" s="5">
        <f>56079505/10000000</f>
        <v>5.6079505000000003</v>
      </c>
      <c r="I12" s="25">
        <f t="shared" si="1"/>
        <v>5.6079505000000003</v>
      </c>
      <c r="J12" s="5"/>
      <c r="K12" s="5"/>
      <c r="L12" s="5"/>
    </row>
    <row r="13" spans="1:12" s="26" customFormat="1" ht="45" x14ac:dyDescent="0.25">
      <c r="A13" s="150"/>
      <c r="B13" s="151"/>
      <c r="C13" s="159"/>
      <c r="D13" s="7" t="s">
        <v>31</v>
      </c>
      <c r="E13" s="156"/>
      <c r="F13" s="27">
        <f t="shared" si="0"/>
        <v>7.5365092000000002</v>
      </c>
      <c r="G13" s="5"/>
      <c r="H13" s="5">
        <f>73959592/10000000</f>
        <v>7.3959592000000001</v>
      </c>
      <c r="I13" s="25">
        <f t="shared" si="1"/>
        <v>7.5365092000000002</v>
      </c>
      <c r="J13" s="5">
        <f>1405500/10000000</f>
        <v>0.14055000000000001</v>
      </c>
      <c r="K13" s="5"/>
      <c r="L13" s="5"/>
    </row>
    <row r="14" spans="1:12" s="26" customFormat="1" ht="60" x14ac:dyDescent="0.25">
      <c r="A14" s="150"/>
      <c r="B14" s="151"/>
      <c r="C14" s="159"/>
      <c r="D14" s="7" t="s">
        <v>32</v>
      </c>
      <c r="E14" s="156"/>
      <c r="F14" s="27">
        <f t="shared" si="0"/>
        <v>2.7222393999999999</v>
      </c>
      <c r="G14" s="5"/>
      <c r="H14" s="5">
        <f>27222394/10000000</f>
        <v>2.7222393999999999</v>
      </c>
      <c r="I14" s="25">
        <f t="shared" si="1"/>
        <v>2.7222393999999999</v>
      </c>
      <c r="J14" s="5"/>
      <c r="K14" s="5"/>
      <c r="L14" s="5"/>
    </row>
    <row r="15" spans="1:12" s="26" customFormat="1" ht="45" x14ac:dyDescent="0.25">
      <c r="A15" s="150"/>
      <c r="B15" s="151"/>
      <c r="C15" s="159"/>
      <c r="D15" s="7" t="s">
        <v>33</v>
      </c>
      <c r="E15" s="156"/>
      <c r="F15" s="27">
        <f t="shared" si="0"/>
        <v>16.5666099</v>
      </c>
      <c r="G15" s="5"/>
      <c r="H15" s="5">
        <f>162053399/10000000</f>
        <v>16.205339899999998</v>
      </c>
      <c r="I15" s="25">
        <f t="shared" si="1"/>
        <v>16.5666099</v>
      </c>
      <c r="J15" s="5">
        <f>3612700/10000000</f>
        <v>0.36126999999999998</v>
      </c>
      <c r="K15" s="5"/>
      <c r="L15" s="5"/>
    </row>
    <row r="16" spans="1:12" s="26" customFormat="1" ht="60" x14ac:dyDescent="0.25">
      <c r="A16" s="150"/>
      <c r="B16" s="151"/>
      <c r="C16" s="160"/>
      <c r="D16" s="7" t="s">
        <v>34</v>
      </c>
      <c r="E16" s="157"/>
      <c r="F16" s="27">
        <f t="shared" si="0"/>
        <v>10.619356399999999</v>
      </c>
      <c r="G16" s="5"/>
      <c r="H16" s="5">
        <f>103516564/10000000</f>
        <v>10.3516564</v>
      </c>
      <c r="I16" s="25">
        <f t="shared" si="1"/>
        <v>10.619356399999999</v>
      </c>
      <c r="J16" s="5">
        <f>2677000/10000000</f>
        <v>0.26769999999999999</v>
      </c>
      <c r="K16" s="5"/>
      <c r="L16" s="5"/>
    </row>
    <row r="17" spans="1:19" s="26" customFormat="1" ht="30" x14ac:dyDescent="0.25">
      <c r="A17" s="152" t="s">
        <v>35</v>
      </c>
      <c r="B17" s="161" t="s">
        <v>36</v>
      </c>
      <c r="C17" s="152" t="s">
        <v>37</v>
      </c>
      <c r="D17" s="7" t="s">
        <v>38</v>
      </c>
      <c r="E17" s="155">
        <v>41.32</v>
      </c>
      <c r="F17" s="25">
        <f t="shared" si="0"/>
        <v>7.9629395000000001</v>
      </c>
      <c r="G17" s="5"/>
      <c r="H17" s="5">
        <f>72210929/10000000</f>
        <v>7.2210929000000004</v>
      </c>
      <c r="I17" s="5">
        <f>+J17+H17+2.69</f>
        <v>10.6529395</v>
      </c>
      <c r="J17" s="28">
        <f>7418466/10000000</f>
        <v>0.74184660000000002</v>
      </c>
      <c r="K17" s="5"/>
      <c r="L17" s="5"/>
      <c r="M17" s="26" t="s">
        <v>39</v>
      </c>
    </row>
    <row r="18" spans="1:19" s="26" customFormat="1" ht="31.5" customHeight="1" x14ac:dyDescent="0.25">
      <c r="A18" s="153"/>
      <c r="B18" s="162"/>
      <c r="C18" s="153"/>
      <c r="D18" s="7" t="s">
        <v>40</v>
      </c>
      <c r="E18" s="156"/>
      <c r="F18" s="25">
        <f t="shared" si="0"/>
        <v>3.2356707</v>
      </c>
      <c r="G18" s="5"/>
      <c r="H18" s="5">
        <f>29614416/10000000</f>
        <v>2.9614416000000001</v>
      </c>
      <c r="I18" s="5">
        <f>+J18+H18+0.52</f>
        <v>3.7556707</v>
      </c>
      <c r="J18" s="28">
        <f>2742291/10000000</f>
        <v>0.2742291</v>
      </c>
      <c r="K18" s="5"/>
      <c r="L18" s="5"/>
      <c r="M18" s="26" t="s">
        <v>41</v>
      </c>
    </row>
    <row r="19" spans="1:19" s="26" customFormat="1" ht="30" x14ac:dyDescent="0.25">
      <c r="A19" s="153"/>
      <c r="B19" s="162"/>
      <c r="C19" s="153"/>
      <c r="D19" s="7" t="s">
        <v>42</v>
      </c>
      <c r="E19" s="156"/>
      <c r="F19" s="25">
        <f t="shared" si="0"/>
        <v>2.2454461000000001</v>
      </c>
      <c r="G19" s="5"/>
      <c r="H19" s="5">
        <f>22454461/10000000</f>
        <v>2.2454461000000001</v>
      </c>
      <c r="I19" s="5">
        <f>+J19+H19+0.39+0.19</f>
        <v>2.8254461000000002</v>
      </c>
      <c r="J19" s="28"/>
      <c r="K19" s="5"/>
      <c r="L19" s="5"/>
      <c r="M19" s="26" t="s">
        <v>43</v>
      </c>
    </row>
    <row r="20" spans="1:19" s="26" customFormat="1" ht="30" x14ac:dyDescent="0.25">
      <c r="A20" s="153"/>
      <c r="B20" s="162"/>
      <c r="C20" s="153"/>
      <c r="D20" s="7" t="s">
        <v>44</v>
      </c>
      <c r="E20" s="156"/>
      <c r="F20" s="25">
        <f t="shared" si="0"/>
        <v>4.2770776999999995</v>
      </c>
      <c r="G20" s="5"/>
      <c r="H20" s="5">
        <f>37197573/10000000</f>
        <v>3.7197572999999999</v>
      </c>
      <c r="I20" s="5">
        <f>+J20+H20+0.29</f>
        <v>4.5670776999999996</v>
      </c>
      <c r="J20" s="28">
        <f>5573204/10000000</f>
        <v>0.55732040000000005</v>
      </c>
      <c r="K20" s="5"/>
      <c r="L20" s="5"/>
      <c r="M20" s="26" t="s">
        <v>45</v>
      </c>
    </row>
    <row r="21" spans="1:19" s="26" customFormat="1" ht="75" x14ac:dyDescent="0.25">
      <c r="A21" s="154"/>
      <c r="B21" s="163"/>
      <c r="C21" s="154"/>
      <c r="D21" s="7" t="s">
        <v>46</v>
      </c>
      <c r="E21" s="157"/>
      <c r="F21" s="25">
        <f t="shared" si="0"/>
        <v>15.718258000000001</v>
      </c>
      <c r="G21" s="5"/>
      <c r="H21" s="5">
        <f>126182580/10000000+0.17</f>
        <v>12.788258000000001</v>
      </c>
      <c r="I21" s="5">
        <f>+J21+H21+2.88</f>
        <v>18.598258000000001</v>
      </c>
      <c r="J21" s="28">
        <v>2.93</v>
      </c>
      <c r="K21" s="5"/>
      <c r="L21" s="5"/>
      <c r="M21" s="26" t="s">
        <v>47</v>
      </c>
      <c r="S21" s="20"/>
    </row>
    <row r="22" spans="1:19" s="26" customFormat="1" ht="30" x14ac:dyDescent="0.25">
      <c r="A22" s="7" t="s">
        <v>48</v>
      </c>
      <c r="B22" s="11" t="s">
        <v>14</v>
      </c>
      <c r="C22" s="7" t="s">
        <v>49</v>
      </c>
      <c r="D22" s="11" t="s">
        <v>50</v>
      </c>
      <c r="E22" s="5">
        <f>256818345/10000000</f>
        <v>25.681834500000001</v>
      </c>
      <c r="F22" s="5">
        <f t="shared" si="0"/>
        <v>25.922554599999998</v>
      </c>
      <c r="G22" s="5"/>
      <c r="H22" s="5">
        <f>253611987/10000000</f>
        <v>25.361198699999999</v>
      </c>
      <c r="I22" s="5">
        <f>+J22+H22</f>
        <v>25.922554599999998</v>
      </c>
      <c r="J22" s="5">
        <f>5613559/10000000</f>
        <v>0.56135590000000002</v>
      </c>
      <c r="K22" s="5"/>
      <c r="L22" s="5"/>
    </row>
    <row r="23" spans="1:19" s="26" customFormat="1" ht="45" x14ac:dyDescent="0.25">
      <c r="A23" s="7" t="s">
        <v>51</v>
      </c>
      <c r="B23" s="11" t="s">
        <v>14</v>
      </c>
      <c r="C23" s="7" t="s">
        <v>52</v>
      </c>
      <c r="D23" s="7" t="s">
        <v>53</v>
      </c>
      <c r="E23" s="29">
        <v>75.25</v>
      </c>
      <c r="F23" s="5">
        <f t="shared" si="0"/>
        <v>21.1338656</v>
      </c>
      <c r="G23" s="5"/>
      <c r="H23" s="5">
        <f>193677156/10000000</f>
        <v>19.3677156</v>
      </c>
      <c r="I23" s="5">
        <f>+J23+H23</f>
        <v>21.1338656</v>
      </c>
      <c r="J23" s="5">
        <f>17661500/10000000</f>
        <v>1.7661500000000001</v>
      </c>
      <c r="K23" s="5"/>
      <c r="L23" s="5"/>
    </row>
    <row r="24" spans="1:19" s="26" customFormat="1" ht="75" x14ac:dyDescent="0.25">
      <c r="A24" s="7" t="s">
        <v>54</v>
      </c>
      <c r="B24" s="11" t="s">
        <v>14</v>
      </c>
      <c r="C24" s="7" t="s">
        <v>55</v>
      </c>
      <c r="D24" s="7" t="s">
        <v>56</v>
      </c>
      <c r="E24" s="5">
        <f>72736791.87/10000000</f>
        <v>7.2736791870000008</v>
      </c>
      <c r="F24" s="5">
        <f t="shared" si="0"/>
        <v>7.7839627</v>
      </c>
      <c r="G24" s="5"/>
      <c r="H24" s="5">
        <f>71945758/10000000</f>
        <v>7.1945758</v>
      </c>
      <c r="I24" s="5">
        <f>+J24+H24</f>
        <v>7.7839627</v>
      </c>
      <c r="J24" s="5">
        <f>5893869/10000000</f>
        <v>0.58938690000000005</v>
      </c>
      <c r="K24" s="5"/>
      <c r="L24" s="5"/>
    </row>
    <row r="25" spans="1:19" s="26" customFormat="1" ht="23.25" customHeight="1" x14ac:dyDescent="0.25">
      <c r="A25" s="152" t="s">
        <v>57</v>
      </c>
      <c r="B25" s="161" t="s">
        <v>14</v>
      </c>
      <c r="C25" s="152" t="s">
        <v>58</v>
      </c>
      <c r="D25" s="7" t="s">
        <v>59</v>
      </c>
      <c r="E25" s="164">
        <v>65.44</v>
      </c>
      <c r="F25" s="5">
        <f t="shared" si="0"/>
        <v>28.024718800000002</v>
      </c>
      <c r="G25" s="5"/>
      <c r="H25" s="5">
        <f>262638208/10000000</f>
        <v>26.263820800000001</v>
      </c>
      <c r="I25" s="5">
        <f>+J25+H25</f>
        <v>28.024718800000002</v>
      </c>
      <c r="J25" s="5">
        <f>17608980/10000000</f>
        <v>1.7608980000000001</v>
      </c>
      <c r="K25" s="5"/>
      <c r="L25" s="5"/>
    </row>
    <row r="26" spans="1:19" s="26" customFormat="1" ht="34.5" customHeight="1" x14ac:dyDescent="0.25">
      <c r="A26" s="154"/>
      <c r="B26" s="163"/>
      <c r="C26" s="154"/>
      <c r="D26" s="11" t="s">
        <v>60</v>
      </c>
      <c r="E26" s="164"/>
      <c r="F26" s="5">
        <f t="shared" si="0"/>
        <v>32.962689699999999</v>
      </c>
      <c r="G26" s="5"/>
      <c r="H26" s="5"/>
      <c r="I26" s="5">
        <f>+J26+H26</f>
        <v>32.962689699999999</v>
      </c>
      <c r="J26" s="5">
        <f>329626897/10000000</f>
        <v>32.962689699999999</v>
      </c>
      <c r="K26" s="5"/>
      <c r="L26" s="5"/>
    </row>
    <row r="27" spans="1:19" s="26" customFormat="1" ht="30" x14ac:dyDescent="0.25">
      <c r="A27" s="150" t="s">
        <v>61</v>
      </c>
      <c r="B27" s="151" t="s">
        <v>36</v>
      </c>
      <c r="C27" s="150" t="s">
        <v>62</v>
      </c>
      <c r="D27" s="7" t="s">
        <v>63</v>
      </c>
      <c r="E27" s="155">
        <v>35.549999999999997</v>
      </c>
      <c r="F27" s="25">
        <f t="shared" si="0"/>
        <v>5.0561465999999999</v>
      </c>
      <c r="G27" s="5"/>
      <c r="H27" s="5">
        <f>43451195/10000000</f>
        <v>4.3451195</v>
      </c>
      <c r="I27" s="5">
        <f>+J27+H27+0.57</f>
        <v>5.6261466000000002</v>
      </c>
      <c r="J27" s="25">
        <f>7110271/10000000</f>
        <v>0.71102710000000002</v>
      </c>
      <c r="K27" s="5"/>
      <c r="L27" s="5"/>
      <c r="M27" s="26" t="s">
        <v>64</v>
      </c>
    </row>
    <row r="28" spans="1:19" s="26" customFormat="1" ht="45" x14ac:dyDescent="0.25">
      <c r="A28" s="150"/>
      <c r="B28" s="151"/>
      <c r="C28" s="150"/>
      <c r="D28" s="7" t="s">
        <v>65</v>
      </c>
      <c r="E28" s="156"/>
      <c r="F28" s="25">
        <f t="shared" si="0"/>
        <v>8.1596092000000002</v>
      </c>
      <c r="G28" s="5"/>
      <c r="H28" s="5">
        <f>81596092/10000000</f>
        <v>8.1596092000000002</v>
      </c>
      <c r="I28" s="5">
        <f>+J28+H28+0.87</f>
        <v>9.0296091999999994</v>
      </c>
      <c r="J28" s="25"/>
      <c r="K28" s="5"/>
      <c r="L28" s="5"/>
      <c r="M28" s="26" t="s">
        <v>66</v>
      </c>
    </row>
    <row r="29" spans="1:19" s="26" customFormat="1" ht="30.75" customHeight="1" x14ac:dyDescent="0.25">
      <c r="A29" s="150"/>
      <c r="B29" s="151"/>
      <c r="C29" s="150"/>
      <c r="D29" s="7" t="s">
        <v>67</v>
      </c>
      <c r="E29" s="156"/>
      <c r="F29" s="25">
        <f t="shared" si="0"/>
        <v>6.4915307999999996</v>
      </c>
      <c r="G29" s="5"/>
      <c r="H29" s="5">
        <f>58238194/10000000</f>
        <v>5.8238193999999996</v>
      </c>
      <c r="I29" s="5">
        <f>+J29+H29+0.69</f>
        <v>7.1815307999999991</v>
      </c>
      <c r="J29" s="25">
        <f>6677114/10000000</f>
        <v>0.66771139999999995</v>
      </c>
      <c r="K29" s="5"/>
      <c r="L29" s="5"/>
      <c r="M29" s="26" t="s">
        <v>68</v>
      </c>
    </row>
    <row r="30" spans="1:19" s="26" customFormat="1" ht="30" x14ac:dyDescent="0.25">
      <c r="A30" s="150"/>
      <c r="B30" s="151"/>
      <c r="C30" s="150"/>
      <c r="D30" s="7" t="s">
        <v>69</v>
      </c>
      <c r="E30" s="156"/>
      <c r="F30" s="25">
        <f t="shared" si="0"/>
        <v>5.6329061999999999</v>
      </c>
      <c r="G30" s="5"/>
      <c r="H30" s="5">
        <f>56329062/10000000</f>
        <v>5.6329061999999999</v>
      </c>
      <c r="I30" s="5">
        <f>+J30+H30+0.6</f>
        <v>6.2329061999999995</v>
      </c>
      <c r="J30" s="25"/>
      <c r="K30" s="5"/>
      <c r="L30" s="5"/>
      <c r="M30" s="26" t="s">
        <v>70</v>
      </c>
    </row>
    <row r="31" spans="1:19" s="26" customFormat="1" ht="30" x14ac:dyDescent="0.25">
      <c r="A31" s="150"/>
      <c r="B31" s="151"/>
      <c r="C31" s="150"/>
      <c r="D31" s="7" t="s">
        <v>71</v>
      </c>
      <c r="E31" s="157"/>
      <c r="F31" s="25">
        <f t="shared" si="0"/>
        <v>8.6409532999999996</v>
      </c>
      <c r="G31" s="5"/>
      <c r="H31" s="5">
        <f>86409533/10000000</f>
        <v>8.6409532999999996</v>
      </c>
      <c r="I31" s="5">
        <f>+J31+H31+1.94</f>
        <v>10.580953299999999</v>
      </c>
      <c r="J31" s="25"/>
      <c r="K31" s="5"/>
      <c r="L31" s="5"/>
      <c r="M31" s="26" t="s">
        <v>72</v>
      </c>
    </row>
    <row r="32" spans="1:19" s="26" customFormat="1" ht="75" x14ac:dyDescent="0.25">
      <c r="A32" s="152" t="s">
        <v>73</v>
      </c>
      <c r="B32" s="161" t="s">
        <v>14</v>
      </c>
      <c r="C32" s="165" t="s">
        <v>74</v>
      </c>
      <c r="D32" s="7" t="s">
        <v>75</v>
      </c>
      <c r="E32" s="155">
        <v>36.909999999999997</v>
      </c>
      <c r="F32" s="5">
        <f t="shared" si="0"/>
        <v>10.513587900000001</v>
      </c>
      <c r="G32" s="5">
        <f>101424532/10000000</f>
        <v>10.1424532</v>
      </c>
      <c r="H32" s="5"/>
      <c r="I32" s="5">
        <f t="shared" ref="I32:I41" si="2">+J32+H32</f>
        <v>0.37113469999999998</v>
      </c>
      <c r="J32" s="5">
        <f>3711347/10000000</f>
        <v>0.37113469999999998</v>
      </c>
      <c r="K32" s="5"/>
      <c r="L32" s="5"/>
    </row>
    <row r="33" spans="1:13" s="26" customFormat="1" ht="55.5" customHeight="1" x14ac:dyDescent="0.25">
      <c r="A33" s="153"/>
      <c r="B33" s="162"/>
      <c r="C33" s="166"/>
      <c r="D33" s="7" t="s">
        <v>76</v>
      </c>
      <c r="E33" s="156"/>
      <c r="F33" s="5">
        <f t="shared" si="0"/>
        <v>10.289326900000001</v>
      </c>
      <c r="G33" s="5"/>
      <c r="H33" s="5">
        <f>75898088/10000000</f>
        <v>7.5898088000000001</v>
      </c>
      <c r="I33" s="5">
        <f t="shared" si="2"/>
        <v>10.289326900000001</v>
      </c>
      <c r="J33" s="5">
        <f>26995181/10000000</f>
        <v>2.6995181000000001</v>
      </c>
      <c r="K33" s="5"/>
      <c r="L33" s="5"/>
    </row>
    <row r="34" spans="1:13" s="26" customFormat="1" ht="60" x14ac:dyDescent="0.25">
      <c r="A34" s="154"/>
      <c r="B34" s="163"/>
      <c r="C34" s="167"/>
      <c r="D34" s="7" t="s">
        <v>77</v>
      </c>
      <c r="E34" s="157"/>
      <c r="F34" s="5">
        <f t="shared" si="0"/>
        <v>15.9473731</v>
      </c>
      <c r="G34" s="5"/>
      <c r="H34" s="5">
        <f>133910941/10000000</f>
        <v>13.3910941</v>
      </c>
      <c r="I34" s="5">
        <f t="shared" si="2"/>
        <v>15.9473731</v>
      </c>
      <c r="J34" s="5">
        <f>25562790/10000000</f>
        <v>2.556279</v>
      </c>
      <c r="K34" s="5"/>
      <c r="L34" s="5"/>
    </row>
    <row r="35" spans="1:13" s="26" customFormat="1" ht="60" x14ac:dyDescent="0.25">
      <c r="A35" s="1" t="s">
        <v>78</v>
      </c>
      <c r="B35" s="11" t="s">
        <v>28</v>
      </c>
      <c r="C35" s="7" t="s">
        <v>79</v>
      </c>
      <c r="D35" s="7" t="s">
        <v>80</v>
      </c>
      <c r="E35" s="5"/>
      <c r="F35" s="27">
        <f t="shared" si="0"/>
        <v>32.240285399999998</v>
      </c>
      <c r="G35" s="5">
        <f>316694085/10000000</f>
        <v>31.669408499999999</v>
      </c>
      <c r="H35" s="5"/>
      <c r="I35" s="27">
        <f t="shared" si="2"/>
        <v>0.57087690000000002</v>
      </c>
      <c r="J35" s="5">
        <f>5708769/10000000</f>
        <v>0.57087690000000002</v>
      </c>
      <c r="K35" s="5"/>
      <c r="L35" s="5"/>
    </row>
    <row r="36" spans="1:13" s="26" customFormat="1" ht="105" customHeight="1" x14ac:dyDescent="0.25">
      <c r="A36" s="7" t="s">
        <v>81</v>
      </c>
      <c r="B36" s="11" t="s">
        <v>28</v>
      </c>
      <c r="C36" s="7" t="s">
        <v>82</v>
      </c>
      <c r="D36" s="7" t="s">
        <v>83</v>
      </c>
      <c r="E36" s="5">
        <v>90.24</v>
      </c>
      <c r="F36" s="5">
        <f t="shared" si="0"/>
        <v>80.022875000000013</v>
      </c>
      <c r="G36" s="5">
        <f>762550484/10000000</f>
        <v>76.255048400000007</v>
      </c>
      <c r="H36" s="5">
        <f>37678266/10000000</f>
        <v>3.7678265999999998</v>
      </c>
      <c r="I36" s="5">
        <f t="shared" si="2"/>
        <v>3.7678265999999998</v>
      </c>
      <c r="J36" s="5"/>
      <c r="K36" s="5"/>
      <c r="L36" s="5"/>
    </row>
    <row r="37" spans="1:13" s="26" customFormat="1" ht="34.5" customHeight="1" x14ac:dyDescent="0.25">
      <c r="A37" s="7" t="s">
        <v>84</v>
      </c>
      <c r="B37" s="11" t="s">
        <v>28</v>
      </c>
      <c r="C37" s="7" t="s">
        <v>85</v>
      </c>
      <c r="D37" s="7" t="s">
        <v>86</v>
      </c>
      <c r="E37" s="5"/>
      <c r="F37" s="5">
        <f t="shared" si="0"/>
        <v>11.328613000000001</v>
      </c>
      <c r="G37" s="5"/>
      <c r="H37" s="5">
        <f>113286130/10000000</f>
        <v>11.328613000000001</v>
      </c>
      <c r="I37" s="5">
        <f t="shared" si="2"/>
        <v>11.328613000000001</v>
      </c>
      <c r="J37" s="5"/>
      <c r="K37" s="5"/>
      <c r="L37" s="5"/>
    </row>
    <row r="38" spans="1:13" s="26" customFormat="1" x14ac:dyDescent="0.25">
      <c r="A38" s="152" t="s">
        <v>87</v>
      </c>
      <c r="B38" s="161" t="s">
        <v>36</v>
      </c>
      <c r="C38" s="152" t="s">
        <v>88</v>
      </c>
      <c r="D38" s="7" t="s">
        <v>89</v>
      </c>
      <c r="E38" s="155">
        <v>44.33</v>
      </c>
      <c r="F38" s="25">
        <f>+G38+H38+J38-0.33</f>
        <v>3.8099999999999996</v>
      </c>
      <c r="G38" s="5"/>
      <c r="H38" s="5">
        <v>3.07</v>
      </c>
      <c r="I38" s="25">
        <f t="shared" si="2"/>
        <v>4.1399999999999997</v>
      </c>
      <c r="J38" s="25">
        <v>1.07</v>
      </c>
      <c r="K38" s="5"/>
      <c r="L38" s="5"/>
      <c r="M38" s="26" t="s">
        <v>90</v>
      </c>
    </row>
    <row r="39" spans="1:13" s="26" customFormat="1" ht="45" x14ac:dyDescent="0.25">
      <c r="A39" s="153"/>
      <c r="B39" s="162"/>
      <c r="C39" s="153"/>
      <c r="D39" s="7" t="s">
        <v>91</v>
      </c>
      <c r="E39" s="156"/>
      <c r="F39" s="25">
        <f>+G39+H39+J39-0.25-0.97</f>
        <v>11.138586899999998</v>
      </c>
      <c r="G39" s="5"/>
      <c r="H39" s="5">
        <f>107385869/10000000</f>
        <v>10.7385869</v>
      </c>
      <c r="I39" s="25">
        <f t="shared" si="2"/>
        <v>12.358586899999999</v>
      </c>
      <c r="J39" s="28">
        <v>1.62</v>
      </c>
      <c r="K39" s="5"/>
      <c r="L39" s="5"/>
      <c r="M39" s="26" t="s">
        <v>92</v>
      </c>
    </row>
    <row r="40" spans="1:13" s="26" customFormat="1" x14ac:dyDescent="0.25">
      <c r="A40" s="153"/>
      <c r="B40" s="162"/>
      <c r="C40" s="153"/>
      <c r="D40" s="7" t="s">
        <v>93</v>
      </c>
      <c r="E40" s="156"/>
      <c r="F40" s="25">
        <f>+G40+H40+J40-1.15-0.38</f>
        <v>9.5132244999999998</v>
      </c>
      <c r="G40" s="5"/>
      <c r="H40" s="5">
        <f>13832245/10000000</f>
        <v>1.3832245000000001</v>
      </c>
      <c r="I40" s="25">
        <f t="shared" si="2"/>
        <v>11.043224500000001</v>
      </c>
      <c r="J40" s="28">
        <v>9.66</v>
      </c>
      <c r="K40" s="5"/>
      <c r="L40" s="5"/>
      <c r="M40" s="26" t="s">
        <v>94</v>
      </c>
    </row>
    <row r="41" spans="1:13" s="26" customFormat="1" ht="30" x14ac:dyDescent="0.25">
      <c r="A41" s="153"/>
      <c r="B41" s="162"/>
      <c r="C41" s="153"/>
      <c r="D41" s="7" t="s">
        <v>95</v>
      </c>
      <c r="E41" s="156"/>
      <c r="F41" s="25">
        <f>+G41+H41+J41-0.34</f>
        <v>3.9299738</v>
      </c>
      <c r="G41" s="5"/>
      <c r="H41" s="5">
        <f>34299738/10000000</f>
        <v>3.4299738</v>
      </c>
      <c r="I41" s="25">
        <f t="shared" si="2"/>
        <v>4.2699737999999998</v>
      </c>
      <c r="J41" s="28">
        <v>0.84</v>
      </c>
      <c r="K41" s="5"/>
      <c r="L41" s="5"/>
      <c r="M41" s="26" t="s">
        <v>96</v>
      </c>
    </row>
    <row r="42" spans="1:13" s="26" customFormat="1" ht="45" x14ac:dyDescent="0.25">
      <c r="A42" s="153"/>
      <c r="B42" s="162"/>
      <c r="C42" s="153"/>
      <c r="D42" s="7" t="s">
        <v>97</v>
      </c>
      <c r="E42" s="156"/>
      <c r="F42" s="25">
        <f>+G42+H42+J42</f>
        <v>6.33</v>
      </c>
      <c r="G42" s="5"/>
      <c r="H42" s="5">
        <v>6.33</v>
      </c>
      <c r="I42" s="25"/>
      <c r="J42" s="28">
        <v>0</v>
      </c>
      <c r="K42" s="5"/>
      <c r="L42" s="5"/>
    </row>
    <row r="43" spans="1:13" s="26" customFormat="1" x14ac:dyDescent="0.25">
      <c r="A43" s="154"/>
      <c r="B43" s="163"/>
      <c r="C43" s="154"/>
      <c r="D43" s="7" t="s">
        <v>98</v>
      </c>
      <c r="E43" s="157"/>
      <c r="F43" s="25">
        <f>+G43+H43+J43-0.38-1.15</f>
        <v>6.900223699999998</v>
      </c>
      <c r="G43" s="5"/>
      <c r="H43" s="5">
        <f>61502237/10000000</f>
        <v>6.1502236999999997</v>
      </c>
      <c r="I43" s="25">
        <f t="shared" ref="I43:I59" si="3">+J43+H43</f>
        <v>8.4302236999999991</v>
      </c>
      <c r="J43" s="28">
        <v>2.2799999999999998</v>
      </c>
      <c r="K43" s="5"/>
      <c r="L43" s="5"/>
      <c r="M43" s="26" t="s">
        <v>99</v>
      </c>
    </row>
    <row r="44" spans="1:13" s="26" customFormat="1" ht="30" x14ac:dyDescent="0.25">
      <c r="A44" s="7" t="s">
        <v>100</v>
      </c>
      <c r="B44" s="11" t="s">
        <v>14</v>
      </c>
      <c r="C44" s="26" t="s">
        <v>101</v>
      </c>
      <c r="D44" s="7" t="s">
        <v>102</v>
      </c>
      <c r="E44" s="5"/>
      <c r="F44" s="5">
        <f t="shared" ref="F44:F75" si="4">+G44+H44+J44</f>
        <v>0.7256724</v>
      </c>
      <c r="G44" s="5">
        <v>0.65</v>
      </c>
      <c r="H44" s="5">
        <v>0</v>
      </c>
      <c r="I44" s="5">
        <f t="shared" si="3"/>
        <v>7.5672400000000001E-2</v>
      </c>
      <c r="J44" s="5">
        <f>756724/10000000</f>
        <v>7.5672400000000001E-2</v>
      </c>
      <c r="K44" s="5"/>
      <c r="L44" s="5"/>
    </row>
    <row r="45" spans="1:13" s="26" customFormat="1" ht="60" x14ac:dyDescent="0.25">
      <c r="A45" s="7" t="s">
        <v>103</v>
      </c>
      <c r="B45" s="11" t="s">
        <v>28</v>
      </c>
      <c r="C45" s="30" t="s">
        <v>104</v>
      </c>
      <c r="D45" s="7" t="s">
        <v>105</v>
      </c>
      <c r="E45" s="14">
        <v>90.24</v>
      </c>
      <c r="F45" s="25">
        <f t="shared" si="4"/>
        <v>107.7698975</v>
      </c>
      <c r="G45" s="5"/>
      <c r="H45" s="5">
        <f>1069872916/10000000</f>
        <v>106.98729160000001</v>
      </c>
      <c r="I45" s="5">
        <f t="shared" si="3"/>
        <v>107.7698975</v>
      </c>
      <c r="J45" s="5">
        <f>7826059/10000000</f>
        <v>0.78260589999999997</v>
      </c>
      <c r="K45" s="5"/>
      <c r="L45" s="5"/>
    </row>
    <row r="46" spans="1:13" s="26" customFormat="1" ht="45" x14ac:dyDescent="0.25">
      <c r="A46" s="1" t="s">
        <v>106</v>
      </c>
      <c r="B46" s="17" t="s">
        <v>28</v>
      </c>
      <c r="C46" s="1" t="s">
        <v>107</v>
      </c>
      <c r="D46" s="16" t="s">
        <v>108</v>
      </c>
      <c r="E46" s="5">
        <v>129.79</v>
      </c>
      <c r="F46" s="25">
        <f t="shared" si="4"/>
        <v>136.86881019999998</v>
      </c>
      <c r="G46" s="5"/>
      <c r="H46" s="5">
        <f>1366444493/10000000</f>
        <v>136.64444929999999</v>
      </c>
      <c r="I46" s="5">
        <f t="shared" si="3"/>
        <v>136.86881019999998</v>
      </c>
      <c r="J46" s="5">
        <f>2243609/10000000</f>
        <v>0.2243609</v>
      </c>
      <c r="K46" s="5"/>
      <c r="L46" s="5"/>
    </row>
    <row r="47" spans="1:13" s="26" customFormat="1" ht="25.5" x14ac:dyDescent="0.25">
      <c r="A47" s="150" t="s">
        <v>109</v>
      </c>
      <c r="B47" s="151" t="s">
        <v>14</v>
      </c>
      <c r="C47" s="150" t="s">
        <v>110</v>
      </c>
      <c r="D47" s="31" t="s">
        <v>111</v>
      </c>
      <c r="E47" s="155">
        <v>97.45</v>
      </c>
      <c r="F47" s="5">
        <f t="shared" si="4"/>
        <v>5.6616002999999999</v>
      </c>
      <c r="G47" s="5"/>
      <c r="H47" s="5">
        <f>56616003/10000000</f>
        <v>5.6616002999999999</v>
      </c>
      <c r="I47" s="5">
        <f t="shared" si="3"/>
        <v>5.6616002999999999</v>
      </c>
      <c r="J47" s="5"/>
      <c r="K47" s="5"/>
      <c r="L47" s="5"/>
    </row>
    <row r="48" spans="1:13" s="26" customFormat="1" ht="51" x14ac:dyDescent="0.25">
      <c r="A48" s="150"/>
      <c r="B48" s="151"/>
      <c r="C48" s="150"/>
      <c r="D48" s="31" t="s">
        <v>112</v>
      </c>
      <c r="E48" s="156"/>
      <c r="F48" s="5">
        <f t="shared" si="4"/>
        <v>23.550823699999999</v>
      </c>
      <c r="G48" s="5"/>
      <c r="H48" s="5">
        <f>235508237/10000000</f>
        <v>23.550823699999999</v>
      </c>
      <c r="I48" s="5">
        <f t="shared" si="3"/>
        <v>23.550823699999999</v>
      </c>
      <c r="J48" s="5"/>
      <c r="K48" s="5"/>
      <c r="L48" s="5"/>
    </row>
    <row r="49" spans="1:12" s="26" customFormat="1" ht="63.75" x14ac:dyDescent="0.25">
      <c r="A49" s="150"/>
      <c r="B49" s="151"/>
      <c r="C49" s="150"/>
      <c r="D49" s="31" t="s">
        <v>113</v>
      </c>
      <c r="E49" s="156"/>
      <c r="F49" s="5">
        <f t="shared" si="4"/>
        <v>8.6844637999999996</v>
      </c>
      <c r="G49" s="5"/>
      <c r="H49" s="5">
        <f>86844638/10000000</f>
        <v>8.6844637999999996</v>
      </c>
      <c r="I49" s="5">
        <f t="shared" si="3"/>
        <v>8.6844637999999996</v>
      </c>
      <c r="J49" s="5"/>
      <c r="K49" s="5"/>
      <c r="L49" s="5"/>
    </row>
    <row r="50" spans="1:12" s="26" customFormat="1" ht="51" x14ac:dyDescent="0.25">
      <c r="A50" s="150"/>
      <c r="B50" s="151"/>
      <c r="C50" s="150"/>
      <c r="D50" s="31" t="s">
        <v>114</v>
      </c>
      <c r="E50" s="156"/>
      <c r="F50" s="5">
        <f t="shared" si="4"/>
        <v>16.086480999999999</v>
      </c>
      <c r="G50" s="5"/>
      <c r="H50" s="5">
        <f>160864810/10000000</f>
        <v>16.086480999999999</v>
      </c>
      <c r="I50" s="5">
        <f t="shared" si="3"/>
        <v>16.086480999999999</v>
      </c>
      <c r="J50" s="5"/>
      <c r="K50" s="5"/>
      <c r="L50" s="5"/>
    </row>
    <row r="51" spans="1:12" s="26" customFormat="1" x14ac:dyDescent="0.25">
      <c r="A51" s="150"/>
      <c r="B51" s="151"/>
      <c r="C51" s="150"/>
      <c r="D51" s="31" t="s">
        <v>115</v>
      </c>
      <c r="E51" s="156"/>
      <c r="F51" s="5">
        <f t="shared" si="4"/>
        <v>19.328882400000001</v>
      </c>
      <c r="G51" s="5"/>
      <c r="H51" s="5">
        <f>193288824/10000000</f>
        <v>19.328882400000001</v>
      </c>
      <c r="I51" s="5">
        <f t="shared" si="3"/>
        <v>19.328882400000001</v>
      </c>
      <c r="J51" s="5"/>
      <c r="K51" s="5"/>
      <c r="L51" s="5"/>
    </row>
    <row r="52" spans="1:12" s="26" customFormat="1" ht="38.25" x14ac:dyDescent="0.25">
      <c r="A52" s="150"/>
      <c r="B52" s="151"/>
      <c r="C52" s="150"/>
      <c r="D52" s="31" t="s">
        <v>116</v>
      </c>
      <c r="E52" s="156"/>
      <c r="F52" s="5">
        <f t="shared" si="4"/>
        <v>14.2474182</v>
      </c>
      <c r="G52" s="5"/>
      <c r="H52" s="5">
        <f>142474182/10000000</f>
        <v>14.2474182</v>
      </c>
      <c r="I52" s="5">
        <f t="shared" si="3"/>
        <v>14.2474182</v>
      </c>
      <c r="J52" s="5"/>
      <c r="K52" s="5"/>
      <c r="L52" s="5"/>
    </row>
    <row r="53" spans="1:12" s="26" customFormat="1" ht="45" x14ac:dyDescent="0.25">
      <c r="A53" s="150"/>
      <c r="B53" s="151"/>
      <c r="C53" s="150"/>
      <c r="D53" s="1" t="s">
        <v>117</v>
      </c>
      <c r="E53" s="156"/>
      <c r="F53" s="5">
        <f t="shared" si="4"/>
        <v>8.7486774999999994</v>
      </c>
      <c r="G53" s="5">
        <f>87486775/10000000</f>
        <v>8.7486774999999994</v>
      </c>
      <c r="H53" s="5"/>
      <c r="I53" s="5">
        <f t="shared" si="3"/>
        <v>0</v>
      </c>
      <c r="J53" s="5"/>
      <c r="K53" s="5"/>
      <c r="L53" s="5"/>
    </row>
    <row r="54" spans="1:12" s="26" customFormat="1" ht="38.25" x14ac:dyDescent="0.25">
      <c r="A54" s="150"/>
      <c r="B54" s="151"/>
      <c r="C54" s="150"/>
      <c r="D54" s="31" t="s">
        <v>118</v>
      </c>
      <c r="E54" s="157"/>
      <c r="F54" s="5">
        <f t="shared" si="4"/>
        <v>5.9274681999999999</v>
      </c>
      <c r="G54" s="5"/>
      <c r="H54" s="5">
        <f>59274682/10000000</f>
        <v>5.9274681999999999</v>
      </c>
      <c r="I54" s="5">
        <f t="shared" si="3"/>
        <v>5.9274681999999999</v>
      </c>
      <c r="J54" s="5"/>
      <c r="K54" s="5"/>
      <c r="L54" s="5"/>
    </row>
    <row r="55" spans="1:12" s="26" customFormat="1" ht="60" x14ac:dyDescent="0.25">
      <c r="A55" s="1" t="s">
        <v>119</v>
      </c>
      <c r="B55" s="17" t="s">
        <v>14</v>
      </c>
      <c r="C55" s="1" t="s">
        <v>120</v>
      </c>
      <c r="D55" s="7" t="s">
        <v>121</v>
      </c>
      <c r="E55" s="5">
        <f>152822946/10000000</f>
        <v>15.2822946</v>
      </c>
      <c r="F55" s="5">
        <f t="shared" si="4"/>
        <v>14.669613500000001</v>
      </c>
      <c r="G55" s="5"/>
      <c r="H55" s="5"/>
      <c r="I55" s="5">
        <f t="shared" si="3"/>
        <v>14.669613500000001</v>
      </c>
      <c r="J55" s="5">
        <f>146696135/10000000</f>
        <v>14.669613500000001</v>
      </c>
      <c r="K55" s="5"/>
      <c r="L55" s="5"/>
    </row>
    <row r="56" spans="1:12" s="26" customFormat="1" ht="60" x14ac:dyDescent="0.25">
      <c r="A56" s="7" t="s">
        <v>122</v>
      </c>
      <c r="B56" s="11" t="s">
        <v>28</v>
      </c>
      <c r="C56" s="7" t="s">
        <v>123</v>
      </c>
      <c r="D56" s="11" t="s">
        <v>124</v>
      </c>
      <c r="E56" s="5">
        <f>91159841/10000000</f>
        <v>9.1159841000000004</v>
      </c>
      <c r="F56" s="5">
        <f t="shared" si="4"/>
        <v>9.1159841000000004</v>
      </c>
      <c r="G56" s="5"/>
      <c r="H56" s="5">
        <f>91159841/10000000</f>
        <v>9.1159841000000004</v>
      </c>
      <c r="I56" s="5">
        <f t="shared" si="3"/>
        <v>9.1159841000000004</v>
      </c>
      <c r="J56" s="5"/>
      <c r="K56" s="5"/>
      <c r="L56" s="5"/>
    </row>
    <row r="57" spans="1:12" s="26" customFormat="1" ht="60" x14ac:dyDescent="0.25">
      <c r="A57" s="1" t="s">
        <v>125</v>
      </c>
      <c r="B57" s="11" t="s">
        <v>28</v>
      </c>
      <c r="C57" s="7" t="s">
        <v>126</v>
      </c>
      <c r="D57" s="7" t="s">
        <v>127</v>
      </c>
      <c r="E57" s="11">
        <f>90400004/10000000</f>
        <v>9.0400004000000003</v>
      </c>
      <c r="F57" s="5">
        <f t="shared" si="4"/>
        <v>8.8430905000000006</v>
      </c>
      <c r="G57" s="5"/>
      <c r="H57" s="5">
        <f>88430905/10000000</f>
        <v>8.8430905000000006</v>
      </c>
      <c r="I57" s="5">
        <f t="shared" si="3"/>
        <v>8.8430905000000006</v>
      </c>
      <c r="J57" s="5"/>
      <c r="K57" s="5"/>
      <c r="L57" s="5"/>
    </row>
    <row r="58" spans="1:12" s="26" customFormat="1" ht="45" x14ac:dyDescent="0.25">
      <c r="A58" s="7" t="s">
        <v>128</v>
      </c>
      <c r="B58" s="11" t="s">
        <v>28</v>
      </c>
      <c r="C58" s="7" t="s">
        <v>129</v>
      </c>
      <c r="D58" s="7" t="s">
        <v>130</v>
      </c>
      <c r="E58" s="5">
        <v>106.79</v>
      </c>
      <c r="F58" s="25">
        <f t="shared" si="4"/>
        <v>106.79293476000001</v>
      </c>
      <c r="G58" s="5"/>
      <c r="H58" s="5">
        <f>1040620814.6/10000000</f>
        <v>104.06208146</v>
      </c>
      <c r="I58" s="5">
        <f t="shared" si="3"/>
        <v>106.79293476000001</v>
      </c>
      <c r="J58" s="5">
        <f>27308533/10000000</f>
        <v>2.7308533000000002</v>
      </c>
      <c r="K58" s="5"/>
      <c r="L58" s="5"/>
    </row>
    <row r="59" spans="1:12" s="26" customFormat="1" ht="90" x14ac:dyDescent="0.25">
      <c r="A59" s="1" t="s">
        <v>131</v>
      </c>
      <c r="B59" s="17" t="s">
        <v>132</v>
      </c>
      <c r="C59" s="1" t="s">
        <v>133</v>
      </c>
      <c r="D59" s="11" t="s">
        <v>134</v>
      </c>
      <c r="E59" s="5">
        <f>124284339.45/10000000</f>
        <v>12.428433945</v>
      </c>
      <c r="F59" s="25">
        <f t="shared" si="4"/>
        <v>11.2307919</v>
      </c>
      <c r="G59" s="5"/>
      <c r="H59" s="5"/>
      <c r="I59" s="5">
        <f t="shared" si="3"/>
        <v>11.2307919</v>
      </c>
      <c r="J59" s="5">
        <f>112307919/10000000</f>
        <v>11.2307919</v>
      </c>
      <c r="K59" s="5"/>
      <c r="L59" s="5"/>
    </row>
    <row r="60" spans="1:12" s="26" customFormat="1" ht="105" x14ac:dyDescent="0.25">
      <c r="A60" s="150" t="s">
        <v>135</v>
      </c>
      <c r="B60" s="151" t="s">
        <v>14</v>
      </c>
      <c r="C60" s="150" t="s">
        <v>136</v>
      </c>
      <c r="D60" s="7" t="s">
        <v>137</v>
      </c>
      <c r="E60" s="155">
        <v>39.28</v>
      </c>
      <c r="F60" s="5">
        <f t="shared" si="4"/>
        <v>15.441553900000001</v>
      </c>
      <c r="G60" s="5"/>
      <c r="H60" s="5">
        <v>0</v>
      </c>
      <c r="I60" s="5"/>
      <c r="J60" s="5">
        <f>154415539/10000000</f>
        <v>15.441553900000001</v>
      </c>
      <c r="K60" s="5"/>
      <c r="L60" s="5"/>
    </row>
    <row r="61" spans="1:12" s="26" customFormat="1" ht="60" customHeight="1" x14ac:dyDescent="0.25">
      <c r="A61" s="150"/>
      <c r="B61" s="151"/>
      <c r="C61" s="150"/>
      <c r="D61" s="7" t="s">
        <v>138</v>
      </c>
      <c r="E61" s="156"/>
      <c r="F61" s="5">
        <f t="shared" si="4"/>
        <v>16.573556100000001</v>
      </c>
      <c r="G61" s="5"/>
      <c r="H61" s="5">
        <f>148872809/10000000</f>
        <v>14.8872809</v>
      </c>
      <c r="I61" s="5">
        <f t="shared" ref="I61:I70" si="5">+J61+H61</f>
        <v>16.573556100000001</v>
      </c>
      <c r="J61" s="5">
        <f>16862752/10000000</f>
        <v>1.6862752000000001</v>
      </c>
      <c r="K61" s="5"/>
      <c r="L61" s="5"/>
    </row>
    <row r="62" spans="1:12" s="26" customFormat="1" ht="90" x14ac:dyDescent="0.25">
      <c r="A62" s="150"/>
      <c r="B62" s="151"/>
      <c r="C62" s="150"/>
      <c r="D62" s="7" t="s">
        <v>139</v>
      </c>
      <c r="E62" s="157"/>
      <c r="F62" s="5">
        <f t="shared" si="4"/>
        <v>7.4234039999999997</v>
      </c>
      <c r="G62" s="5">
        <f>61737771/10000000</f>
        <v>6.1737770999999997</v>
      </c>
      <c r="H62" s="5">
        <f>9931687/10000000</f>
        <v>0.99316870000000002</v>
      </c>
      <c r="I62" s="5">
        <f t="shared" si="5"/>
        <v>1.2496269</v>
      </c>
      <c r="J62" s="5">
        <f>2564582/10000000</f>
        <v>0.25645820000000003</v>
      </c>
      <c r="K62" s="5"/>
      <c r="L62" s="5"/>
    </row>
    <row r="63" spans="1:12" s="26" customFormat="1" ht="45" x14ac:dyDescent="0.25">
      <c r="A63" s="152" t="s">
        <v>140</v>
      </c>
      <c r="B63" s="161" t="s">
        <v>14</v>
      </c>
      <c r="C63" s="152" t="s">
        <v>141</v>
      </c>
      <c r="D63" s="7" t="s">
        <v>142</v>
      </c>
      <c r="E63" s="155">
        <v>44.21</v>
      </c>
      <c r="F63" s="5">
        <f t="shared" si="4"/>
        <v>14.0381774</v>
      </c>
      <c r="G63" s="5">
        <f>124817895/10000000</f>
        <v>12.4817895</v>
      </c>
      <c r="H63" s="5"/>
      <c r="I63" s="5">
        <f t="shared" si="5"/>
        <v>1.5563879</v>
      </c>
      <c r="J63" s="5">
        <f>15563879/10000000</f>
        <v>1.5563879</v>
      </c>
      <c r="K63" s="5"/>
      <c r="L63" s="5"/>
    </row>
    <row r="64" spans="1:12" s="26" customFormat="1" ht="60" x14ac:dyDescent="0.25">
      <c r="A64" s="153"/>
      <c r="B64" s="162"/>
      <c r="C64" s="153"/>
      <c r="D64" s="7" t="s">
        <v>143</v>
      </c>
      <c r="E64" s="156"/>
      <c r="F64" s="5">
        <f t="shared" si="4"/>
        <v>12.544494499999999</v>
      </c>
      <c r="G64" s="5"/>
      <c r="H64" s="5">
        <f>79958772/10000000</f>
        <v>7.9958771999999998</v>
      </c>
      <c r="I64" s="5">
        <f t="shared" si="5"/>
        <v>12.544494499999999</v>
      </c>
      <c r="J64" s="5">
        <f>45486173/10000000</f>
        <v>4.5486173000000001</v>
      </c>
      <c r="K64" s="5"/>
      <c r="L64" s="5"/>
    </row>
    <row r="65" spans="1:12" s="26" customFormat="1" ht="75" x14ac:dyDescent="0.25">
      <c r="A65" s="154"/>
      <c r="B65" s="163"/>
      <c r="C65" s="154"/>
      <c r="D65" s="7" t="s">
        <v>144</v>
      </c>
      <c r="E65" s="157"/>
      <c r="F65" s="5">
        <f t="shared" si="4"/>
        <v>14.019494600000002</v>
      </c>
      <c r="G65" s="5"/>
      <c r="H65" s="5">
        <f>84035851/10000000</f>
        <v>8.4035851000000008</v>
      </c>
      <c r="I65" s="5">
        <f t="shared" si="5"/>
        <v>14.019494600000002</v>
      </c>
      <c r="J65" s="5">
        <f>56159095/10000000</f>
        <v>5.6159094999999999</v>
      </c>
      <c r="K65" s="5"/>
      <c r="L65" s="5"/>
    </row>
    <row r="66" spans="1:12" s="26" customFormat="1" ht="22.5" customHeight="1" x14ac:dyDescent="0.25">
      <c r="A66" s="150" t="s">
        <v>145</v>
      </c>
      <c r="B66" s="151" t="s">
        <v>14</v>
      </c>
      <c r="C66" s="150" t="s">
        <v>146</v>
      </c>
      <c r="D66" s="11" t="s">
        <v>147</v>
      </c>
      <c r="E66" s="155">
        <f>905808415.7/10000000</f>
        <v>90.580841570000004</v>
      </c>
      <c r="F66" s="5">
        <f t="shared" si="4"/>
        <v>21.469850999999998</v>
      </c>
      <c r="G66" s="5"/>
      <c r="H66" s="5">
        <f>206452636/10000000</f>
        <v>20.6452636</v>
      </c>
      <c r="I66" s="5">
        <f t="shared" si="5"/>
        <v>21.469850999999998</v>
      </c>
      <c r="J66" s="5">
        <f>8245874/10000000</f>
        <v>0.82458739999999997</v>
      </c>
      <c r="K66" s="5"/>
      <c r="L66" s="5"/>
    </row>
    <row r="67" spans="1:12" s="26" customFormat="1" x14ac:dyDescent="0.25">
      <c r="A67" s="150"/>
      <c r="B67" s="151"/>
      <c r="C67" s="150"/>
      <c r="D67" s="11" t="s">
        <v>148</v>
      </c>
      <c r="E67" s="156"/>
      <c r="F67" s="5">
        <f t="shared" si="4"/>
        <v>21.8245632</v>
      </c>
      <c r="G67" s="5"/>
      <c r="H67" s="5">
        <f>212746132/10000000</f>
        <v>21.274613200000001</v>
      </c>
      <c r="I67" s="5">
        <f t="shared" si="5"/>
        <v>21.8245632</v>
      </c>
      <c r="J67" s="5">
        <f>5499500/10000000</f>
        <v>0.54995000000000005</v>
      </c>
      <c r="K67" s="5"/>
      <c r="L67" s="5"/>
    </row>
    <row r="68" spans="1:12" s="26" customFormat="1" x14ac:dyDescent="0.25">
      <c r="A68" s="150"/>
      <c r="B68" s="151"/>
      <c r="C68" s="150"/>
      <c r="D68" s="11" t="s">
        <v>149</v>
      </c>
      <c r="E68" s="156"/>
      <c r="F68" s="5">
        <f t="shared" si="4"/>
        <v>26.1587806</v>
      </c>
      <c r="G68" s="5"/>
      <c r="H68" s="5">
        <f>253022941/10000000</f>
        <v>25.302294100000001</v>
      </c>
      <c r="I68" s="5">
        <f t="shared" si="5"/>
        <v>26.1587806</v>
      </c>
      <c r="J68" s="5">
        <f>8564865/10000000</f>
        <v>0.85648650000000004</v>
      </c>
      <c r="K68" s="5"/>
      <c r="L68" s="5"/>
    </row>
    <row r="69" spans="1:12" s="26" customFormat="1" x14ac:dyDescent="0.25">
      <c r="A69" s="150"/>
      <c r="B69" s="151"/>
      <c r="C69" s="150"/>
      <c r="D69" s="11" t="s">
        <v>150</v>
      </c>
      <c r="E69" s="157"/>
      <c r="F69" s="5">
        <f t="shared" si="4"/>
        <v>19.4251787</v>
      </c>
      <c r="G69" s="5"/>
      <c r="H69" s="5">
        <f>194251787/10000000</f>
        <v>19.4251787</v>
      </c>
      <c r="I69" s="5">
        <f t="shared" si="5"/>
        <v>19.4251787</v>
      </c>
      <c r="J69" s="5"/>
      <c r="K69" s="5"/>
      <c r="L69" s="5"/>
    </row>
    <row r="70" spans="1:12" s="26" customFormat="1" ht="75" x14ac:dyDescent="0.25">
      <c r="A70" s="16" t="s">
        <v>151</v>
      </c>
      <c r="B70" s="17" t="s">
        <v>14</v>
      </c>
      <c r="C70" s="16" t="s">
        <v>152</v>
      </c>
      <c r="D70" s="11" t="s">
        <v>153</v>
      </c>
      <c r="E70" s="18"/>
      <c r="F70" s="5">
        <f t="shared" si="4"/>
        <v>0.26</v>
      </c>
      <c r="G70" s="5"/>
      <c r="H70" s="5">
        <v>0.26</v>
      </c>
      <c r="I70" s="5">
        <f t="shared" si="5"/>
        <v>0.26</v>
      </c>
      <c r="J70" s="5"/>
      <c r="K70" s="5"/>
      <c r="L70" s="5"/>
    </row>
    <row r="71" spans="1:12" s="26" customFormat="1" x14ac:dyDescent="0.25">
      <c r="A71" s="152" t="s">
        <v>154</v>
      </c>
      <c r="B71" s="161" t="s">
        <v>14</v>
      </c>
      <c r="C71" s="152" t="s">
        <v>155</v>
      </c>
      <c r="D71" s="7" t="s">
        <v>156</v>
      </c>
      <c r="E71" s="155">
        <v>11.41</v>
      </c>
      <c r="F71" s="5">
        <f t="shared" si="4"/>
        <v>2.8800590000000001</v>
      </c>
      <c r="G71" s="5"/>
      <c r="H71" s="5">
        <f>28800590/10000000</f>
        <v>2.8800590000000001</v>
      </c>
      <c r="I71" s="5"/>
      <c r="J71" s="5">
        <v>0</v>
      </c>
      <c r="K71" s="5"/>
      <c r="L71" s="5"/>
    </row>
    <row r="72" spans="1:12" s="26" customFormat="1" x14ac:dyDescent="0.25">
      <c r="A72" s="153"/>
      <c r="B72" s="162"/>
      <c r="C72" s="153"/>
      <c r="D72" s="7" t="s">
        <v>157</v>
      </c>
      <c r="E72" s="156"/>
      <c r="F72" s="5">
        <f t="shared" si="4"/>
        <v>1.5315042000000001</v>
      </c>
      <c r="G72" s="5"/>
      <c r="H72" s="5">
        <f>15315042/10000000</f>
        <v>1.5315042000000001</v>
      </c>
      <c r="I72" s="5"/>
      <c r="J72" s="5">
        <v>0</v>
      </c>
      <c r="K72" s="5"/>
      <c r="L72" s="5"/>
    </row>
    <row r="73" spans="1:12" s="26" customFormat="1" x14ac:dyDescent="0.25">
      <c r="A73" s="153"/>
      <c r="B73" s="162"/>
      <c r="C73" s="153"/>
      <c r="D73" s="7" t="s">
        <v>158</v>
      </c>
      <c r="E73" s="156"/>
      <c r="F73" s="5">
        <f t="shared" si="4"/>
        <v>2.9052958000000002</v>
      </c>
      <c r="G73" s="5"/>
      <c r="H73" s="5">
        <f>29052958/10000000</f>
        <v>2.9052958000000002</v>
      </c>
      <c r="I73" s="5">
        <f>+J73+H73</f>
        <v>2.9052958000000002</v>
      </c>
      <c r="J73" s="5">
        <v>0</v>
      </c>
      <c r="K73" s="5"/>
      <c r="L73" s="5"/>
    </row>
    <row r="74" spans="1:12" s="26" customFormat="1" x14ac:dyDescent="0.25">
      <c r="A74" s="153"/>
      <c r="B74" s="162"/>
      <c r="C74" s="153"/>
      <c r="D74" s="7" t="s">
        <v>159</v>
      </c>
      <c r="E74" s="156"/>
      <c r="F74" s="5">
        <f t="shared" si="4"/>
        <v>1.3328312</v>
      </c>
      <c r="G74" s="5"/>
      <c r="H74" s="5">
        <f>13328312/10000000</f>
        <v>1.3328312</v>
      </c>
      <c r="I74" s="5"/>
      <c r="J74" s="5">
        <v>0</v>
      </c>
      <c r="K74" s="5"/>
      <c r="L74" s="5"/>
    </row>
    <row r="75" spans="1:12" s="26" customFormat="1" x14ac:dyDescent="0.25">
      <c r="A75" s="153"/>
      <c r="B75" s="162"/>
      <c r="C75" s="153"/>
      <c r="D75" s="7" t="s">
        <v>160</v>
      </c>
      <c r="E75" s="156"/>
      <c r="F75" s="5">
        <f t="shared" si="4"/>
        <v>1.4115176</v>
      </c>
      <c r="G75" s="5"/>
      <c r="H75" s="5">
        <f>14115176/10000000</f>
        <v>1.4115176</v>
      </c>
      <c r="I75" s="5"/>
      <c r="J75" s="5">
        <v>0</v>
      </c>
      <c r="K75" s="5"/>
      <c r="L75" s="5"/>
    </row>
    <row r="76" spans="1:12" s="26" customFormat="1" x14ac:dyDescent="0.25">
      <c r="A76" s="154"/>
      <c r="B76" s="163"/>
      <c r="C76" s="154"/>
      <c r="D76" s="7" t="s">
        <v>161</v>
      </c>
      <c r="E76" s="157"/>
      <c r="F76" s="5">
        <f t="shared" ref="F76:F107" si="6">+G76+H76+J76</f>
        <v>1.5869816000000001</v>
      </c>
      <c r="G76" s="5"/>
      <c r="H76" s="5">
        <f>12710106/10000000</f>
        <v>1.2710106000000001</v>
      </c>
      <c r="I76" s="5">
        <f>+J76+H76</f>
        <v>1.5869816000000001</v>
      </c>
      <c r="J76" s="5">
        <f>3159710/10000000</f>
        <v>0.315971</v>
      </c>
      <c r="K76" s="5"/>
      <c r="L76" s="5"/>
    </row>
    <row r="77" spans="1:12" s="26" customFormat="1" ht="44.25" customHeight="1" x14ac:dyDescent="0.25">
      <c r="A77" s="7" t="s">
        <v>162</v>
      </c>
      <c r="B77" s="11" t="s">
        <v>28</v>
      </c>
      <c r="C77" s="7" t="s">
        <v>163</v>
      </c>
      <c r="D77" s="7" t="s">
        <v>164</v>
      </c>
      <c r="E77" s="5">
        <f>791513247/10000000</f>
        <v>79.151324700000004</v>
      </c>
      <c r="F77" s="5">
        <f t="shared" si="6"/>
        <v>1.7667157</v>
      </c>
      <c r="G77" s="5"/>
      <c r="H77" s="5">
        <f>17246482/10000000</f>
        <v>1.7246482000000001</v>
      </c>
      <c r="I77" s="5">
        <f>+J77+H77</f>
        <v>1.7667157</v>
      </c>
      <c r="J77" s="5">
        <f>420675/10000000</f>
        <v>4.2067500000000001E-2</v>
      </c>
      <c r="K77" s="5"/>
      <c r="L77" s="5"/>
    </row>
    <row r="78" spans="1:12" s="26" customFormat="1" ht="30" x14ac:dyDescent="0.25">
      <c r="A78" s="150" t="s">
        <v>165</v>
      </c>
      <c r="B78" s="151" t="s">
        <v>14</v>
      </c>
      <c r="C78" s="150" t="s">
        <v>166</v>
      </c>
      <c r="D78" s="7" t="s">
        <v>167</v>
      </c>
      <c r="E78" s="155">
        <v>58.1</v>
      </c>
      <c r="F78" s="5">
        <f t="shared" si="6"/>
        <v>4.5659343000000003</v>
      </c>
      <c r="G78" s="5"/>
      <c r="H78" s="5">
        <f>22840403/10000000</f>
        <v>2.2840403</v>
      </c>
      <c r="I78" s="5">
        <v>0</v>
      </c>
      <c r="J78" s="5">
        <f>22818940/10000000</f>
        <v>2.2818939999999999</v>
      </c>
      <c r="K78" s="5"/>
      <c r="L78" s="5">
        <f>5795475/10000000</f>
        <v>0.57954749999999999</v>
      </c>
    </row>
    <row r="79" spans="1:12" s="26" customFormat="1" ht="30" x14ac:dyDescent="0.25">
      <c r="A79" s="150"/>
      <c r="B79" s="151"/>
      <c r="C79" s="150"/>
      <c r="D79" s="7" t="s">
        <v>168</v>
      </c>
      <c r="E79" s="156"/>
      <c r="F79" s="5">
        <f t="shared" si="6"/>
        <v>18.106512100000003</v>
      </c>
      <c r="G79" s="5"/>
      <c r="H79" s="5">
        <f>172446474/10000000</f>
        <v>17.244647400000002</v>
      </c>
      <c r="I79" s="5">
        <f t="shared" ref="I79:I88" si="7">+J79+H79</f>
        <v>18.106512100000003</v>
      </c>
      <c r="J79" s="5">
        <f>8618647/10000000</f>
        <v>0.86186470000000004</v>
      </c>
      <c r="K79" s="5"/>
      <c r="L79" s="5">
        <f>8351070/10000000</f>
        <v>0.83510700000000004</v>
      </c>
    </row>
    <row r="80" spans="1:12" s="26" customFormat="1" ht="45" x14ac:dyDescent="0.25">
      <c r="A80" s="150"/>
      <c r="B80" s="151"/>
      <c r="C80" s="150"/>
      <c r="D80" s="7" t="s">
        <v>169</v>
      </c>
      <c r="E80" s="157"/>
      <c r="F80" s="5">
        <f t="shared" si="6"/>
        <v>20.4131003</v>
      </c>
      <c r="G80" s="5"/>
      <c r="H80" s="5">
        <f>191966491/10000000</f>
        <v>19.196649099999998</v>
      </c>
      <c r="I80" s="5">
        <f t="shared" si="7"/>
        <v>20.4131003</v>
      </c>
      <c r="J80" s="5">
        <f>12164512/10000000</f>
        <v>1.2164512000000001</v>
      </c>
      <c r="K80" s="5"/>
      <c r="L80" s="5">
        <f>1492698/10000000</f>
        <v>0.14926980000000001</v>
      </c>
    </row>
    <row r="81" spans="1:13" s="26" customFormat="1" ht="45" x14ac:dyDescent="0.25">
      <c r="A81" s="1" t="s">
        <v>170</v>
      </c>
      <c r="B81" s="11" t="s">
        <v>28</v>
      </c>
      <c r="C81" s="19" t="s">
        <v>171</v>
      </c>
      <c r="D81" s="11" t="s">
        <v>172</v>
      </c>
      <c r="E81" s="5">
        <v>67.02</v>
      </c>
      <c r="F81" s="5">
        <f t="shared" si="6"/>
        <v>61.213914800000005</v>
      </c>
      <c r="G81" s="5"/>
      <c r="H81" s="5">
        <f>465534705/10000000</f>
        <v>46.553470500000003</v>
      </c>
      <c r="I81" s="5">
        <f t="shared" si="7"/>
        <v>61.213914800000005</v>
      </c>
      <c r="J81" s="32">
        <f>146604443/10000000</f>
        <v>14.6604443</v>
      </c>
      <c r="K81" s="5"/>
      <c r="L81" s="5">
        <f>18401563/10000000</f>
        <v>1.8401563000000001</v>
      </c>
      <c r="M81" s="20"/>
    </row>
    <row r="82" spans="1:13" s="26" customFormat="1" ht="45" x14ac:dyDescent="0.25">
      <c r="A82" s="7" t="s">
        <v>173</v>
      </c>
      <c r="B82" s="11" t="s">
        <v>28</v>
      </c>
      <c r="C82" s="7" t="s">
        <v>174</v>
      </c>
      <c r="D82" s="1" t="s">
        <v>175</v>
      </c>
      <c r="E82" s="5"/>
      <c r="F82" s="5">
        <f t="shared" si="6"/>
        <v>6.0281696650000001</v>
      </c>
      <c r="G82" s="5"/>
      <c r="H82" s="5">
        <f>60281696.65/10000000</f>
        <v>6.0281696650000001</v>
      </c>
      <c r="I82" s="5">
        <f t="shared" si="7"/>
        <v>6.0281696650000001</v>
      </c>
      <c r="J82" s="5"/>
      <c r="K82" s="5"/>
      <c r="L82" s="5"/>
    </row>
    <row r="83" spans="1:13" s="26" customFormat="1" ht="75" x14ac:dyDescent="0.25">
      <c r="A83" s="7" t="s">
        <v>176</v>
      </c>
      <c r="B83" s="11" t="s">
        <v>28</v>
      </c>
      <c r="C83" s="7" t="s">
        <v>177</v>
      </c>
      <c r="D83" s="11" t="s">
        <v>178</v>
      </c>
      <c r="E83" s="5">
        <v>85.07</v>
      </c>
      <c r="F83" s="5">
        <f t="shared" si="6"/>
        <v>78.686783900000009</v>
      </c>
      <c r="G83" s="20">
        <f>762925759/10000000</f>
        <v>76.292575900000003</v>
      </c>
      <c r="H83" s="5">
        <f>23942080/10000000</f>
        <v>2.3942079999999999</v>
      </c>
      <c r="I83" s="5">
        <f t="shared" si="7"/>
        <v>2.3942079999999999</v>
      </c>
      <c r="J83" s="5"/>
      <c r="K83" s="5"/>
      <c r="L83" s="5"/>
    </row>
    <row r="84" spans="1:13" s="26" customFormat="1" ht="15" customHeight="1" x14ac:dyDescent="0.25">
      <c r="A84" s="152" t="s">
        <v>179</v>
      </c>
      <c r="B84" s="161" t="s">
        <v>14</v>
      </c>
      <c r="C84" s="158" t="s">
        <v>180</v>
      </c>
      <c r="D84" s="11" t="s">
        <v>181</v>
      </c>
      <c r="E84" s="155">
        <v>12.59</v>
      </c>
      <c r="F84" s="5">
        <f t="shared" si="6"/>
        <v>3.3148752999999997</v>
      </c>
      <c r="G84" s="5"/>
      <c r="H84" s="5">
        <f>(4973582+25726871)/10000000</f>
        <v>3.0700452999999999</v>
      </c>
      <c r="I84" s="5">
        <f t="shared" si="7"/>
        <v>3.3148752999999997</v>
      </c>
      <c r="J84" s="5">
        <f>(995074+1453226)/10000000</f>
        <v>0.24482999999999999</v>
      </c>
      <c r="K84" s="5"/>
      <c r="L84" s="5"/>
    </row>
    <row r="85" spans="1:13" s="26" customFormat="1" x14ac:dyDescent="0.25">
      <c r="A85" s="153"/>
      <c r="B85" s="162"/>
      <c r="C85" s="159"/>
      <c r="D85" s="11" t="s">
        <v>182</v>
      </c>
      <c r="E85" s="156"/>
      <c r="F85" s="5">
        <f t="shared" si="6"/>
        <v>1.4748460000000001</v>
      </c>
      <c r="G85" s="5"/>
      <c r="H85" s="5">
        <f>13741646/10000000</f>
        <v>1.3741646000000001</v>
      </c>
      <c r="I85" s="5">
        <f t="shared" si="7"/>
        <v>1.4748460000000001</v>
      </c>
      <c r="J85" s="5">
        <f>1006814/10000000</f>
        <v>0.1006814</v>
      </c>
      <c r="K85" s="5"/>
      <c r="L85" s="5"/>
    </row>
    <row r="86" spans="1:13" s="26" customFormat="1" x14ac:dyDescent="0.25">
      <c r="A86" s="153"/>
      <c r="B86" s="162"/>
      <c r="C86" s="159"/>
      <c r="D86" s="11" t="s">
        <v>183</v>
      </c>
      <c r="E86" s="156"/>
      <c r="F86" s="5">
        <f t="shared" si="6"/>
        <v>1.4697571999999999</v>
      </c>
      <c r="G86" s="5"/>
      <c r="H86" s="5">
        <f>13731692/10000000</f>
        <v>1.3731692</v>
      </c>
      <c r="I86" s="5">
        <f t="shared" si="7"/>
        <v>1.4697571999999999</v>
      </c>
      <c r="J86" s="5">
        <f>965880/10000000</f>
        <v>9.6587999999999993E-2</v>
      </c>
      <c r="K86" s="5"/>
      <c r="L86" s="5"/>
    </row>
    <row r="87" spans="1:13" s="26" customFormat="1" x14ac:dyDescent="0.25">
      <c r="A87" s="153"/>
      <c r="B87" s="162"/>
      <c r="C87" s="159"/>
      <c r="D87" s="11" t="s">
        <v>184</v>
      </c>
      <c r="E87" s="156"/>
      <c r="F87" s="5">
        <f t="shared" si="6"/>
        <v>1.5243064</v>
      </c>
      <c r="G87" s="5"/>
      <c r="H87" s="5">
        <f>14261432/10000000</f>
        <v>1.4261432000000001</v>
      </c>
      <c r="I87" s="5">
        <f t="shared" si="7"/>
        <v>1.5243064</v>
      </c>
      <c r="J87" s="5">
        <f>981632/10000000</f>
        <v>9.8163200000000006E-2</v>
      </c>
      <c r="K87" s="5"/>
      <c r="L87" s="5"/>
    </row>
    <row r="88" spans="1:13" s="26" customFormat="1" x14ac:dyDescent="0.25">
      <c r="A88" s="153"/>
      <c r="B88" s="162"/>
      <c r="C88" s="159"/>
      <c r="D88" s="11" t="s">
        <v>185</v>
      </c>
      <c r="E88" s="156"/>
      <c r="F88" s="5">
        <f t="shared" si="6"/>
        <v>0.93805150000000004</v>
      </c>
      <c r="G88" s="5"/>
      <c r="H88" s="5">
        <f>9380515/10000000</f>
        <v>0.93805150000000004</v>
      </c>
      <c r="I88" s="5">
        <f t="shared" si="7"/>
        <v>0.93805150000000004</v>
      </c>
      <c r="J88" s="5"/>
      <c r="K88" s="5"/>
      <c r="L88" s="5"/>
    </row>
    <row r="89" spans="1:13" s="26" customFormat="1" x14ac:dyDescent="0.25">
      <c r="A89" s="153"/>
      <c r="B89" s="162"/>
      <c r="C89" s="159"/>
      <c r="D89" s="11" t="s">
        <v>186</v>
      </c>
      <c r="E89" s="156"/>
      <c r="F89" s="5">
        <f t="shared" si="6"/>
        <v>1.5063800000000001</v>
      </c>
      <c r="G89" s="5"/>
      <c r="H89" s="5">
        <f>14033563/10000000</f>
        <v>1.4033563</v>
      </c>
      <c r="I89" s="5"/>
      <c r="J89" s="5">
        <f>1030237/10000000</f>
        <v>0.1030237</v>
      </c>
      <c r="K89" s="5"/>
      <c r="L89" s="5"/>
    </row>
    <row r="90" spans="1:13" s="26" customFormat="1" x14ac:dyDescent="0.25">
      <c r="A90" s="154"/>
      <c r="B90" s="163"/>
      <c r="C90" s="160"/>
      <c r="D90" s="11" t="s">
        <v>187</v>
      </c>
      <c r="E90" s="157"/>
      <c r="F90" s="5">
        <f t="shared" si="6"/>
        <v>1.4350703</v>
      </c>
      <c r="G90" s="5"/>
      <c r="H90" s="5">
        <f>14350703/10000000</f>
        <v>1.4350703</v>
      </c>
      <c r="I90" s="5"/>
      <c r="J90" s="5"/>
      <c r="K90" s="5"/>
      <c r="L90" s="5"/>
    </row>
    <row r="91" spans="1:13" s="26" customFormat="1" ht="60" x14ac:dyDescent="0.25">
      <c r="A91" s="150" t="s">
        <v>188</v>
      </c>
      <c r="B91" s="151" t="s">
        <v>14</v>
      </c>
      <c r="C91" s="150" t="s">
        <v>189</v>
      </c>
      <c r="D91" s="7" t="s">
        <v>190</v>
      </c>
      <c r="E91" s="155">
        <v>7.34</v>
      </c>
      <c r="F91" s="5">
        <f t="shared" si="6"/>
        <v>0.24336479999999999</v>
      </c>
      <c r="G91" s="5"/>
      <c r="H91" s="5">
        <f>2433648/10000000</f>
        <v>0.24336479999999999</v>
      </c>
      <c r="I91" s="5">
        <f>+J91+H91</f>
        <v>0.24336479999999999</v>
      </c>
      <c r="J91" s="5"/>
      <c r="K91" s="5"/>
      <c r="L91" s="5"/>
    </row>
    <row r="92" spans="1:13" s="26" customFormat="1" ht="34.5" customHeight="1" x14ac:dyDescent="0.25">
      <c r="A92" s="150"/>
      <c r="B92" s="151"/>
      <c r="C92" s="150"/>
      <c r="D92" s="7" t="s">
        <v>191</v>
      </c>
      <c r="E92" s="156"/>
      <c r="F92" s="5">
        <f t="shared" si="6"/>
        <v>5.3276459000000003</v>
      </c>
      <c r="G92" s="5"/>
      <c r="H92" s="5">
        <f>48011679/10000000</f>
        <v>4.8011679000000003</v>
      </c>
      <c r="I92" s="5">
        <f>+J92+H92</f>
        <v>5.3276459000000003</v>
      </c>
      <c r="J92" s="5">
        <f>5264780/10000000</f>
        <v>0.526478</v>
      </c>
      <c r="K92" s="5"/>
      <c r="L92" s="5"/>
    </row>
    <row r="93" spans="1:13" s="26" customFormat="1" ht="45" x14ac:dyDescent="0.25">
      <c r="A93" s="150"/>
      <c r="B93" s="151"/>
      <c r="C93" s="150"/>
      <c r="D93" s="7" t="s">
        <v>192</v>
      </c>
      <c r="E93" s="157"/>
      <c r="F93" s="5">
        <f t="shared" si="6"/>
        <v>2.3536321999999998</v>
      </c>
      <c r="G93" s="5"/>
      <c r="H93" s="5">
        <f>23536322/10000000</f>
        <v>2.3536321999999998</v>
      </c>
      <c r="I93" s="5">
        <f>+J93+H93</f>
        <v>2.3536321999999998</v>
      </c>
      <c r="J93" s="5"/>
      <c r="K93" s="5"/>
      <c r="L93" s="5"/>
    </row>
    <row r="94" spans="1:13" s="26" customFormat="1" ht="75" x14ac:dyDescent="0.25">
      <c r="A94" s="7" t="s">
        <v>193</v>
      </c>
      <c r="B94" s="11" t="s">
        <v>14</v>
      </c>
      <c r="C94" s="19" t="s">
        <v>194</v>
      </c>
      <c r="D94" s="7" t="s">
        <v>195</v>
      </c>
      <c r="E94" s="20">
        <v>9.74</v>
      </c>
      <c r="F94" s="5">
        <f t="shared" si="6"/>
        <v>10.238936199999999</v>
      </c>
      <c r="G94" s="5"/>
      <c r="H94" s="5">
        <f>102389362/10000000</f>
        <v>10.238936199999999</v>
      </c>
      <c r="I94" s="5">
        <f>+J94+H94</f>
        <v>10.238936199999999</v>
      </c>
      <c r="J94" s="5"/>
      <c r="K94" s="5"/>
      <c r="L94" s="5"/>
    </row>
    <row r="95" spans="1:13" s="26" customFormat="1" ht="30" x14ac:dyDescent="0.25">
      <c r="A95" s="7" t="s">
        <v>196</v>
      </c>
      <c r="B95" s="11" t="s">
        <v>28</v>
      </c>
      <c r="C95" s="11" t="s">
        <v>197</v>
      </c>
      <c r="D95" s="26" t="s">
        <v>198</v>
      </c>
      <c r="E95" s="33" t="s">
        <v>199</v>
      </c>
      <c r="F95" s="5">
        <f t="shared" si="6"/>
        <v>4.3633600999999995</v>
      </c>
      <c r="G95" s="5"/>
      <c r="H95" s="5">
        <f>42158007/10000000</f>
        <v>4.2158007</v>
      </c>
      <c r="I95" s="5">
        <f>+J95+H95</f>
        <v>4.3633600999999995</v>
      </c>
      <c r="J95" s="5">
        <f>1475594/10000000</f>
        <v>0.14755940000000001</v>
      </c>
      <c r="K95" s="5"/>
      <c r="L95" s="5"/>
    </row>
    <row r="96" spans="1:13" s="26" customFormat="1" ht="30" x14ac:dyDescent="0.25">
      <c r="A96" s="169" t="s">
        <v>200</v>
      </c>
      <c r="B96" s="161" t="s">
        <v>14</v>
      </c>
      <c r="C96" s="152" t="s">
        <v>201</v>
      </c>
      <c r="D96" s="7" t="s">
        <v>202</v>
      </c>
      <c r="E96" s="155">
        <v>81.69</v>
      </c>
      <c r="F96" s="5">
        <f t="shared" si="6"/>
        <v>22.34</v>
      </c>
      <c r="G96" s="5"/>
      <c r="H96" s="5">
        <v>19.68</v>
      </c>
      <c r="I96" s="5"/>
      <c r="J96" s="5">
        <v>2.66</v>
      </c>
      <c r="K96" s="5"/>
      <c r="L96" s="5"/>
    </row>
    <row r="97" spans="1:12" s="26" customFormat="1" ht="30" x14ac:dyDescent="0.25">
      <c r="A97" s="170"/>
      <c r="B97" s="162"/>
      <c r="C97" s="153"/>
      <c r="D97" s="7" t="s">
        <v>203</v>
      </c>
      <c r="E97" s="156"/>
      <c r="F97" s="5">
        <f t="shared" si="6"/>
        <v>19.82</v>
      </c>
      <c r="G97" s="5"/>
      <c r="H97" s="5">
        <v>17.91</v>
      </c>
      <c r="I97" s="5"/>
      <c r="J97" s="5">
        <v>1.91</v>
      </c>
      <c r="K97" s="5"/>
      <c r="L97" s="5"/>
    </row>
    <row r="98" spans="1:12" s="26" customFormat="1" ht="30" x14ac:dyDescent="0.25">
      <c r="A98" s="170"/>
      <c r="B98" s="162"/>
      <c r="C98" s="153"/>
      <c r="D98" s="7" t="s">
        <v>204</v>
      </c>
      <c r="E98" s="156"/>
      <c r="F98" s="5">
        <f t="shared" si="6"/>
        <v>1.51</v>
      </c>
      <c r="G98" s="5"/>
      <c r="H98" s="5"/>
      <c r="I98" s="5"/>
      <c r="J98" s="5">
        <v>1.51</v>
      </c>
      <c r="K98" s="5"/>
      <c r="L98" s="5"/>
    </row>
    <row r="99" spans="1:12" s="26" customFormat="1" ht="30" x14ac:dyDescent="0.25">
      <c r="A99" s="171"/>
      <c r="B99" s="163"/>
      <c r="C99" s="154"/>
      <c r="D99" s="7" t="s">
        <v>205</v>
      </c>
      <c r="E99" s="157"/>
      <c r="F99" s="5">
        <f t="shared" si="6"/>
        <v>1.04</v>
      </c>
      <c r="G99" s="5"/>
      <c r="H99" s="5"/>
      <c r="I99" s="5"/>
      <c r="J99" s="5">
        <v>1.04</v>
      </c>
      <c r="K99" s="5"/>
      <c r="L99" s="5"/>
    </row>
    <row r="100" spans="1:12" s="26" customFormat="1" ht="30" x14ac:dyDescent="0.25">
      <c r="A100" s="11"/>
      <c r="B100" s="11" t="s">
        <v>14</v>
      </c>
      <c r="C100" s="7" t="s">
        <v>206</v>
      </c>
      <c r="D100" s="7" t="s">
        <v>207</v>
      </c>
      <c r="E100" s="5">
        <v>25.53</v>
      </c>
      <c r="F100" s="5">
        <f t="shared" si="6"/>
        <v>23.77</v>
      </c>
      <c r="G100" s="5"/>
      <c r="H100" s="5">
        <v>23.77</v>
      </c>
      <c r="I100" s="5"/>
      <c r="J100" s="5">
        <v>0</v>
      </c>
      <c r="K100" s="5"/>
      <c r="L100" s="5"/>
    </row>
    <row r="101" spans="1:12" s="26" customFormat="1" ht="91.5" customHeight="1" x14ac:dyDescent="0.25">
      <c r="A101" s="11" t="s">
        <v>208</v>
      </c>
      <c r="B101" s="11" t="s">
        <v>28</v>
      </c>
      <c r="C101" s="7" t="s">
        <v>209</v>
      </c>
      <c r="D101" s="11"/>
      <c r="E101" s="5">
        <v>15.21</v>
      </c>
      <c r="F101" s="5">
        <f t="shared" si="6"/>
        <v>13.96</v>
      </c>
      <c r="G101" s="5"/>
      <c r="H101" s="5">
        <v>13.32</v>
      </c>
      <c r="I101" s="5"/>
      <c r="J101" s="5">
        <v>0.64</v>
      </c>
      <c r="K101" s="5"/>
      <c r="L101" s="5"/>
    </row>
    <row r="102" spans="1:12" s="26" customFormat="1" ht="60" x14ac:dyDescent="0.25">
      <c r="A102" s="11" t="s">
        <v>210</v>
      </c>
      <c r="B102" s="11" t="s">
        <v>14</v>
      </c>
      <c r="C102" s="7" t="s">
        <v>211</v>
      </c>
      <c r="D102" s="11"/>
      <c r="E102" s="5">
        <v>30.97</v>
      </c>
      <c r="F102" s="5">
        <f t="shared" si="6"/>
        <v>30.65</v>
      </c>
      <c r="G102" s="5"/>
      <c r="H102" s="5">
        <v>29.57</v>
      </c>
      <c r="I102" s="5"/>
      <c r="J102" s="25">
        <v>1.08</v>
      </c>
      <c r="K102" s="5"/>
      <c r="L102" s="5"/>
    </row>
    <row r="103" spans="1:12" s="26" customFormat="1" ht="75" x14ac:dyDescent="0.25">
      <c r="A103" s="11" t="s">
        <v>212</v>
      </c>
      <c r="B103" s="11" t="s">
        <v>14</v>
      </c>
      <c r="C103" s="7" t="s">
        <v>213</v>
      </c>
      <c r="D103" s="11"/>
      <c r="E103" s="5">
        <v>26.49</v>
      </c>
      <c r="F103" s="5">
        <f t="shared" si="6"/>
        <v>21.23</v>
      </c>
      <c r="G103" s="5"/>
      <c r="H103" s="5">
        <v>13.75</v>
      </c>
      <c r="I103" s="5"/>
      <c r="J103" s="5">
        <v>7.48</v>
      </c>
      <c r="K103" s="5"/>
      <c r="L103" s="5"/>
    </row>
    <row r="104" spans="1:12" s="26" customFormat="1" ht="75" x14ac:dyDescent="0.25">
      <c r="A104" s="11"/>
      <c r="B104" s="11" t="s">
        <v>14</v>
      </c>
      <c r="C104" s="7" t="s">
        <v>214</v>
      </c>
      <c r="D104" s="11"/>
      <c r="E104" s="5">
        <v>67.17</v>
      </c>
      <c r="F104" s="5">
        <f t="shared" si="6"/>
        <v>56.8</v>
      </c>
      <c r="G104" s="5"/>
      <c r="H104" s="5">
        <v>56.8</v>
      </c>
      <c r="I104" s="5"/>
      <c r="J104" s="5">
        <v>0</v>
      </c>
      <c r="K104" s="5"/>
      <c r="L104" s="5"/>
    </row>
    <row r="105" spans="1:12" s="26" customFormat="1" ht="90" x14ac:dyDescent="0.25">
      <c r="A105" s="11" t="s">
        <v>215</v>
      </c>
      <c r="B105" s="11" t="s">
        <v>14</v>
      </c>
      <c r="C105" s="7" t="s">
        <v>216</v>
      </c>
      <c r="D105" s="11"/>
      <c r="E105" s="5">
        <v>16.690000000000001</v>
      </c>
      <c r="F105" s="5">
        <f t="shared" si="6"/>
        <v>14.91</v>
      </c>
      <c r="G105" s="5"/>
      <c r="H105" s="5">
        <v>14.91</v>
      </c>
      <c r="I105" s="5"/>
      <c r="J105" s="5">
        <v>0</v>
      </c>
      <c r="K105" s="5"/>
      <c r="L105" s="5"/>
    </row>
    <row r="106" spans="1:12" s="26" customFormat="1" ht="45" x14ac:dyDescent="0.25">
      <c r="A106" s="7" t="s">
        <v>217</v>
      </c>
      <c r="B106" s="11" t="s">
        <v>28</v>
      </c>
      <c r="C106" s="7" t="s">
        <v>218</v>
      </c>
      <c r="D106" s="11"/>
      <c r="E106" s="5">
        <v>8.5399999999999991</v>
      </c>
      <c r="F106" s="5">
        <f t="shared" si="6"/>
        <v>6.7</v>
      </c>
      <c r="G106" s="155">
        <v>6.7</v>
      </c>
      <c r="H106" s="5"/>
      <c r="I106" s="5"/>
      <c r="J106" s="155">
        <v>0</v>
      </c>
      <c r="K106" s="5"/>
      <c r="L106" s="5"/>
    </row>
    <row r="107" spans="1:12" s="26" customFormat="1" ht="45" x14ac:dyDescent="0.25">
      <c r="A107" s="7" t="s">
        <v>219</v>
      </c>
      <c r="B107" s="11" t="s">
        <v>28</v>
      </c>
      <c r="C107" s="7" t="s">
        <v>220</v>
      </c>
      <c r="D107" s="11"/>
      <c r="E107" s="5">
        <v>18.829999999999998</v>
      </c>
      <c r="F107" s="5">
        <f t="shared" si="6"/>
        <v>0</v>
      </c>
      <c r="G107" s="157"/>
      <c r="H107" s="5"/>
      <c r="I107" s="5"/>
      <c r="J107" s="157"/>
      <c r="K107" s="5"/>
      <c r="L107" s="5"/>
    </row>
    <row r="108" spans="1:12" s="26" customFormat="1" ht="45" x14ac:dyDescent="0.25">
      <c r="A108" s="7" t="s">
        <v>221</v>
      </c>
      <c r="B108" s="11" t="s">
        <v>28</v>
      </c>
      <c r="C108" s="7" t="s">
        <v>222</v>
      </c>
      <c r="D108" s="11"/>
      <c r="E108" s="5">
        <v>28.16</v>
      </c>
      <c r="F108" s="5">
        <f t="shared" ref="F108:F139" si="8">+G108+H108+J108</f>
        <v>0</v>
      </c>
      <c r="G108" s="5"/>
      <c r="H108" s="5"/>
      <c r="I108" s="5"/>
      <c r="J108" s="5">
        <v>0</v>
      </c>
      <c r="K108" s="5"/>
      <c r="L108" s="5"/>
    </row>
    <row r="109" spans="1:12" s="26" customFormat="1" ht="60" x14ac:dyDescent="0.25">
      <c r="A109" s="7" t="s">
        <v>223</v>
      </c>
      <c r="B109" s="11" t="s">
        <v>28</v>
      </c>
      <c r="C109" s="7" t="s">
        <v>224</v>
      </c>
      <c r="D109" s="11"/>
      <c r="E109" s="5">
        <v>7.02</v>
      </c>
      <c r="F109" s="5">
        <f t="shared" si="8"/>
        <v>0</v>
      </c>
      <c r="G109" s="5"/>
      <c r="H109" s="5"/>
      <c r="I109" s="5"/>
      <c r="J109" s="5">
        <v>0</v>
      </c>
      <c r="K109" s="5"/>
      <c r="L109" s="5"/>
    </row>
    <row r="110" spans="1:12" s="26" customFormat="1" ht="180" x14ac:dyDescent="0.25">
      <c r="A110" s="11" t="s">
        <v>225</v>
      </c>
      <c r="B110" s="11" t="s">
        <v>14</v>
      </c>
      <c r="C110" s="7" t="s">
        <v>226</v>
      </c>
      <c r="D110" s="11"/>
      <c r="E110" s="5">
        <v>48.16</v>
      </c>
      <c r="F110" s="5">
        <f t="shared" si="8"/>
        <v>50.05</v>
      </c>
      <c r="G110" s="5"/>
      <c r="H110" s="5">
        <v>49.48</v>
      </c>
      <c r="I110" s="5"/>
      <c r="J110" s="5">
        <v>0.56999999999999995</v>
      </c>
      <c r="K110" s="5"/>
      <c r="L110" s="5"/>
    </row>
    <row r="111" spans="1:12" s="26" customFormat="1" ht="45" x14ac:dyDescent="0.25">
      <c r="A111" s="11"/>
      <c r="B111" s="7" t="s">
        <v>227</v>
      </c>
      <c r="C111" s="7" t="s">
        <v>228</v>
      </c>
      <c r="D111" s="11"/>
      <c r="E111" s="5">
        <v>122.36</v>
      </c>
      <c r="F111" s="25">
        <f t="shared" si="8"/>
        <v>43.78</v>
      </c>
      <c r="G111" s="5"/>
      <c r="H111" s="5">
        <v>28.91</v>
      </c>
      <c r="I111" s="5"/>
      <c r="J111" s="5">
        <v>14.87</v>
      </c>
      <c r="K111" s="5"/>
      <c r="L111" s="5"/>
    </row>
    <row r="112" spans="1:12" s="26" customFormat="1" ht="45" x14ac:dyDescent="0.25">
      <c r="A112" s="11"/>
      <c r="B112" s="7" t="s">
        <v>227</v>
      </c>
      <c r="C112" s="7" t="s">
        <v>229</v>
      </c>
      <c r="D112" s="11"/>
      <c r="E112" s="5"/>
      <c r="F112" s="25">
        <f t="shared" si="8"/>
        <v>17.420000000000002</v>
      </c>
      <c r="G112" s="5"/>
      <c r="H112" s="5">
        <v>16.420000000000002</v>
      </c>
      <c r="I112" s="5"/>
      <c r="J112" s="5">
        <v>1</v>
      </c>
      <c r="K112" s="5"/>
      <c r="L112" s="5"/>
    </row>
    <row r="113" spans="1:12" s="26" customFormat="1" ht="45" x14ac:dyDescent="0.25">
      <c r="A113" s="11"/>
      <c r="B113" s="7" t="s">
        <v>227</v>
      </c>
      <c r="C113" s="7" t="s">
        <v>230</v>
      </c>
      <c r="D113" s="11"/>
      <c r="E113" s="5"/>
      <c r="F113" s="25">
        <f t="shared" si="8"/>
        <v>8.08</v>
      </c>
      <c r="G113" s="5"/>
      <c r="H113" s="5">
        <v>8.08</v>
      </c>
      <c r="I113" s="5"/>
      <c r="J113" s="5">
        <v>0</v>
      </c>
      <c r="K113" s="5"/>
      <c r="L113" s="5"/>
    </row>
    <row r="114" spans="1:12" s="26" customFormat="1" ht="45" x14ac:dyDescent="0.25">
      <c r="A114" s="11" t="s">
        <v>231</v>
      </c>
      <c r="B114" s="11" t="s">
        <v>28</v>
      </c>
      <c r="C114" s="7" t="s">
        <v>232</v>
      </c>
      <c r="D114" s="11"/>
      <c r="E114" s="5">
        <v>35.24</v>
      </c>
      <c r="F114" s="5">
        <f t="shared" si="8"/>
        <v>16</v>
      </c>
      <c r="G114" s="5"/>
      <c r="H114" s="5">
        <v>15.9</v>
      </c>
      <c r="I114" s="5"/>
      <c r="J114" s="5">
        <v>0.1</v>
      </c>
      <c r="K114" s="5"/>
      <c r="L114" s="5"/>
    </row>
    <row r="115" spans="1:12" s="26" customFormat="1" ht="30" x14ac:dyDescent="0.25">
      <c r="A115" s="11" t="s">
        <v>233</v>
      </c>
      <c r="B115" s="11" t="s">
        <v>14</v>
      </c>
      <c r="C115" s="7" t="s">
        <v>234</v>
      </c>
      <c r="D115" s="11"/>
      <c r="E115" s="5">
        <v>32.299999999999997</v>
      </c>
      <c r="F115" s="5">
        <f t="shared" si="8"/>
        <v>29.2</v>
      </c>
      <c r="G115" s="5"/>
      <c r="H115" s="5"/>
      <c r="I115" s="5"/>
      <c r="J115" s="5">
        <v>29.2</v>
      </c>
      <c r="K115" s="5"/>
      <c r="L115" s="5"/>
    </row>
    <row r="116" spans="1:12" s="26" customFormat="1" ht="75" x14ac:dyDescent="0.25">
      <c r="A116" s="11" t="s">
        <v>210</v>
      </c>
      <c r="B116" s="11" t="s">
        <v>28</v>
      </c>
      <c r="C116" s="7" t="s">
        <v>235</v>
      </c>
      <c r="D116" s="11"/>
      <c r="E116" s="5">
        <v>7.02</v>
      </c>
      <c r="F116" s="5">
        <f t="shared" si="8"/>
        <v>6.75</v>
      </c>
      <c r="G116" s="5"/>
      <c r="H116" s="5"/>
      <c r="I116" s="5"/>
      <c r="J116" s="5">
        <v>6.75</v>
      </c>
      <c r="K116" s="5"/>
      <c r="L116" s="5"/>
    </row>
    <row r="117" spans="1:12" s="26" customFormat="1" ht="153" x14ac:dyDescent="0.25">
      <c r="A117" s="11" t="s">
        <v>135</v>
      </c>
      <c r="B117" s="11" t="s">
        <v>14</v>
      </c>
      <c r="C117" s="31" t="s">
        <v>236</v>
      </c>
      <c r="D117" s="11"/>
      <c r="E117" s="5">
        <v>39.28</v>
      </c>
      <c r="F117" s="5">
        <f t="shared" si="8"/>
        <v>17.16</v>
      </c>
      <c r="G117" s="5"/>
      <c r="H117" s="5"/>
      <c r="I117" s="5"/>
      <c r="J117" s="5">
        <v>17.16</v>
      </c>
      <c r="K117" s="5"/>
      <c r="L117" s="5"/>
    </row>
    <row r="118" spans="1:12" s="26" customFormat="1" ht="60" x14ac:dyDescent="0.25">
      <c r="A118" s="11" t="s">
        <v>237</v>
      </c>
      <c r="B118" s="11" t="s">
        <v>28</v>
      </c>
      <c r="C118" s="7" t="s">
        <v>238</v>
      </c>
      <c r="D118" s="11"/>
      <c r="E118" s="5">
        <v>193.14</v>
      </c>
      <c r="F118" s="5">
        <f t="shared" si="8"/>
        <v>38.81</v>
      </c>
      <c r="G118" s="5"/>
      <c r="H118" s="5">
        <v>34.58</v>
      </c>
      <c r="I118" s="5"/>
      <c r="J118" s="5">
        <v>4.2300000000000004</v>
      </c>
      <c r="K118" s="5"/>
      <c r="L118" s="5"/>
    </row>
    <row r="119" spans="1:12" s="26" customFormat="1" ht="105" x14ac:dyDescent="0.25">
      <c r="A119" s="7" t="s">
        <v>239</v>
      </c>
      <c r="B119" s="11" t="s">
        <v>28</v>
      </c>
      <c r="C119" s="7" t="s">
        <v>240</v>
      </c>
      <c r="D119" s="11"/>
      <c r="E119" s="5">
        <v>106.38</v>
      </c>
      <c r="F119" s="5">
        <f t="shared" si="8"/>
        <v>98.09</v>
      </c>
      <c r="G119" s="5"/>
      <c r="H119" s="5">
        <v>35.590000000000003</v>
      </c>
      <c r="I119" s="5"/>
      <c r="J119" s="5">
        <v>62.5</v>
      </c>
      <c r="K119" s="5"/>
      <c r="L119" s="5"/>
    </row>
    <row r="120" spans="1:12" s="26" customFormat="1" ht="60" x14ac:dyDescent="0.25">
      <c r="A120" s="11"/>
      <c r="B120" s="11" t="s">
        <v>28</v>
      </c>
      <c r="C120" s="7" t="s">
        <v>241</v>
      </c>
      <c r="D120" s="11"/>
      <c r="E120" s="5">
        <v>123.09</v>
      </c>
      <c r="F120" s="5">
        <f t="shared" si="8"/>
        <v>25.2</v>
      </c>
      <c r="G120" s="5"/>
      <c r="H120" s="5"/>
      <c r="I120" s="5"/>
      <c r="J120" s="5">
        <v>25.2</v>
      </c>
      <c r="K120" s="5"/>
      <c r="L120" s="5"/>
    </row>
    <row r="121" spans="1:12" s="26" customFormat="1" ht="30" x14ac:dyDescent="0.25">
      <c r="A121" s="11" t="s">
        <v>242</v>
      </c>
      <c r="B121" s="11" t="s">
        <v>28</v>
      </c>
      <c r="C121" s="7" t="s">
        <v>243</v>
      </c>
      <c r="D121" s="11"/>
      <c r="E121" s="5">
        <v>77.59</v>
      </c>
      <c r="F121" s="5">
        <f t="shared" si="8"/>
        <v>0</v>
      </c>
      <c r="G121" s="5"/>
      <c r="H121" s="5"/>
      <c r="I121" s="5"/>
      <c r="J121" s="5"/>
      <c r="K121" s="5"/>
      <c r="L121" s="5"/>
    </row>
    <row r="122" spans="1:12" s="26" customFormat="1" ht="60" x14ac:dyDescent="0.25">
      <c r="A122" s="7" t="s">
        <v>244</v>
      </c>
      <c r="B122" s="11"/>
      <c r="C122" s="7" t="s">
        <v>245</v>
      </c>
      <c r="D122" s="11"/>
      <c r="E122" s="5">
        <v>57.63</v>
      </c>
      <c r="F122" s="5">
        <f t="shared" si="8"/>
        <v>19.21</v>
      </c>
      <c r="G122" s="5"/>
      <c r="H122" s="5">
        <v>19.21</v>
      </c>
      <c r="I122" s="5"/>
      <c r="J122" s="5"/>
      <c r="K122" s="5"/>
      <c r="L122" s="5"/>
    </row>
    <row r="123" spans="1:12" s="26" customFormat="1" ht="60" x14ac:dyDescent="0.25">
      <c r="A123" s="11" t="s">
        <v>246</v>
      </c>
      <c r="B123" s="11" t="s">
        <v>14</v>
      </c>
      <c r="C123" s="7" t="s">
        <v>247</v>
      </c>
      <c r="D123" s="11"/>
      <c r="E123" s="5">
        <v>105.07</v>
      </c>
      <c r="F123" s="5">
        <f t="shared" si="8"/>
        <v>104.9</v>
      </c>
      <c r="G123" s="5"/>
      <c r="H123" s="5">
        <v>102.45</v>
      </c>
      <c r="I123" s="5"/>
      <c r="J123" s="5">
        <v>2.4500000000000002</v>
      </c>
      <c r="K123" s="5"/>
      <c r="L123" s="5"/>
    </row>
    <row r="124" spans="1:12" s="26" customFormat="1" ht="76.5" x14ac:dyDescent="0.25">
      <c r="A124" s="7" t="s">
        <v>248</v>
      </c>
      <c r="B124" s="11" t="s">
        <v>14</v>
      </c>
      <c r="C124" s="31" t="s">
        <v>249</v>
      </c>
      <c r="D124" s="11"/>
      <c r="E124" s="5">
        <v>78.88</v>
      </c>
      <c r="F124" s="5">
        <f t="shared" si="8"/>
        <v>83.28</v>
      </c>
      <c r="G124" s="5"/>
      <c r="H124" s="5">
        <v>82.51</v>
      </c>
      <c r="I124" s="5"/>
      <c r="J124" s="5">
        <v>0.77</v>
      </c>
      <c r="K124" s="5"/>
      <c r="L124" s="5"/>
    </row>
    <row r="125" spans="1:12" s="26" customFormat="1" ht="71.25" x14ac:dyDescent="0.25">
      <c r="A125" s="11" t="s">
        <v>250</v>
      </c>
      <c r="B125" s="11" t="s">
        <v>36</v>
      </c>
      <c r="C125" s="34" t="s">
        <v>251</v>
      </c>
      <c r="D125" s="11"/>
      <c r="E125" s="5">
        <v>48.65</v>
      </c>
      <c r="F125" s="25">
        <f t="shared" si="8"/>
        <v>44.34</v>
      </c>
      <c r="G125" s="5"/>
      <c r="H125" s="5">
        <v>28.28</v>
      </c>
      <c r="I125" s="5"/>
      <c r="J125" s="25">
        <v>16.059999999999999</v>
      </c>
      <c r="K125" s="5"/>
      <c r="L125" s="5"/>
    </row>
    <row r="126" spans="1:12" s="26" customFormat="1" ht="75" x14ac:dyDescent="0.25">
      <c r="A126" s="11" t="s">
        <v>252</v>
      </c>
      <c r="B126" s="11" t="s">
        <v>36</v>
      </c>
      <c r="C126" s="7" t="s">
        <v>253</v>
      </c>
      <c r="D126" s="11"/>
      <c r="E126" s="5">
        <v>34.57</v>
      </c>
      <c r="F126" s="25">
        <f t="shared" si="8"/>
        <v>30.740000000000002</v>
      </c>
      <c r="G126" s="5"/>
      <c r="H126" s="5">
        <v>18.420000000000002</v>
      </c>
      <c r="I126" s="5"/>
      <c r="J126" s="25">
        <v>12.32</v>
      </c>
      <c r="K126" s="5"/>
      <c r="L126" s="5"/>
    </row>
    <row r="127" spans="1:12" s="26" customFormat="1" ht="63.75" customHeight="1" x14ac:dyDescent="0.25">
      <c r="A127" s="11" t="s">
        <v>254</v>
      </c>
      <c r="B127" s="11" t="s">
        <v>36</v>
      </c>
      <c r="C127" s="7" t="s">
        <v>255</v>
      </c>
      <c r="D127" s="11"/>
      <c r="E127" s="5">
        <v>76.95</v>
      </c>
      <c r="F127" s="25">
        <f t="shared" si="8"/>
        <v>68.31</v>
      </c>
      <c r="G127" s="5"/>
      <c r="H127" s="5">
        <v>17.16</v>
      </c>
      <c r="I127" s="5"/>
      <c r="J127" s="25">
        <v>51.15</v>
      </c>
      <c r="K127" s="5"/>
      <c r="L127" s="5"/>
    </row>
    <row r="128" spans="1:12" s="26" customFormat="1" ht="75" x14ac:dyDescent="0.25">
      <c r="A128" s="11" t="s">
        <v>256</v>
      </c>
      <c r="B128" s="11" t="s">
        <v>36</v>
      </c>
      <c r="C128" s="7" t="s">
        <v>257</v>
      </c>
      <c r="D128" s="11"/>
      <c r="E128" s="5">
        <v>35.65</v>
      </c>
      <c r="F128" s="25">
        <f t="shared" si="8"/>
        <v>29.9</v>
      </c>
      <c r="G128" s="5"/>
      <c r="H128" s="5">
        <v>20.86</v>
      </c>
      <c r="I128" s="5"/>
      <c r="J128" s="25">
        <v>9.0399999999999991</v>
      </c>
      <c r="K128" s="5"/>
      <c r="L128" s="5"/>
    </row>
    <row r="129" spans="1:12" s="26" customFormat="1" ht="105" x14ac:dyDescent="0.25">
      <c r="A129" s="11"/>
      <c r="B129" s="11" t="s">
        <v>258</v>
      </c>
      <c r="C129" s="7" t="s">
        <v>259</v>
      </c>
      <c r="D129" s="11"/>
      <c r="E129" s="5">
        <v>65.67</v>
      </c>
      <c r="F129" s="25">
        <f t="shared" si="8"/>
        <v>55.06</v>
      </c>
      <c r="G129" s="5"/>
      <c r="H129" s="5">
        <v>53.27</v>
      </c>
      <c r="I129" s="5"/>
      <c r="J129" s="25">
        <v>1.79</v>
      </c>
      <c r="K129" s="5"/>
      <c r="L129" s="5"/>
    </row>
    <row r="130" spans="1:12" s="26" customFormat="1" ht="90" x14ac:dyDescent="0.25">
      <c r="A130" s="11" t="s">
        <v>260</v>
      </c>
      <c r="B130" s="11" t="s">
        <v>36</v>
      </c>
      <c r="C130" s="7" t="s">
        <v>261</v>
      </c>
      <c r="D130" s="11"/>
      <c r="E130" s="5">
        <v>23.38</v>
      </c>
      <c r="F130" s="25">
        <f t="shared" si="8"/>
        <v>20.810000000000002</v>
      </c>
      <c r="G130" s="5"/>
      <c r="H130" s="5">
        <v>12.81</v>
      </c>
      <c r="I130" s="5"/>
      <c r="J130" s="25">
        <v>8</v>
      </c>
      <c r="K130" s="5"/>
      <c r="L130" s="5"/>
    </row>
    <row r="131" spans="1:12" s="26" customFormat="1" ht="90" x14ac:dyDescent="0.25">
      <c r="A131" s="7" t="s">
        <v>262</v>
      </c>
      <c r="B131" s="11" t="s">
        <v>36</v>
      </c>
      <c r="C131" s="7" t="s">
        <v>263</v>
      </c>
      <c r="D131" s="11"/>
      <c r="E131" s="5">
        <v>46.84</v>
      </c>
      <c r="F131" s="25">
        <f t="shared" si="8"/>
        <v>44.57</v>
      </c>
      <c r="G131" s="5"/>
      <c r="H131" s="5">
        <v>26.54</v>
      </c>
      <c r="I131" s="5"/>
      <c r="J131" s="25">
        <v>18.03</v>
      </c>
      <c r="K131" s="5"/>
      <c r="L131" s="5"/>
    </row>
    <row r="132" spans="1:12" s="26" customFormat="1" ht="30" x14ac:dyDescent="0.25">
      <c r="A132" s="11" t="s">
        <v>264</v>
      </c>
      <c r="B132" s="11" t="s">
        <v>36</v>
      </c>
      <c r="C132" s="7" t="s">
        <v>265</v>
      </c>
      <c r="D132" s="11"/>
      <c r="E132" s="5">
        <v>81.06</v>
      </c>
      <c r="F132" s="25">
        <f t="shared" si="8"/>
        <v>45.22</v>
      </c>
      <c r="G132" s="5"/>
      <c r="H132" s="5">
        <v>40.24</v>
      </c>
      <c r="I132" s="5"/>
      <c r="J132" s="25">
        <v>4.9800000000000004</v>
      </c>
      <c r="K132" s="5"/>
      <c r="L132" s="5"/>
    </row>
    <row r="133" spans="1:12" s="26" customFormat="1" x14ac:dyDescent="0.25">
      <c r="A133" s="11" t="s">
        <v>266</v>
      </c>
      <c r="B133" s="11" t="s">
        <v>36</v>
      </c>
      <c r="C133" s="11" t="s">
        <v>267</v>
      </c>
      <c r="D133" s="11"/>
      <c r="E133" s="5">
        <v>41.52</v>
      </c>
      <c r="F133" s="25">
        <f t="shared" si="8"/>
        <v>27.209999999999997</v>
      </c>
      <c r="G133" s="5"/>
      <c r="H133" s="5">
        <v>26.49</v>
      </c>
      <c r="I133" s="5"/>
      <c r="J133" s="25">
        <v>0.72</v>
      </c>
      <c r="K133" s="5"/>
      <c r="L133" s="5"/>
    </row>
    <row r="134" spans="1:12" s="26" customFormat="1" ht="75" x14ac:dyDescent="0.25">
      <c r="A134" s="11" t="s">
        <v>268</v>
      </c>
      <c r="B134" s="11" t="s">
        <v>36</v>
      </c>
      <c r="C134" s="7" t="s">
        <v>269</v>
      </c>
      <c r="D134" s="11"/>
      <c r="E134" s="5">
        <v>43.3</v>
      </c>
      <c r="F134" s="25">
        <f t="shared" si="8"/>
        <v>39.299999999999997</v>
      </c>
      <c r="G134" s="5"/>
      <c r="H134" s="5">
        <v>17.71</v>
      </c>
      <c r="I134" s="5"/>
      <c r="J134" s="25">
        <v>21.59</v>
      </c>
      <c r="K134" s="5"/>
      <c r="L134" s="5"/>
    </row>
    <row r="135" spans="1:12" s="26" customFormat="1" ht="75" x14ac:dyDescent="0.25">
      <c r="A135" s="11" t="s">
        <v>270</v>
      </c>
      <c r="B135" s="11" t="s">
        <v>36</v>
      </c>
      <c r="C135" s="7" t="s">
        <v>271</v>
      </c>
      <c r="D135" s="11"/>
      <c r="E135" s="5">
        <v>79.81</v>
      </c>
      <c r="F135" s="25">
        <f t="shared" si="8"/>
        <v>74.5</v>
      </c>
      <c r="G135" s="5"/>
      <c r="H135" s="5">
        <v>55.88</v>
      </c>
      <c r="I135" s="5"/>
      <c r="J135" s="25">
        <v>18.62</v>
      </c>
      <c r="K135" s="5"/>
      <c r="L135" s="5"/>
    </row>
    <row r="136" spans="1:12" s="26" customFormat="1" ht="60" x14ac:dyDescent="0.25">
      <c r="A136" s="11" t="s">
        <v>272</v>
      </c>
      <c r="B136" s="11" t="s">
        <v>36</v>
      </c>
      <c r="C136" s="7" t="s">
        <v>273</v>
      </c>
      <c r="D136" s="11"/>
      <c r="E136" s="5">
        <v>21.5</v>
      </c>
      <c r="F136" s="25">
        <f t="shared" si="8"/>
        <v>6.6199999999999992</v>
      </c>
      <c r="G136" s="5"/>
      <c r="H136" s="5">
        <v>0</v>
      </c>
      <c r="I136" s="5"/>
      <c r="J136" s="5">
        <f>0.52+6.1</f>
        <v>6.6199999999999992</v>
      </c>
      <c r="K136" s="5"/>
      <c r="L136" s="5"/>
    </row>
    <row r="137" spans="1:12" s="26" customFormat="1" ht="135" x14ac:dyDescent="0.25">
      <c r="A137" s="11" t="s">
        <v>274</v>
      </c>
      <c r="B137" s="11" t="s">
        <v>14</v>
      </c>
      <c r="C137" s="7" t="s">
        <v>275</v>
      </c>
      <c r="D137" s="11"/>
      <c r="E137" s="5">
        <v>72.03</v>
      </c>
      <c r="F137" s="5">
        <f t="shared" si="8"/>
        <v>75.800000000000011</v>
      </c>
      <c r="G137" s="5"/>
      <c r="H137" s="5">
        <v>70.98</v>
      </c>
      <c r="I137" s="5"/>
      <c r="J137" s="5">
        <v>4.82</v>
      </c>
      <c r="K137" s="5"/>
      <c r="L137" s="5"/>
    </row>
    <row r="138" spans="1:12" s="26" customFormat="1" ht="210" x14ac:dyDescent="0.25">
      <c r="A138" s="11" t="s">
        <v>276</v>
      </c>
      <c r="B138" s="11" t="s">
        <v>14</v>
      </c>
      <c r="C138" s="7" t="s">
        <v>277</v>
      </c>
      <c r="D138" s="11"/>
      <c r="E138" s="5">
        <v>20.34</v>
      </c>
      <c r="F138" s="5">
        <f t="shared" si="8"/>
        <v>21.1</v>
      </c>
      <c r="G138" s="5"/>
      <c r="H138" s="5">
        <v>18.93</v>
      </c>
      <c r="I138" s="5"/>
      <c r="J138" s="5">
        <v>2.17</v>
      </c>
      <c r="K138" s="5"/>
      <c r="L138" s="5"/>
    </row>
    <row r="139" spans="1:12" s="26" customFormat="1" ht="75" x14ac:dyDescent="0.25">
      <c r="A139" s="11" t="s">
        <v>278</v>
      </c>
      <c r="B139" s="11" t="s">
        <v>28</v>
      </c>
      <c r="C139" s="7" t="s">
        <v>279</v>
      </c>
      <c r="D139" s="11"/>
      <c r="E139" s="5">
        <v>21.62</v>
      </c>
      <c r="F139" s="5">
        <f t="shared" si="8"/>
        <v>1.18</v>
      </c>
      <c r="G139" s="5"/>
      <c r="H139" s="5"/>
      <c r="I139" s="5"/>
      <c r="J139" s="5">
        <v>1.18</v>
      </c>
      <c r="K139" s="5"/>
      <c r="L139" s="5"/>
    </row>
    <row r="140" spans="1:12" s="26" customFormat="1" x14ac:dyDescent="0.25">
      <c r="A140" s="11"/>
      <c r="B140" s="11" t="s">
        <v>14</v>
      </c>
      <c r="C140" s="11" t="s">
        <v>280</v>
      </c>
      <c r="D140" s="11"/>
      <c r="E140" s="5">
        <v>31.69</v>
      </c>
      <c r="F140" s="5">
        <f t="shared" ref="F140:F152" si="9">+G140+H140+J140</f>
        <v>15.95</v>
      </c>
      <c r="G140" s="5"/>
      <c r="H140" s="5">
        <v>15.95</v>
      </c>
      <c r="I140" s="5"/>
      <c r="J140" s="5"/>
      <c r="K140" s="5"/>
      <c r="L140" s="5"/>
    </row>
    <row r="141" spans="1:12" s="26" customFormat="1" ht="90" x14ac:dyDescent="0.25">
      <c r="A141" s="7" t="s">
        <v>281</v>
      </c>
      <c r="B141" s="11" t="s">
        <v>14</v>
      </c>
      <c r="C141" s="7" t="s">
        <v>282</v>
      </c>
      <c r="D141" s="11"/>
      <c r="E141" s="5">
        <v>9.14</v>
      </c>
      <c r="F141" s="5">
        <f t="shared" si="9"/>
        <v>9.0300000000000011</v>
      </c>
      <c r="G141" s="5"/>
      <c r="H141" s="5">
        <v>0.13</v>
      </c>
      <c r="I141" s="5"/>
      <c r="J141" s="5">
        <v>8.9</v>
      </c>
      <c r="K141" s="5"/>
      <c r="L141" s="5"/>
    </row>
    <row r="142" spans="1:12" s="26" customFormat="1" ht="75" x14ac:dyDescent="0.25">
      <c r="A142" s="7" t="s">
        <v>283</v>
      </c>
      <c r="B142" s="11" t="s">
        <v>14</v>
      </c>
      <c r="C142" s="7" t="s">
        <v>284</v>
      </c>
      <c r="D142" s="11"/>
      <c r="E142" s="5">
        <v>10.25</v>
      </c>
      <c r="F142" s="5">
        <f t="shared" si="9"/>
        <v>8</v>
      </c>
      <c r="G142" s="5"/>
      <c r="H142" s="5">
        <v>5.53</v>
      </c>
      <c r="I142" s="5"/>
      <c r="J142" s="5">
        <v>2.4700000000000002</v>
      </c>
      <c r="K142" s="5"/>
      <c r="L142" s="5"/>
    </row>
    <row r="143" spans="1:12" ht="90" x14ac:dyDescent="0.25">
      <c r="A143" s="10"/>
      <c r="B143" s="10" t="s">
        <v>14</v>
      </c>
      <c r="C143" s="8" t="s">
        <v>285</v>
      </c>
      <c r="D143" s="10"/>
      <c r="E143" s="4">
        <v>70</v>
      </c>
      <c r="F143" s="4">
        <f t="shared" si="9"/>
        <v>21.2</v>
      </c>
      <c r="G143" s="4"/>
      <c r="H143" s="4">
        <v>14.99</v>
      </c>
      <c r="I143" s="4"/>
      <c r="J143" s="4">
        <v>6.21</v>
      </c>
      <c r="K143" s="4"/>
      <c r="L143" s="4"/>
    </row>
    <row r="144" spans="1:12" ht="45" x14ac:dyDescent="0.25">
      <c r="A144" s="10" t="s">
        <v>286</v>
      </c>
      <c r="B144" s="13" t="s">
        <v>28</v>
      </c>
      <c r="C144" s="8" t="s">
        <v>287</v>
      </c>
      <c r="D144" s="10"/>
      <c r="E144" s="4">
        <v>15.9</v>
      </c>
      <c r="F144" s="4">
        <f t="shared" si="9"/>
        <v>13.58</v>
      </c>
      <c r="G144" s="4"/>
      <c r="H144" s="4">
        <v>12.95</v>
      </c>
      <c r="I144" s="4"/>
      <c r="J144" s="4">
        <v>0.63</v>
      </c>
      <c r="K144" s="4"/>
      <c r="L144" s="4"/>
    </row>
    <row r="145" spans="1:12" ht="90" x14ac:dyDescent="0.25">
      <c r="A145" s="10" t="s">
        <v>288</v>
      </c>
      <c r="B145" s="10" t="s">
        <v>14</v>
      </c>
      <c r="C145" s="8" t="s">
        <v>289</v>
      </c>
      <c r="D145" s="10"/>
      <c r="E145" s="4">
        <v>106.5</v>
      </c>
      <c r="F145" s="4">
        <f t="shared" si="9"/>
        <v>86.160000000000011</v>
      </c>
      <c r="G145" s="4"/>
      <c r="H145" s="4">
        <v>11.51</v>
      </c>
      <c r="I145" s="4"/>
      <c r="J145" s="4">
        <v>74.650000000000006</v>
      </c>
      <c r="K145" s="4"/>
      <c r="L145" s="4"/>
    </row>
    <row r="146" spans="1:12" ht="90" x14ac:dyDescent="0.25">
      <c r="A146" s="10" t="s">
        <v>290</v>
      </c>
      <c r="B146" s="10" t="s">
        <v>14</v>
      </c>
      <c r="C146" s="8" t="s">
        <v>291</v>
      </c>
      <c r="D146" s="10"/>
      <c r="E146" s="4">
        <v>62.56</v>
      </c>
      <c r="F146" s="4">
        <f t="shared" si="9"/>
        <v>24.44</v>
      </c>
      <c r="G146" s="4"/>
      <c r="H146" s="4">
        <v>3.59</v>
      </c>
      <c r="I146" s="4"/>
      <c r="J146" s="4">
        <v>20.85</v>
      </c>
      <c r="K146" s="4"/>
      <c r="L146" s="4"/>
    </row>
    <row r="147" spans="1:12" ht="75" x14ac:dyDescent="0.25">
      <c r="A147" s="10" t="s">
        <v>292</v>
      </c>
      <c r="B147" s="10" t="s">
        <v>14</v>
      </c>
      <c r="C147" s="8" t="s">
        <v>293</v>
      </c>
      <c r="D147" s="10"/>
      <c r="E147" s="4">
        <v>19.399999999999999</v>
      </c>
      <c r="F147" s="4">
        <f t="shared" si="9"/>
        <v>13.100000000000001</v>
      </c>
      <c r="G147" s="10"/>
      <c r="H147" s="4">
        <v>9.3800000000000008</v>
      </c>
      <c r="I147" s="10"/>
      <c r="J147" s="4">
        <v>3.72</v>
      </c>
      <c r="K147" s="10"/>
      <c r="L147" s="10"/>
    </row>
    <row r="148" spans="1:12" x14ac:dyDescent="0.25">
      <c r="A148" s="10"/>
      <c r="B148" s="10" t="s">
        <v>132</v>
      </c>
      <c r="C148" s="8" t="s">
        <v>294</v>
      </c>
      <c r="D148" s="10"/>
      <c r="E148" s="4"/>
      <c r="F148" s="6">
        <f t="shared" si="9"/>
        <v>21.64</v>
      </c>
      <c r="G148" s="10"/>
      <c r="H148" s="4">
        <v>1.36</v>
      </c>
      <c r="I148" s="10"/>
      <c r="J148" s="4">
        <v>20.28</v>
      </c>
      <c r="K148" s="10"/>
      <c r="L148" s="10"/>
    </row>
    <row r="149" spans="1:12" x14ac:dyDescent="0.25">
      <c r="A149" s="10"/>
      <c r="B149" s="10" t="s">
        <v>132</v>
      </c>
      <c r="C149" s="8" t="s">
        <v>295</v>
      </c>
      <c r="D149" s="10"/>
      <c r="E149" s="4"/>
      <c r="F149" s="6">
        <f t="shared" si="9"/>
        <v>26.59</v>
      </c>
      <c r="G149" s="10"/>
      <c r="H149" s="4">
        <v>11.41</v>
      </c>
      <c r="I149" s="10"/>
      <c r="J149" s="4">
        <f>26.41-11.23</f>
        <v>15.18</v>
      </c>
      <c r="K149" s="10"/>
      <c r="L149" s="10"/>
    </row>
    <row r="150" spans="1:12" x14ac:dyDescent="0.25">
      <c r="A150" s="10"/>
      <c r="B150" s="10" t="s">
        <v>132</v>
      </c>
      <c r="C150" s="8" t="s">
        <v>296</v>
      </c>
      <c r="D150" s="10"/>
      <c r="E150" s="4"/>
      <c r="F150" s="6">
        <f t="shared" si="9"/>
        <v>2.15</v>
      </c>
      <c r="G150" s="10"/>
      <c r="H150" s="4"/>
      <c r="I150" s="10"/>
      <c r="J150" s="4">
        <v>2.15</v>
      </c>
      <c r="K150" s="10"/>
      <c r="L150" s="10"/>
    </row>
    <row r="151" spans="1:12" ht="90" x14ac:dyDescent="0.25">
      <c r="A151" s="10" t="s">
        <v>297</v>
      </c>
      <c r="B151" s="10" t="s">
        <v>132</v>
      </c>
      <c r="C151" s="8" t="s">
        <v>298</v>
      </c>
      <c r="D151" s="10"/>
      <c r="E151" s="10"/>
      <c r="F151" s="4">
        <f t="shared" si="9"/>
        <v>3.68</v>
      </c>
      <c r="G151" s="10">
        <v>3.68</v>
      </c>
      <c r="H151" s="10"/>
      <c r="I151" s="10">
        <v>4.28</v>
      </c>
      <c r="J151" s="10"/>
      <c r="K151" s="10"/>
      <c r="L151" s="10"/>
    </row>
    <row r="152" spans="1:12" ht="75" x14ac:dyDescent="0.25">
      <c r="A152" s="15" t="s">
        <v>299</v>
      </c>
      <c r="B152" s="2" t="s">
        <v>36</v>
      </c>
      <c r="C152" s="15" t="s">
        <v>300</v>
      </c>
      <c r="D152" s="10"/>
      <c r="E152" s="10"/>
      <c r="F152" s="6">
        <f t="shared" si="9"/>
        <v>0.02</v>
      </c>
      <c r="G152" s="10">
        <v>0</v>
      </c>
      <c r="H152" s="10"/>
      <c r="I152" s="10">
        <v>0</v>
      </c>
      <c r="J152" s="21">
        <v>0.02</v>
      </c>
      <c r="K152" s="10"/>
      <c r="L152" s="10"/>
    </row>
    <row r="153" spans="1:12" x14ac:dyDescent="0.25">
      <c r="B153" s="2"/>
    </row>
    <row r="154" spans="1:12" x14ac:dyDescent="0.25">
      <c r="B154" s="2"/>
      <c r="F154" s="9">
        <f>SUM(F5:F151)</f>
        <v>3089.4313254249992</v>
      </c>
      <c r="H154" s="9">
        <f>SUM(H5:H151)</f>
        <v>2138.1164610250003</v>
      </c>
      <c r="I154" s="9">
        <f>SUM(I5:I151)</f>
        <v>1207.2076945249999</v>
      </c>
    </row>
    <row r="155" spans="1:12" x14ac:dyDescent="0.25">
      <c r="A155" s="168" t="s">
        <v>36</v>
      </c>
      <c r="B155" s="168"/>
      <c r="F155" s="9">
        <f>+F154-I154</f>
        <v>1882.2236308999993</v>
      </c>
      <c r="I155" s="2">
        <v>1207.28</v>
      </c>
    </row>
    <row r="156" spans="1:12" x14ac:dyDescent="0.25">
      <c r="A156" s="2" t="s">
        <v>301</v>
      </c>
      <c r="B156" s="2">
        <v>540.58000000000004</v>
      </c>
      <c r="I156" s="9">
        <f>I155-I154</f>
        <v>7.2305475000121078E-2</v>
      </c>
    </row>
    <row r="157" spans="1:12" x14ac:dyDescent="0.25">
      <c r="A157" s="2" t="s">
        <v>302</v>
      </c>
      <c r="B157" s="2">
        <f>119.29-1.38</f>
        <v>117.91000000000001</v>
      </c>
    </row>
    <row r="158" spans="1:12" x14ac:dyDescent="0.25">
      <c r="B158" s="2">
        <f>+B156-B157</f>
        <v>422.67</v>
      </c>
      <c r="I158" s="2" t="s">
        <v>36</v>
      </c>
      <c r="J158" s="2">
        <v>181.87</v>
      </c>
    </row>
    <row r="159" spans="1:12" x14ac:dyDescent="0.25">
      <c r="A159" s="2" t="s">
        <v>303</v>
      </c>
      <c r="B159" s="2">
        <v>428.38</v>
      </c>
    </row>
    <row r="160" spans="1:12" x14ac:dyDescent="0.25">
      <c r="A160" s="2" t="s">
        <v>304</v>
      </c>
      <c r="B160" s="2">
        <f>+B159-B158</f>
        <v>5.7099999999999795</v>
      </c>
    </row>
    <row r="162" spans="5:8" x14ac:dyDescent="0.25">
      <c r="F162" s="2">
        <v>2481.96</v>
      </c>
    </row>
    <row r="163" spans="5:8" x14ac:dyDescent="0.25">
      <c r="F163" s="9">
        <f>+F162-F155</f>
        <v>599.73636910000073</v>
      </c>
      <c r="G163" s="2" t="s">
        <v>305</v>
      </c>
      <c r="H163" s="2" t="s">
        <v>306</v>
      </c>
    </row>
    <row r="164" spans="5:8" x14ac:dyDescent="0.25">
      <c r="E164" s="2" t="s">
        <v>28</v>
      </c>
      <c r="F164" s="2">
        <v>908.36</v>
      </c>
      <c r="G164" s="2">
        <v>122.37</v>
      </c>
      <c r="H164" s="2">
        <v>503.88</v>
      </c>
    </row>
    <row r="165" spans="5:8" x14ac:dyDescent="0.25">
      <c r="E165" s="2" t="s">
        <v>304</v>
      </c>
      <c r="F165" s="2">
        <f>+F164-H164</f>
        <v>404.48</v>
      </c>
    </row>
    <row r="169" spans="5:8" x14ac:dyDescent="0.25">
      <c r="G169" s="2" t="s">
        <v>307</v>
      </c>
      <c r="H169" s="2" t="s">
        <v>308</v>
      </c>
    </row>
    <row r="170" spans="5:8" x14ac:dyDescent="0.25">
      <c r="E170" s="2" t="s">
        <v>36</v>
      </c>
      <c r="F170" s="2">
        <v>119.29</v>
      </c>
      <c r="G170" s="23">
        <f>F170*86%</f>
        <v>102.5894</v>
      </c>
      <c r="H170" s="23">
        <f>F170*14%</f>
        <v>16.700600000000001</v>
      </c>
    </row>
    <row r="171" spans="5:8" x14ac:dyDescent="0.25">
      <c r="E171" s="2" t="s">
        <v>14</v>
      </c>
      <c r="F171" s="2">
        <v>568.53</v>
      </c>
      <c r="H171" s="2">
        <f>F171</f>
        <v>568.53</v>
      </c>
    </row>
    <row r="172" spans="5:8" x14ac:dyDescent="0.25">
      <c r="E172" s="2" t="s">
        <v>28</v>
      </c>
      <c r="F172" s="2">
        <v>503.88</v>
      </c>
      <c r="H172" s="2">
        <f>F172</f>
        <v>503.88</v>
      </c>
    </row>
    <row r="173" spans="5:8" x14ac:dyDescent="0.25">
      <c r="E173" s="2" t="s">
        <v>132</v>
      </c>
      <c r="F173" s="2">
        <f>11.23+4.28</f>
        <v>15.510000000000002</v>
      </c>
      <c r="H173" s="2">
        <f>F173</f>
        <v>15.510000000000002</v>
      </c>
    </row>
    <row r="174" spans="5:8" x14ac:dyDescent="0.25">
      <c r="F174" s="2">
        <f>+F172+F171+F170+F173</f>
        <v>1207.2099999999998</v>
      </c>
      <c r="G174" s="9">
        <f>SUM(G170:G173)</f>
        <v>102.5894</v>
      </c>
      <c r="H174" s="9">
        <f>SUM(H170:H173)</f>
        <v>1104.6206</v>
      </c>
    </row>
    <row r="175" spans="5:8" x14ac:dyDescent="0.25">
      <c r="G175" s="24">
        <f>G174/F174</f>
        <v>8.4980575044938347E-2</v>
      </c>
      <c r="H175" s="24">
        <f>H174/F174</f>
        <v>0.91501942495506183</v>
      </c>
    </row>
    <row r="177" spans="6:6" x14ac:dyDescent="0.25">
      <c r="F177" s="9"/>
    </row>
  </sheetData>
  <mergeCells count="89">
    <mergeCell ref="G106:G107"/>
    <mergeCell ref="J106:J107"/>
    <mergeCell ref="A155:B155"/>
    <mergeCell ref="A91:A93"/>
    <mergeCell ref="B91:B93"/>
    <mergeCell ref="C91:C93"/>
    <mergeCell ref="E91:E93"/>
    <mergeCell ref="A96:A99"/>
    <mergeCell ref="B96:B99"/>
    <mergeCell ref="C96:C99"/>
    <mergeCell ref="E96:E99"/>
    <mergeCell ref="A78:A80"/>
    <mergeCell ref="B78:B80"/>
    <mergeCell ref="C78:C80"/>
    <mergeCell ref="E78:E80"/>
    <mergeCell ref="A84:A90"/>
    <mergeCell ref="B84:B90"/>
    <mergeCell ref="C84:C90"/>
    <mergeCell ref="E84:E90"/>
    <mergeCell ref="A66:A69"/>
    <mergeCell ref="B66:B69"/>
    <mergeCell ref="C66:C69"/>
    <mergeCell ref="E66:E69"/>
    <mergeCell ref="A71:A76"/>
    <mergeCell ref="B71:B76"/>
    <mergeCell ref="C71:C76"/>
    <mergeCell ref="E71:E76"/>
    <mergeCell ref="A60:A62"/>
    <mergeCell ref="B60:B62"/>
    <mergeCell ref="C60:C62"/>
    <mergeCell ref="E60:E62"/>
    <mergeCell ref="A63:A65"/>
    <mergeCell ref="B63:B65"/>
    <mergeCell ref="C63:C65"/>
    <mergeCell ref="E63:E65"/>
    <mergeCell ref="A38:A43"/>
    <mergeCell ref="B38:B43"/>
    <mergeCell ref="C38:C43"/>
    <mergeCell ref="E38:E43"/>
    <mergeCell ref="A47:A54"/>
    <mergeCell ref="B47:B54"/>
    <mergeCell ref="C47:C54"/>
    <mergeCell ref="E47:E54"/>
    <mergeCell ref="A27:A31"/>
    <mergeCell ref="B27:B31"/>
    <mergeCell ref="C27:C31"/>
    <mergeCell ref="E27:E31"/>
    <mergeCell ref="A32:A34"/>
    <mergeCell ref="B32:B34"/>
    <mergeCell ref="C32:C34"/>
    <mergeCell ref="E32:E34"/>
    <mergeCell ref="A17:A21"/>
    <mergeCell ref="B17:B21"/>
    <mergeCell ref="C17:C21"/>
    <mergeCell ref="E17:E21"/>
    <mergeCell ref="A25:A26"/>
    <mergeCell ref="B25:B26"/>
    <mergeCell ref="C25:C26"/>
    <mergeCell ref="E25:E26"/>
    <mergeCell ref="A10:A11"/>
    <mergeCell ref="B10:B11"/>
    <mergeCell ref="C10:C11"/>
    <mergeCell ref="E10:E11"/>
    <mergeCell ref="A12:A16"/>
    <mergeCell ref="B12:B16"/>
    <mergeCell ref="C12:C16"/>
    <mergeCell ref="E12:E16"/>
    <mergeCell ref="A5:A7"/>
    <mergeCell ref="B5:B7"/>
    <mergeCell ref="C5:C7"/>
    <mergeCell ref="E5:E7"/>
    <mergeCell ref="A8:A9"/>
    <mergeCell ref="B8:B9"/>
    <mergeCell ref="C8:C9"/>
    <mergeCell ref="E8:E9"/>
    <mergeCell ref="K2:L2"/>
    <mergeCell ref="E3:E4"/>
    <mergeCell ref="F3:F4"/>
    <mergeCell ref="G3:G4"/>
    <mergeCell ref="H3:H4"/>
    <mergeCell ref="I3:J3"/>
    <mergeCell ref="K3:K4"/>
    <mergeCell ref="L3:L4"/>
    <mergeCell ref="G2:H2"/>
    <mergeCell ref="A2:A4"/>
    <mergeCell ref="B2:B4"/>
    <mergeCell ref="C2:C4"/>
    <mergeCell ref="D2:D4"/>
    <mergeCell ref="E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0D8E-A832-4741-94B3-DB24226BD957}">
  <dimension ref="C2:L99"/>
  <sheetViews>
    <sheetView showGridLines="0" view="pageBreakPreview" topLeftCell="A92" zoomScale="90" zoomScaleNormal="100" zoomScaleSheetLayoutView="90" workbookViewId="0">
      <selection activeCell="I98" activeCellId="1" sqref="F98:G98 I98"/>
    </sheetView>
  </sheetViews>
  <sheetFormatPr defaultRowHeight="15" x14ac:dyDescent="0.25"/>
  <cols>
    <col min="1" max="2" width="9.140625" style="36"/>
    <col min="3" max="3" width="30.140625" style="47" customWidth="1"/>
    <col min="4" max="4" width="19.28515625" style="47" customWidth="1"/>
    <col min="5" max="11" width="13.85546875" style="36" customWidth="1"/>
    <col min="12" max="16384" width="9.140625" style="36"/>
  </cols>
  <sheetData>
    <row r="2" spans="3:12" ht="15" customHeight="1" x14ac:dyDescent="0.25">
      <c r="C2" s="173" t="s">
        <v>2</v>
      </c>
      <c r="D2" s="173" t="s">
        <v>3</v>
      </c>
      <c r="E2" s="173" t="s">
        <v>309</v>
      </c>
      <c r="F2" s="173" t="s">
        <v>310</v>
      </c>
      <c r="G2" s="173" t="s">
        <v>312</v>
      </c>
      <c r="H2" s="173" t="s">
        <v>313</v>
      </c>
      <c r="I2" s="175" t="s">
        <v>315</v>
      </c>
      <c r="J2" s="173" t="s">
        <v>307</v>
      </c>
      <c r="K2" s="173" t="s">
        <v>308</v>
      </c>
      <c r="L2" s="173" t="s">
        <v>386</v>
      </c>
    </row>
    <row r="3" spans="3:12" x14ac:dyDescent="0.25">
      <c r="C3" s="173"/>
      <c r="D3" s="173"/>
      <c r="E3" s="173"/>
      <c r="F3" s="173"/>
      <c r="G3" s="173"/>
      <c r="H3" s="173"/>
      <c r="I3" s="175"/>
      <c r="J3" s="173"/>
      <c r="K3" s="173"/>
      <c r="L3" s="173"/>
    </row>
    <row r="4" spans="3:12" x14ac:dyDescent="0.25">
      <c r="C4" s="173"/>
      <c r="D4" s="173"/>
      <c r="E4" s="173"/>
      <c r="F4" s="173"/>
      <c r="G4" s="173"/>
      <c r="H4" s="173"/>
      <c r="I4" s="175"/>
      <c r="J4" s="173"/>
      <c r="K4" s="173"/>
      <c r="L4" s="173"/>
    </row>
    <row r="5" spans="3:12" x14ac:dyDescent="0.25">
      <c r="C5" s="172" t="s">
        <v>15</v>
      </c>
      <c r="D5" s="37" t="s">
        <v>16</v>
      </c>
      <c r="E5" s="38">
        <f>'Capitalization 18-19'!G5</f>
        <v>0</v>
      </c>
      <c r="F5" s="38">
        <f>'Capitalization 18-19'!I5</f>
        <v>21.680000000000003</v>
      </c>
      <c r="G5" s="39"/>
      <c r="H5" s="39" t="str">
        <f>'Capitalization 18-19'!B5:B7</f>
        <v>State Plan</v>
      </c>
      <c r="I5" s="39"/>
      <c r="J5" s="39"/>
      <c r="K5" s="38">
        <f>SUM(F5:G5)</f>
        <v>21.680000000000003</v>
      </c>
      <c r="L5" s="51"/>
    </row>
    <row r="6" spans="3:12" x14ac:dyDescent="0.25">
      <c r="C6" s="172"/>
      <c r="D6" s="37" t="s">
        <v>17</v>
      </c>
      <c r="E6" s="38">
        <f>'Capitalization 18-19'!G6</f>
        <v>23.763773799999999</v>
      </c>
      <c r="F6" s="39"/>
      <c r="G6" s="38">
        <f>'Capitalization 18-19'!I6</f>
        <v>0.76</v>
      </c>
      <c r="H6" s="39" t="str">
        <f>H5</f>
        <v>State Plan</v>
      </c>
      <c r="I6" s="39"/>
      <c r="J6" s="39"/>
      <c r="K6" s="38">
        <f t="shared" ref="K6:K16" si="0">SUM(F6:G6)</f>
        <v>0.76</v>
      </c>
      <c r="L6" s="51"/>
    </row>
    <row r="7" spans="3:12" x14ac:dyDescent="0.25">
      <c r="C7" s="172"/>
      <c r="D7" s="37" t="s">
        <v>330</v>
      </c>
      <c r="E7" s="38">
        <f>'Capitalization 18-19'!G7</f>
        <v>19.631276499999998</v>
      </c>
      <c r="F7" s="38">
        <f>'Capitalization 18-19'!I7</f>
        <v>0</v>
      </c>
      <c r="G7" s="39"/>
      <c r="H7" s="39" t="str">
        <f>H6</f>
        <v>State Plan</v>
      </c>
      <c r="I7" s="39"/>
      <c r="J7" s="39"/>
      <c r="K7" s="38">
        <f t="shared" si="0"/>
        <v>0</v>
      </c>
      <c r="L7" s="51"/>
    </row>
    <row r="8" spans="3:12" ht="60" x14ac:dyDescent="0.25">
      <c r="C8" s="172" t="s">
        <v>20</v>
      </c>
      <c r="D8" s="37" t="s">
        <v>21</v>
      </c>
      <c r="E8" s="38">
        <f>'Capitalization 18-19'!G8</f>
        <v>0</v>
      </c>
      <c r="F8" s="38">
        <f>'Capitalization 18-19'!I8</f>
        <v>14.64</v>
      </c>
      <c r="G8" s="39"/>
      <c r="H8" s="39" t="str">
        <f>H5</f>
        <v>State Plan</v>
      </c>
      <c r="I8" s="39"/>
      <c r="J8" s="39"/>
      <c r="K8" s="38">
        <f t="shared" si="0"/>
        <v>14.64</v>
      </c>
      <c r="L8" s="51"/>
    </row>
    <row r="9" spans="3:12" ht="45" x14ac:dyDescent="0.25">
      <c r="C9" s="172"/>
      <c r="D9" s="37" t="s">
        <v>22</v>
      </c>
      <c r="E9" s="38">
        <f>'Capitalization 18-19'!G9</f>
        <v>0</v>
      </c>
      <c r="F9" s="38">
        <f>'Capitalization 18-19'!I9</f>
        <v>27.1</v>
      </c>
      <c r="G9" s="39"/>
      <c r="H9" s="39" t="str">
        <f>H8</f>
        <v>State Plan</v>
      </c>
      <c r="I9" s="39"/>
      <c r="J9" s="39"/>
      <c r="K9" s="38">
        <f t="shared" si="0"/>
        <v>27.1</v>
      </c>
      <c r="L9" s="51"/>
    </row>
    <row r="10" spans="3:12" ht="30" x14ac:dyDescent="0.25">
      <c r="C10" s="172" t="s">
        <v>24</v>
      </c>
      <c r="D10" s="37" t="s">
        <v>25</v>
      </c>
      <c r="E10" s="38">
        <f>'Capitalization 18-19'!G10</f>
        <v>0</v>
      </c>
      <c r="F10" s="38">
        <f>'Capitalization 18-19'!I10</f>
        <v>24.52</v>
      </c>
      <c r="G10" s="39"/>
      <c r="H10" s="39" t="str">
        <f>H9</f>
        <v>State Plan</v>
      </c>
      <c r="I10" s="39"/>
      <c r="J10" s="39"/>
      <c r="K10" s="38">
        <f t="shared" si="0"/>
        <v>24.52</v>
      </c>
      <c r="L10" s="51"/>
    </row>
    <row r="11" spans="3:12" ht="30" x14ac:dyDescent="0.25">
      <c r="C11" s="172"/>
      <c r="D11" s="37" t="s">
        <v>26</v>
      </c>
      <c r="E11" s="38">
        <f>'Capitalization 18-19'!G11</f>
        <v>0</v>
      </c>
      <c r="F11" s="38">
        <f>'Capitalization 18-19'!I11</f>
        <v>24.18</v>
      </c>
      <c r="G11" s="39"/>
      <c r="H11" s="39" t="str">
        <f>H10</f>
        <v>State Plan</v>
      </c>
      <c r="I11" s="39"/>
      <c r="J11" s="39"/>
      <c r="K11" s="38">
        <f t="shared" si="0"/>
        <v>24.18</v>
      </c>
      <c r="L11" s="51"/>
    </row>
    <row r="12" spans="3:12" ht="45" x14ac:dyDescent="0.25">
      <c r="C12" s="174" t="s">
        <v>29</v>
      </c>
      <c r="D12" s="37" t="s">
        <v>30</v>
      </c>
      <c r="E12" s="38">
        <f>'Capitalization 18-19'!G12</f>
        <v>0</v>
      </c>
      <c r="F12" s="38">
        <f>'Capitalization 18-19'!I12</f>
        <v>5.6079505000000003</v>
      </c>
      <c r="G12" s="39"/>
      <c r="H12" s="39" t="str">
        <f>'Capitalization 18-19'!B12:B16</f>
        <v>BRGF</v>
      </c>
      <c r="I12" s="39"/>
      <c r="J12" s="39"/>
      <c r="K12" s="38">
        <f t="shared" si="0"/>
        <v>5.6079505000000003</v>
      </c>
      <c r="L12" s="51"/>
    </row>
    <row r="13" spans="3:12" ht="45" x14ac:dyDescent="0.25">
      <c r="C13" s="174"/>
      <c r="D13" s="37" t="s">
        <v>31</v>
      </c>
      <c r="E13" s="38">
        <f>'Capitalization 18-19'!G13</f>
        <v>0</v>
      </c>
      <c r="F13" s="38">
        <f>'Capitalization 18-19'!I13</f>
        <v>7.5365092000000002</v>
      </c>
      <c r="G13" s="39"/>
      <c r="H13" s="39" t="str">
        <f>H12</f>
        <v>BRGF</v>
      </c>
      <c r="I13" s="39"/>
      <c r="J13" s="39"/>
      <c r="K13" s="38">
        <f t="shared" si="0"/>
        <v>7.5365092000000002</v>
      </c>
      <c r="L13" s="51"/>
    </row>
    <row r="14" spans="3:12" ht="45" x14ac:dyDescent="0.25">
      <c r="C14" s="174"/>
      <c r="D14" s="37" t="s">
        <v>32</v>
      </c>
      <c r="E14" s="38">
        <f>'Capitalization 18-19'!G14</f>
        <v>0</v>
      </c>
      <c r="F14" s="38">
        <f>'Capitalization 18-19'!I14</f>
        <v>2.7222393999999999</v>
      </c>
      <c r="G14" s="39"/>
      <c r="H14" s="39" t="str">
        <f>H13</f>
        <v>BRGF</v>
      </c>
      <c r="I14" s="39"/>
      <c r="J14" s="39"/>
      <c r="K14" s="38">
        <f t="shared" si="0"/>
        <v>2.7222393999999999</v>
      </c>
      <c r="L14" s="51"/>
    </row>
    <row r="15" spans="3:12" ht="45" x14ac:dyDescent="0.25">
      <c r="C15" s="174"/>
      <c r="D15" s="37" t="s">
        <v>33</v>
      </c>
      <c r="E15" s="38">
        <f>'Capitalization 18-19'!G15</f>
        <v>0</v>
      </c>
      <c r="F15" s="38">
        <f>'Capitalization 18-19'!I15</f>
        <v>16.5666099</v>
      </c>
      <c r="G15" s="39"/>
      <c r="H15" s="39" t="str">
        <f>H14</f>
        <v>BRGF</v>
      </c>
      <c r="I15" s="39"/>
      <c r="J15" s="39"/>
      <c r="K15" s="38">
        <f t="shared" si="0"/>
        <v>16.5666099</v>
      </c>
      <c r="L15" s="51"/>
    </row>
    <row r="16" spans="3:12" ht="60" x14ac:dyDescent="0.25">
      <c r="C16" s="174"/>
      <c r="D16" s="37" t="s">
        <v>34</v>
      </c>
      <c r="E16" s="38">
        <f>'Capitalization 18-19'!G16</f>
        <v>0</v>
      </c>
      <c r="F16" s="38">
        <f>'Capitalization 18-19'!I16</f>
        <v>10.619356399999999</v>
      </c>
      <c r="G16" s="39"/>
      <c r="H16" s="39" t="str">
        <f>H15</f>
        <v>BRGF</v>
      </c>
      <c r="I16" s="39"/>
      <c r="J16" s="39"/>
      <c r="K16" s="38">
        <f t="shared" si="0"/>
        <v>10.619356399999999</v>
      </c>
      <c r="L16" s="51"/>
    </row>
    <row r="17" spans="3:12" ht="30" x14ac:dyDescent="0.25">
      <c r="C17" s="172" t="s">
        <v>37</v>
      </c>
      <c r="D17" s="37" t="s">
        <v>38</v>
      </c>
      <c r="E17" s="38">
        <f>'Capitalization 18-19'!G17</f>
        <v>0</v>
      </c>
      <c r="F17" s="38">
        <f>'Capitalization 18-19'!I17-I17</f>
        <v>9.9667152000000012</v>
      </c>
      <c r="G17" s="39"/>
      <c r="H17" s="39" t="str">
        <f>'Capitalization 18-19'!B17:B21</f>
        <v>ADB</v>
      </c>
      <c r="I17" s="40">
        <v>0.68622430000000001</v>
      </c>
      <c r="J17" s="38">
        <f>(F17+I17)*86%</f>
        <v>9.1615279699999999</v>
      </c>
      <c r="K17" s="38">
        <f>(F17+I17)*14%</f>
        <v>1.4914115300000002</v>
      </c>
      <c r="L17" s="51"/>
    </row>
    <row r="18" spans="3:12" ht="60" x14ac:dyDescent="0.25">
      <c r="C18" s="172"/>
      <c r="D18" s="37" t="s">
        <v>40</v>
      </c>
      <c r="E18" s="38">
        <f>'Capitalization 18-19'!G18</f>
        <v>0</v>
      </c>
      <c r="F18" s="38">
        <f>'Capitalization 18-19'!I18-I18</f>
        <v>3.2312285000000003</v>
      </c>
      <c r="G18" s="39"/>
      <c r="H18" s="39" t="str">
        <f>H17</f>
        <v>ADB</v>
      </c>
      <c r="I18" s="40">
        <v>0.52444219999999997</v>
      </c>
      <c r="J18" s="38">
        <f>(F18+I18)*86%</f>
        <v>3.2298768020000002</v>
      </c>
      <c r="K18" s="38">
        <f>(F18+I18)*14%</f>
        <v>0.52579389800000009</v>
      </c>
      <c r="L18" s="51"/>
    </row>
    <row r="19" spans="3:12" ht="30" x14ac:dyDescent="0.25">
      <c r="C19" s="172"/>
      <c r="D19" s="37" t="s">
        <v>42</v>
      </c>
      <c r="E19" s="38">
        <f>'Capitalization 18-19'!G19</f>
        <v>0</v>
      </c>
      <c r="F19" s="38">
        <f>'Capitalization 18-19'!I19-I19</f>
        <v>2.6465488000000001</v>
      </c>
      <c r="G19" s="39"/>
      <c r="H19" s="39" t="str">
        <f>H18</f>
        <v>ADB</v>
      </c>
      <c r="I19" s="40">
        <v>0.17889730000000001</v>
      </c>
      <c r="J19" s="38">
        <f>(F19+I19)*86%</f>
        <v>2.429883646</v>
      </c>
      <c r="K19" s="38">
        <f>(F19+I19)*14%</f>
        <v>0.39556245400000006</v>
      </c>
      <c r="L19" s="51"/>
    </row>
    <row r="20" spans="3:12" ht="30" x14ac:dyDescent="0.25">
      <c r="C20" s="172"/>
      <c r="D20" s="37" t="s">
        <v>44</v>
      </c>
      <c r="E20" s="38">
        <f>'Capitalization 18-19'!G20</f>
        <v>0</v>
      </c>
      <c r="F20" s="38">
        <f>'Capitalization 18-19'!I20-I20</f>
        <v>4.2673957999999992</v>
      </c>
      <c r="G20" s="39"/>
      <c r="H20" s="39" t="str">
        <f>H19</f>
        <v>ADB</v>
      </c>
      <c r="I20" s="40">
        <v>0.2996819</v>
      </c>
      <c r="J20" s="38">
        <f>(F20+I20)*86%</f>
        <v>3.9276868219999996</v>
      </c>
      <c r="K20" s="38">
        <f>(F20+I20)*14%</f>
        <v>0.63939087800000005</v>
      </c>
      <c r="L20" s="51"/>
    </row>
    <row r="21" spans="3:12" ht="60" x14ac:dyDescent="0.25">
      <c r="C21" s="172"/>
      <c r="D21" s="37" t="s">
        <v>46</v>
      </c>
      <c r="E21" s="38">
        <f>'Capitalization 18-19'!G21</f>
        <v>0</v>
      </c>
      <c r="F21" s="38">
        <f>'Capitalization 18-19'!I21-I21</f>
        <v>15.723424600000001</v>
      </c>
      <c r="G21" s="39"/>
      <c r="H21" s="39" t="str">
        <f>H20</f>
        <v>ADB</v>
      </c>
      <c r="I21" s="40">
        <v>2.8748334</v>
      </c>
      <c r="J21" s="38">
        <f>(F21+I21)*86%</f>
        <v>15.994501880000001</v>
      </c>
      <c r="K21" s="38">
        <f>(F21+I21)*14%</f>
        <v>2.6037561200000003</v>
      </c>
      <c r="L21" s="51"/>
    </row>
    <row r="22" spans="3:12" ht="30" x14ac:dyDescent="0.25">
      <c r="C22" s="37" t="s">
        <v>49</v>
      </c>
      <c r="D22" s="41" t="s">
        <v>50</v>
      </c>
      <c r="E22" s="38">
        <f>'Capitalization 18-19'!G22</f>
        <v>0</v>
      </c>
      <c r="F22" s="38">
        <f>'Capitalization 18-19'!I22</f>
        <v>25.922554599999998</v>
      </c>
      <c r="G22" s="39"/>
      <c r="H22" s="39" t="str">
        <f>'Capitalization 18-19'!B22</f>
        <v>State Plan</v>
      </c>
      <c r="I22" s="39"/>
      <c r="J22" s="39"/>
      <c r="K22" s="38">
        <f>SUM(F22:G22)</f>
        <v>25.922554599999998</v>
      </c>
      <c r="L22" s="51"/>
    </row>
    <row r="23" spans="3:12" ht="45" x14ac:dyDescent="0.25">
      <c r="C23" s="37" t="s">
        <v>52</v>
      </c>
      <c r="D23" s="37" t="s">
        <v>53</v>
      </c>
      <c r="E23" s="38">
        <f>'Capitalization 18-19'!G23</f>
        <v>0</v>
      </c>
      <c r="F23" s="38">
        <f>'Capitalization 18-19'!I23</f>
        <v>21.1338656</v>
      </c>
      <c r="G23" s="39"/>
      <c r="H23" s="39" t="str">
        <f>'Capitalization 18-19'!B23</f>
        <v>State Plan</v>
      </c>
      <c r="I23" s="39"/>
      <c r="J23" s="39"/>
      <c r="K23" s="38">
        <f>SUM(F23:G23)</f>
        <v>21.1338656</v>
      </c>
      <c r="L23" s="51"/>
    </row>
    <row r="24" spans="3:12" ht="75" x14ac:dyDescent="0.25">
      <c r="C24" s="37" t="s">
        <v>55</v>
      </c>
      <c r="D24" s="37" t="s">
        <v>56</v>
      </c>
      <c r="E24" s="38">
        <f>'Capitalization 18-19'!G24</f>
        <v>0</v>
      </c>
      <c r="F24" s="38">
        <f>'Capitalization 18-19'!I24</f>
        <v>7.7839627</v>
      </c>
      <c r="G24" s="39"/>
      <c r="H24" s="39" t="str">
        <f>H23</f>
        <v>State Plan</v>
      </c>
      <c r="I24" s="39"/>
      <c r="J24" s="39"/>
      <c r="K24" s="38">
        <f>SUM(F24:G24)</f>
        <v>7.7839627</v>
      </c>
      <c r="L24" s="51"/>
    </row>
    <row r="25" spans="3:12" x14ac:dyDescent="0.25">
      <c r="C25" s="172" t="s">
        <v>58</v>
      </c>
      <c r="D25" s="37" t="s">
        <v>59</v>
      </c>
      <c r="E25" s="38">
        <f>'Capitalization 18-19'!G25</f>
        <v>0</v>
      </c>
      <c r="F25" s="38">
        <f>'Capitalization 18-19'!I25</f>
        <v>28.024718800000002</v>
      </c>
      <c r="G25" s="39"/>
      <c r="H25" s="39" t="str">
        <f>'Capitalization 18-19'!B25:B26</f>
        <v>State Plan</v>
      </c>
      <c r="I25" s="39"/>
      <c r="J25" s="39"/>
      <c r="K25" s="38">
        <f>SUM(F25:G25)</f>
        <v>28.024718800000002</v>
      </c>
      <c r="L25" s="51"/>
    </row>
    <row r="26" spans="3:12" x14ac:dyDescent="0.25">
      <c r="C26" s="172"/>
      <c r="D26" s="41" t="s">
        <v>60</v>
      </c>
      <c r="E26" s="38">
        <f>'Capitalization 18-19'!G26</f>
        <v>0</v>
      </c>
      <c r="F26" s="38">
        <f>'Capitalization 18-19'!I26</f>
        <v>32.962689699999999</v>
      </c>
      <c r="G26" s="39"/>
      <c r="H26" s="39" t="str">
        <f>H25</f>
        <v>State Plan</v>
      </c>
      <c r="I26" s="39"/>
      <c r="J26" s="39"/>
      <c r="K26" s="38">
        <f>SUM(F26:G26)</f>
        <v>32.962689699999999</v>
      </c>
      <c r="L26" s="51"/>
    </row>
    <row r="27" spans="3:12" ht="30" x14ac:dyDescent="0.25">
      <c r="C27" s="172" t="s">
        <v>62</v>
      </c>
      <c r="D27" s="37" t="s">
        <v>63</v>
      </c>
      <c r="E27" s="38">
        <f>'Capitalization 18-19'!G27</f>
        <v>0</v>
      </c>
      <c r="F27" s="38">
        <f>'Capitalization 18-19'!I27-I27</f>
        <v>5.0542100000000003</v>
      </c>
      <c r="G27" s="39"/>
      <c r="H27" s="39" t="str">
        <f>'Capitalization 18-19'!B27:B31</f>
        <v>ADB</v>
      </c>
      <c r="I27" s="40">
        <v>0.57193660000000002</v>
      </c>
      <c r="J27" s="38">
        <f>(F27+I27)*86%</f>
        <v>4.8384860759999997</v>
      </c>
      <c r="K27" s="38">
        <f>(F27+I27)*14%</f>
        <v>0.78766052400000008</v>
      </c>
      <c r="L27" s="51"/>
    </row>
    <row r="28" spans="3:12" ht="30" x14ac:dyDescent="0.25">
      <c r="C28" s="172"/>
      <c r="D28" s="37" t="s">
        <v>65</v>
      </c>
      <c r="E28" s="38">
        <f>'Capitalization 18-19'!G28</f>
        <v>0</v>
      </c>
      <c r="F28" s="38">
        <f>'Capitalization 18-19'!I28-I28</f>
        <v>8.1596102999999989</v>
      </c>
      <c r="G28" s="39"/>
      <c r="H28" s="39" t="str">
        <f>H27</f>
        <v>ADB</v>
      </c>
      <c r="I28" s="40">
        <v>0.86999890000000002</v>
      </c>
      <c r="J28" s="38">
        <f>(F28+I28)*86%</f>
        <v>7.7654639119999995</v>
      </c>
      <c r="K28" s="38">
        <f>(F28+I28)*14%</f>
        <v>1.2641452880000001</v>
      </c>
      <c r="L28" s="51"/>
    </row>
    <row r="29" spans="3:12" ht="45" x14ac:dyDescent="0.25">
      <c r="C29" s="172"/>
      <c r="D29" s="37" t="s">
        <v>67</v>
      </c>
      <c r="E29" s="38">
        <f>'Capitalization 18-19'!G29</f>
        <v>0</v>
      </c>
      <c r="F29" s="38">
        <f>'Capitalization 18-19'!I29-I29</f>
        <v>6.4893867999999992</v>
      </c>
      <c r="G29" s="39"/>
      <c r="H29" s="39" t="str">
        <f>H28</f>
        <v>ADB</v>
      </c>
      <c r="I29" s="40">
        <v>0.69214399999999998</v>
      </c>
      <c r="J29" s="38">
        <f>(F29+I29)*86%</f>
        <v>6.176116487999999</v>
      </c>
      <c r="K29" s="38">
        <f>(F29+I29)*14%</f>
        <v>1.0054143119999999</v>
      </c>
      <c r="L29" s="51"/>
    </row>
    <row r="30" spans="3:12" ht="30" x14ac:dyDescent="0.25">
      <c r="C30" s="172"/>
      <c r="D30" s="37" t="s">
        <v>69</v>
      </c>
      <c r="E30" s="38">
        <f>'Capitalization 18-19'!G30</f>
        <v>0</v>
      </c>
      <c r="F30" s="38">
        <f>'Capitalization 18-19'!I30-I30</f>
        <v>5.6323108999999993</v>
      </c>
      <c r="G30" s="39"/>
      <c r="H30" s="39" t="str">
        <f>H29</f>
        <v>ADB</v>
      </c>
      <c r="I30" s="42">
        <v>0.60059530000000005</v>
      </c>
      <c r="J30" s="38">
        <f>(F30+I30)*86%</f>
        <v>5.3602993319999994</v>
      </c>
      <c r="K30" s="38">
        <f>(F30+I30)*14%</f>
        <v>0.87260686799999998</v>
      </c>
      <c r="L30" s="51"/>
    </row>
    <row r="31" spans="3:12" ht="30" x14ac:dyDescent="0.25">
      <c r="C31" s="172"/>
      <c r="D31" s="37" t="s">
        <v>71</v>
      </c>
      <c r="E31" s="38">
        <f>'Capitalization 18-19'!G31</f>
        <v>0</v>
      </c>
      <c r="F31" s="38">
        <f>'Capitalization 18-19'!I31-I31</f>
        <v>8.6463847999999999</v>
      </c>
      <c r="G31" s="39"/>
      <c r="H31" s="39" t="str">
        <f>H30</f>
        <v>ADB</v>
      </c>
      <c r="I31" s="40">
        <v>1.9345684999999999</v>
      </c>
      <c r="J31" s="38">
        <f>(F31+I31)*86%</f>
        <v>9.0996198379999989</v>
      </c>
      <c r="K31" s="38">
        <f>(F31+I31)*14%</f>
        <v>1.481333462</v>
      </c>
      <c r="L31" s="51"/>
    </row>
    <row r="32" spans="3:12" ht="75" x14ac:dyDescent="0.25">
      <c r="C32" s="172" t="s">
        <v>74</v>
      </c>
      <c r="D32" s="37" t="s">
        <v>75</v>
      </c>
      <c r="E32" s="38">
        <f>'Capitalization 18-19'!G32</f>
        <v>10.1424532</v>
      </c>
      <c r="F32" s="39"/>
      <c r="G32" s="38">
        <f>'Capitalization 18-19'!I32</f>
        <v>0.37113469999999998</v>
      </c>
      <c r="H32" s="39" t="str">
        <f>'Capitalization 18-19'!B32:B34</f>
        <v>State Plan</v>
      </c>
      <c r="I32" s="39"/>
      <c r="J32" s="39"/>
      <c r="K32" s="38">
        <f t="shared" ref="K32:K37" si="1">SUM(F32:G32)</f>
        <v>0.37113469999999998</v>
      </c>
      <c r="L32" s="51"/>
    </row>
    <row r="33" spans="3:12" ht="75" x14ac:dyDescent="0.25">
      <c r="C33" s="172"/>
      <c r="D33" s="37" t="s">
        <v>76</v>
      </c>
      <c r="E33" s="38">
        <f>'Capitalization 18-19'!G33</f>
        <v>0</v>
      </c>
      <c r="F33" s="38">
        <f>'Capitalization 18-19'!I33</f>
        <v>10.289326900000001</v>
      </c>
      <c r="G33" s="39"/>
      <c r="H33" s="39" t="str">
        <f>H32</f>
        <v>State Plan</v>
      </c>
      <c r="I33" s="39"/>
      <c r="J33" s="39"/>
      <c r="K33" s="38">
        <f t="shared" si="1"/>
        <v>10.289326900000001</v>
      </c>
      <c r="L33" s="51"/>
    </row>
    <row r="34" spans="3:12" ht="60" x14ac:dyDescent="0.25">
      <c r="C34" s="172"/>
      <c r="D34" s="37" t="s">
        <v>77</v>
      </c>
      <c r="E34" s="38">
        <f>'Capitalization 18-19'!G34</f>
        <v>0</v>
      </c>
      <c r="F34" s="38">
        <f>'Capitalization 18-19'!I34</f>
        <v>15.9473731</v>
      </c>
      <c r="G34" s="39"/>
      <c r="H34" s="39" t="str">
        <f>H33</f>
        <v>State Plan</v>
      </c>
      <c r="I34" s="39"/>
      <c r="J34" s="39"/>
      <c r="K34" s="38">
        <f t="shared" si="1"/>
        <v>15.9473731</v>
      </c>
      <c r="L34" s="51"/>
    </row>
    <row r="35" spans="3:12" ht="60" x14ac:dyDescent="0.25">
      <c r="C35" s="37" t="s">
        <v>79</v>
      </c>
      <c r="D35" s="37" t="s">
        <v>80</v>
      </c>
      <c r="E35" s="38">
        <f>'Capitalization 18-19'!G35</f>
        <v>31.669408499999999</v>
      </c>
      <c r="F35" s="39"/>
      <c r="G35" s="38">
        <f>'Capitalization 18-19'!I35</f>
        <v>0.57087690000000002</v>
      </c>
      <c r="H35" s="39" t="str">
        <f>'Capitalization 18-19'!B35</f>
        <v>BRGF</v>
      </c>
      <c r="I35" s="39"/>
      <c r="J35" s="39"/>
      <c r="K35" s="38">
        <f t="shared" si="1"/>
        <v>0.57087690000000002</v>
      </c>
      <c r="L35" s="51"/>
    </row>
    <row r="36" spans="3:12" ht="135" x14ac:dyDescent="0.25">
      <c r="C36" s="37" t="s">
        <v>82</v>
      </c>
      <c r="D36" s="37" t="s">
        <v>83</v>
      </c>
      <c r="E36" s="38">
        <f>'Capitalization 18-19'!G36</f>
        <v>76.255048400000007</v>
      </c>
      <c r="F36" s="39"/>
      <c r="G36" s="38">
        <f>'Capitalization 18-19'!I36</f>
        <v>3.7678265999999998</v>
      </c>
      <c r="H36" s="39" t="str">
        <f>'Capitalization 18-19'!B36</f>
        <v>BRGF</v>
      </c>
      <c r="I36" s="39"/>
      <c r="J36" s="39"/>
      <c r="K36" s="38">
        <f t="shared" si="1"/>
        <v>3.7678265999999998</v>
      </c>
      <c r="L36" s="51"/>
    </row>
    <row r="37" spans="3:12" ht="30" x14ac:dyDescent="0.25">
      <c r="C37" s="37" t="s">
        <v>85</v>
      </c>
      <c r="D37" s="37" t="s">
        <v>86</v>
      </c>
      <c r="E37" s="38">
        <f>'Capitalization 18-19'!G37</f>
        <v>0</v>
      </c>
      <c r="F37" s="38">
        <f>'Capitalization 18-19'!I37</f>
        <v>11.328613000000001</v>
      </c>
      <c r="G37" s="39"/>
      <c r="H37" s="39" t="str">
        <f>'Capitalization 18-19'!B37</f>
        <v>BRGF</v>
      </c>
      <c r="I37" s="39"/>
      <c r="J37" s="39"/>
      <c r="K37" s="38">
        <f t="shared" si="1"/>
        <v>11.328613000000001</v>
      </c>
      <c r="L37" s="51"/>
    </row>
    <row r="38" spans="3:12" x14ac:dyDescent="0.25">
      <c r="C38" s="172" t="s">
        <v>88</v>
      </c>
      <c r="D38" s="37" t="s">
        <v>89</v>
      </c>
      <c r="E38" s="38">
        <f>'Capitalization 18-19'!G38</f>
        <v>0</v>
      </c>
      <c r="F38" s="38">
        <f>'Capitalization 18-19'!I38-I38</f>
        <v>3.8085487999999996</v>
      </c>
      <c r="G38" s="39"/>
      <c r="H38" s="39" t="str">
        <f>'Capitalization 18-19'!B38:B43</f>
        <v>ADB</v>
      </c>
      <c r="I38" s="40">
        <v>0.3314512</v>
      </c>
      <c r="J38" s="38">
        <f>(F38+I38)*86%</f>
        <v>3.5603999999999996</v>
      </c>
      <c r="K38" s="38">
        <f>(F38+I38)*14%</f>
        <v>0.5796</v>
      </c>
      <c r="L38" s="51"/>
    </row>
    <row r="39" spans="3:12" ht="45" x14ac:dyDescent="0.25">
      <c r="C39" s="172"/>
      <c r="D39" s="37" t="s">
        <v>91</v>
      </c>
      <c r="E39" s="38">
        <f>'Capitalization 18-19'!G39</f>
        <v>0</v>
      </c>
      <c r="F39" s="38">
        <f>'Capitalization 18-19'!I39-I39</f>
        <v>11.389486199999999</v>
      </c>
      <c r="G39" s="39"/>
      <c r="H39" s="39" t="str">
        <f>H38</f>
        <v>ADB</v>
      </c>
      <c r="I39" s="40">
        <v>0.96910070000000004</v>
      </c>
      <c r="J39" s="38">
        <f>(F39+I39)*86%</f>
        <v>10.628384733999999</v>
      </c>
      <c r="K39" s="38">
        <f>(F39+I39)*14%</f>
        <v>1.730202166</v>
      </c>
      <c r="L39" s="51"/>
    </row>
    <row r="40" spans="3:12" x14ac:dyDescent="0.25">
      <c r="C40" s="172"/>
      <c r="D40" s="37" t="s">
        <v>93</v>
      </c>
      <c r="E40" s="38">
        <f>'Capitalization 18-19'!G40</f>
        <v>0</v>
      </c>
      <c r="F40" s="38">
        <f>'Capitalization 18-19'!I40-I40</f>
        <v>9.8879245000000004</v>
      </c>
      <c r="G40" s="39"/>
      <c r="H40" s="39" t="str">
        <f>H39</f>
        <v>ADB</v>
      </c>
      <c r="I40" s="40">
        <v>1.1553</v>
      </c>
      <c r="J40" s="38">
        <f>(F40+I40)*86%</f>
        <v>9.4971730700000005</v>
      </c>
      <c r="K40" s="38">
        <f>(F40+I40)*14%</f>
        <v>1.5460514300000003</v>
      </c>
      <c r="L40" s="51"/>
    </row>
    <row r="41" spans="3:12" ht="30" x14ac:dyDescent="0.25">
      <c r="C41" s="172"/>
      <c r="D41" s="37" t="s">
        <v>95</v>
      </c>
      <c r="E41" s="38">
        <f>'Capitalization 18-19'!G41</f>
        <v>0</v>
      </c>
      <c r="F41" s="38">
        <f>'Capitalization 18-19'!I41-I41</f>
        <v>3.9281085</v>
      </c>
      <c r="G41" s="39"/>
      <c r="H41" s="39" t="str">
        <f>H40</f>
        <v>ADB</v>
      </c>
      <c r="I41" s="40">
        <v>0.34186529999999998</v>
      </c>
      <c r="J41" s="38">
        <f>(F41+I41)*86%</f>
        <v>3.6721774679999997</v>
      </c>
      <c r="K41" s="38">
        <f>(F41+I41)*14%</f>
        <v>0.59779633200000004</v>
      </c>
      <c r="L41" s="51"/>
    </row>
    <row r="42" spans="3:12" ht="45" x14ac:dyDescent="0.25">
      <c r="C42" s="172"/>
      <c r="D42" s="37" t="s">
        <v>97</v>
      </c>
      <c r="E42" s="38">
        <f>'Capitalization 18-19'!G42</f>
        <v>0</v>
      </c>
      <c r="F42" s="38">
        <f>'Capitalization 18-19'!I42</f>
        <v>0</v>
      </c>
      <c r="G42" s="39"/>
      <c r="H42" s="39" t="str">
        <f>H41</f>
        <v>ADB</v>
      </c>
      <c r="I42" s="39"/>
      <c r="J42" s="38">
        <f>F42*86%</f>
        <v>0</v>
      </c>
      <c r="K42" s="38">
        <f>F42*14%</f>
        <v>0</v>
      </c>
      <c r="L42" s="51"/>
    </row>
    <row r="43" spans="3:12" x14ac:dyDescent="0.25">
      <c r="C43" s="172"/>
      <c r="D43" s="37" t="s">
        <v>98</v>
      </c>
      <c r="E43" s="38">
        <f>'Capitalization 18-19'!G43</f>
        <v>0</v>
      </c>
      <c r="F43" s="38">
        <f>'Capitalization 18-19'!I43-I43</f>
        <v>7.2840245999999986</v>
      </c>
      <c r="G43" s="39"/>
      <c r="H43" s="39" t="str">
        <f>H42</f>
        <v>ADB</v>
      </c>
      <c r="I43" s="40">
        <v>1.1461991</v>
      </c>
      <c r="J43" s="38">
        <f>(F43+I43)*86%</f>
        <v>7.2499923819999994</v>
      </c>
      <c r="K43" s="38">
        <f>(F43+I43)*14%</f>
        <v>1.1802313179999999</v>
      </c>
      <c r="L43" s="51"/>
    </row>
    <row r="44" spans="3:12" ht="30" x14ac:dyDescent="0.25">
      <c r="C44" s="41" t="s">
        <v>101</v>
      </c>
      <c r="D44" s="37" t="s">
        <v>102</v>
      </c>
      <c r="E44" s="38">
        <f>'Capitalization 18-19'!G44</f>
        <v>0.65</v>
      </c>
      <c r="F44" s="39"/>
      <c r="G44" s="38">
        <f>'Capitalization 18-19'!I44</f>
        <v>7.5672400000000001E-2</v>
      </c>
      <c r="H44" s="39" t="str">
        <f>'Capitalization 18-19'!B44</f>
        <v>State Plan</v>
      </c>
      <c r="I44" s="39"/>
      <c r="J44" s="39"/>
      <c r="K44" s="38">
        <f t="shared" ref="K44:K66" si="2">SUM(F44:G44)</f>
        <v>7.5672400000000001E-2</v>
      </c>
      <c r="L44" s="51"/>
    </row>
    <row r="45" spans="3:12" ht="45" x14ac:dyDescent="0.25">
      <c r="C45" s="37" t="s">
        <v>104</v>
      </c>
      <c r="D45" s="37" t="s">
        <v>105</v>
      </c>
      <c r="E45" s="38">
        <f>'Capitalization 18-19'!G45</f>
        <v>0</v>
      </c>
      <c r="F45" s="38">
        <f>'Capitalization 18-19'!I45</f>
        <v>107.7698975</v>
      </c>
      <c r="G45" s="39"/>
      <c r="H45" s="39" t="str">
        <f>'Capitalization 18-19'!B45</f>
        <v>BRGF</v>
      </c>
      <c r="I45" s="39"/>
      <c r="J45" s="39"/>
      <c r="K45" s="38">
        <f t="shared" si="2"/>
        <v>107.7698975</v>
      </c>
      <c r="L45" s="51"/>
    </row>
    <row r="46" spans="3:12" ht="45" x14ac:dyDescent="0.25">
      <c r="C46" s="37" t="s">
        <v>107</v>
      </c>
      <c r="D46" s="37" t="s">
        <v>108</v>
      </c>
      <c r="E46" s="38">
        <f>'Capitalization 18-19'!G46</f>
        <v>0</v>
      </c>
      <c r="F46" s="38">
        <f>'Capitalization 18-19'!I46</f>
        <v>136.86881019999998</v>
      </c>
      <c r="G46" s="39"/>
      <c r="H46" s="39" t="str">
        <f>'Capitalization 18-19'!B46</f>
        <v>BRGF</v>
      </c>
      <c r="I46" s="39"/>
      <c r="J46" s="39"/>
      <c r="K46" s="38">
        <f t="shared" si="2"/>
        <v>136.86881019999998</v>
      </c>
      <c r="L46" s="51"/>
    </row>
    <row r="47" spans="3:12" ht="45" x14ac:dyDescent="0.25">
      <c r="C47" s="172" t="s">
        <v>110</v>
      </c>
      <c r="D47" s="37" t="s">
        <v>111</v>
      </c>
      <c r="E47" s="38">
        <f>'Capitalization 18-19'!G47</f>
        <v>0</v>
      </c>
      <c r="F47" s="38">
        <f>'Capitalization 18-19'!I47</f>
        <v>5.6616002999999999</v>
      </c>
      <c r="G47" s="39"/>
      <c r="H47" s="39" t="str">
        <f>'Capitalization 18-19'!B47:B54</f>
        <v>State Plan</v>
      </c>
      <c r="I47" s="39"/>
      <c r="J47" s="39"/>
      <c r="K47" s="38">
        <f t="shared" si="2"/>
        <v>5.6616002999999999</v>
      </c>
      <c r="L47" s="51"/>
    </row>
    <row r="48" spans="3:12" ht="60" x14ac:dyDescent="0.25">
      <c r="C48" s="172"/>
      <c r="D48" s="37" t="s">
        <v>112</v>
      </c>
      <c r="E48" s="38">
        <f>'Capitalization 18-19'!G48</f>
        <v>0</v>
      </c>
      <c r="F48" s="38">
        <f>'Capitalization 18-19'!I48</f>
        <v>23.550823699999999</v>
      </c>
      <c r="G48" s="39"/>
      <c r="H48" s="39" t="str">
        <f t="shared" ref="H48:H54" si="3">H47</f>
        <v>State Plan</v>
      </c>
      <c r="I48" s="39"/>
      <c r="J48" s="39"/>
      <c r="K48" s="38">
        <f t="shared" si="2"/>
        <v>23.550823699999999</v>
      </c>
      <c r="L48" s="51"/>
    </row>
    <row r="49" spans="3:12" ht="75" x14ac:dyDescent="0.25">
      <c r="C49" s="172"/>
      <c r="D49" s="37" t="s">
        <v>113</v>
      </c>
      <c r="E49" s="38">
        <f>'Capitalization 18-19'!G49</f>
        <v>0</v>
      </c>
      <c r="F49" s="38">
        <f>'Capitalization 18-19'!I49</f>
        <v>8.6844637999999996</v>
      </c>
      <c r="G49" s="39"/>
      <c r="H49" s="39" t="str">
        <f t="shared" si="3"/>
        <v>State Plan</v>
      </c>
      <c r="I49" s="39"/>
      <c r="J49" s="39"/>
      <c r="K49" s="38">
        <f t="shared" si="2"/>
        <v>8.6844637999999996</v>
      </c>
      <c r="L49" s="51"/>
    </row>
    <row r="50" spans="3:12" ht="60" x14ac:dyDescent="0.25">
      <c r="C50" s="172"/>
      <c r="D50" s="37" t="s">
        <v>114</v>
      </c>
      <c r="E50" s="38">
        <f>'Capitalization 18-19'!G50</f>
        <v>0</v>
      </c>
      <c r="F50" s="38">
        <f>'Capitalization 18-19'!I50</f>
        <v>16.086480999999999</v>
      </c>
      <c r="G50" s="39"/>
      <c r="H50" s="39" t="str">
        <f t="shared" si="3"/>
        <v>State Plan</v>
      </c>
      <c r="I50" s="39"/>
      <c r="J50" s="39"/>
      <c r="K50" s="38">
        <f t="shared" si="2"/>
        <v>16.086480999999999</v>
      </c>
      <c r="L50" s="51"/>
    </row>
    <row r="51" spans="3:12" ht="30" x14ac:dyDescent="0.25">
      <c r="C51" s="172"/>
      <c r="D51" s="37" t="s">
        <v>115</v>
      </c>
      <c r="E51" s="38">
        <f>'Capitalization 18-19'!G51</f>
        <v>0</v>
      </c>
      <c r="F51" s="38">
        <f>'Capitalization 18-19'!I51</f>
        <v>19.328882400000001</v>
      </c>
      <c r="G51" s="39"/>
      <c r="H51" s="39" t="str">
        <f t="shared" si="3"/>
        <v>State Plan</v>
      </c>
      <c r="I51" s="39"/>
      <c r="J51" s="39"/>
      <c r="K51" s="38">
        <f t="shared" si="2"/>
        <v>19.328882400000001</v>
      </c>
      <c r="L51" s="51"/>
    </row>
    <row r="52" spans="3:12" ht="45" x14ac:dyDescent="0.25">
      <c r="C52" s="172"/>
      <c r="D52" s="37" t="s">
        <v>116</v>
      </c>
      <c r="E52" s="38">
        <f>'Capitalization 18-19'!G52</f>
        <v>0</v>
      </c>
      <c r="F52" s="38">
        <f>'Capitalization 18-19'!I52</f>
        <v>14.2474182</v>
      </c>
      <c r="G52" s="39"/>
      <c r="H52" s="39" t="str">
        <f t="shared" si="3"/>
        <v>State Plan</v>
      </c>
      <c r="I52" s="39"/>
      <c r="J52" s="39"/>
      <c r="K52" s="38">
        <f t="shared" si="2"/>
        <v>14.2474182</v>
      </c>
      <c r="L52" s="51"/>
    </row>
    <row r="53" spans="3:12" ht="45" x14ac:dyDescent="0.25">
      <c r="C53" s="172"/>
      <c r="D53" s="37" t="s">
        <v>117</v>
      </c>
      <c r="E53" s="38">
        <f>'Capitalization 18-19'!G53</f>
        <v>8.7486774999999994</v>
      </c>
      <c r="F53" s="38">
        <f>'Capitalization 18-19'!I53</f>
        <v>0</v>
      </c>
      <c r="G53" s="39"/>
      <c r="H53" s="39" t="str">
        <f t="shared" si="3"/>
        <v>State Plan</v>
      </c>
      <c r="I53" s="39"/>
      <c r="J53" s="39"/>
      <c r="K53" s="38">
        <f t="shared" si="2"/>
        <v>0</v>
      </c>
      <c r="L53" s="51"/>
    </row>
    <row r="54" spans="3:12" ht="45" x14ac:dyDescent="0.25">
      <c r="C54" s="172"/>
      <c r="D54" s="37" t="s">
        <v>118</v>
      </c>
      <c r="E54" s="38">
        <f>'Capitalization 18-19'!G54</f>
        <v>0</v>
      </c>
      <c r="F54" s="38">
        <f>'Capitalization 18-19'!I54</f>
        <v>5.9274681999999999</v>
      </c>
      <c r="G54" s="39"/>
      <c r="H54" s="39" t="str">
        <f t="shared" si="3"/>
        <v>State Plan</v>
      </c>
      <c r="I54" s="39"/>
      <c r="J54" s="39"/>
      <c r="K54" s="38">
        <f t="shared" si="2"/>
        <v>5.9274681999999999</v>
      </c>
      <c r="L54" s="51"/>
    </row>
    <row r="55" spans="3:12" ht="60" x14ac:dyDescent="0.25">
      <c r="C55" s="37" t="s">
        <v>120</v>
      </c>
      <c r="D55" s="37" t="s">
        <v>121</v>
      </c>
      <c r="E55" s="38">
        <f>'Capitalization 18-19'!G55</f>
        <v>0</v>
      </c>
      <c r="F55" s="38">
        <f>'Capitalization 18-19'!I55</f>
        <v>14.669613500000001</v>
      </c>
      <c r="G55" s="39"/>
      <c r="H55" s="39" t="str">
        <f>'Capitalization 18-19'!B55</f>
        <v>State Plan</v>
      </c>
      <c r="I55" s="39"/>
      <c r="J55" s="39"/>
      <c r="K55" s="38">
        <f t="shared" si="2"/>
        <v>14.669613500000001</v>
      </c>
      <c r="L55" s="51"/>
    </row>
    <row r="56" spans="3:12" ht="60" x14ac:dyDescent="0.25">
      <c r="C56" s="37" t="s">
        <v>123</v>
      </c>
      <c r="D56" s="41" t="s">
        <v>124</v>
      </c>
      <c r="E56" s="38">
        <f>'Capitalization 18-19'!G56</f>
        <v>0</v>
      </c>
      <c r="F56" s="38">
        <f>'Capitalization 18-19'!I56</f>
        <v>9.1159841000000004</v>
      </c>
      <c r="G56" s="39"/>
      <c r="H56" s="39" t="str">
        <f>'Capitalization 18-19'!B56</f>
        <v>BRGF</v>
      </c>
      <c r="I56" s="39"/>
      <c r="J56" s="39"/>
      <c r="K56" s="38">
        <f t="shared" si="2"/>
        <v>9.1159841000000004</v>
      </c>
      <c r="L56" s="51"/>
    </row>
    <row r="57" spans="3:12" ht="60" x14ac:dyDescent="0.25">
      <c r="C57" s="37" t="s">
        <v>126</v>
      </c>
      <c r="D57" s="37" t="s">
        <v>127</v>
      </c>
      <c r="E57" s="38">
        <f>'Capitalization 18-19'!G57</f>
        <v>0</v>
      </c>
      <c r="F57" s="38">
        <f>'Capitalization 18-19'!I57</f>
        <v>8.8430905000000006</v>
      </c>
      <c r="G57" s="39"/>
      <c r="H57" s="39" t="str">
        <f>'Capitalization 18-19'!B57</f>
        <v>BRGF</v>
      </c>
      <c r="I57" s="39"/>
      <c r="J57" s="39"/>
      <c r="K57" s="38">
        <f t="shared" si="2"/>
        <v>8.8430905000000006</v>
      </c>
      <c r="L57" s="51"/>
    </row>
    <row r="58" spans="3:12" ht="45" x14ac:dyDescent="0.25">
      <c r="C58" s="37" t="s">
        <v>129</v>
      </c>
      <c r="D58" s="37" t="s">
        <v>130</v>
      </c>
      <c r="E58" s="38">
        <f>'Capitalization 18-19'!G58</f>
        <v>0</v>
      </c>
      <c r="F58" s="38">
        <f>'Capitalization 18-19'!I58</f>
        <v>106.79293476000001</v>
      </c>
      <c r="G58" s="39"/>
      <c r="H58" s="39" t="str">
        <f>'Capitalization 18-19'!B58</f>
        <v>BRGF</v>
      </c>
      <c r="I58" s="39"/>
      <c r="J58" s="39"/>
      <c r="K58" s="38">
        <f t="shared" si="2"/>
        <v>106.79293476000001</v>
      </c>
      <c r="L58" s="51"/>
    </row>
    <row r="59" spans="3:12" ht="90" x14ac:dyDescent="0.25">
      <c r="C59" s="37" t="s">
        <v>133</v>
      </c>
      <c r="D59" s="41" t="s">
        <v>134</v>
      </c>
      <c r="E59" s="38">
        <f>'Capitalization 18-19'!G59</f>
        <v>0</v>
      </c>
      <c r="F59" s="38">
        <f>'Capitalization 18-19'!I59</f>
        <v>11.2307919</v>
      </c>
      <c r="G59" s="39"/>
      <c r="H59" s="39" t="str">
        <f>'Capitalization 18-19'!B59</f>
        <v>IRF</v>
      </c>
      <c r="I59" s="39"/>
      <c r="J59" s="39"/>
      <c r="K59" s="38">
        <f t="shared" si="2"/>
        <v>11.2307919</v>
      </c>
      <c r="L59" s="51"/>
    </row>
    <row r="60" spans="3:12" ht="105" x14ac:dyDescent="0.25">
      <c r="C60" s="172" t="s">
        <v>136</v>
      </c>
      <c r="D60" s="37" t="s">
        <v>137</v>
      </c>
      <c r="E60" s="38">
        <f>'Capitalization 18-19'!G60</f>
        <v>0</v>
      </c>
      <c r="F60" s="38">
        <f>'Capitalization 18-19'!I60</f>
        <v>0</v>
      </c>
      <c r="G60" s="39"/>
      <c r="H60" s="39" t="str">
        <f>'Capitalization 18-19'!B60:B62</f>
        <v>State Plan</v>
      </c>
      <c r="I60" s="39"/>
      <c r="J60" s="39"/>
      <c r="K60" s="38">
        <f t="shared" si="2"/>
        <v>0</v>
      </c>
      <c r="L60" s="51"/>
    </row>
    <row r="61" spans="3:12" ht="105" x14ac:dyDescent="0.25">
      <c r="C61" s="172"/>
      <c r="D61" s="37" t="s">
        <v>138</v>
      </c>
      <c r="E61" s="38">
        <f>'Capitalization 18-19'!G61</f>
        <v>0</v>
      </c>
      <c r="F61" s="38">
        <f>'Capitalization 18-19'!I61</f>
        <v>16.573556100000001</v>
      </c>
      <c r="G61" s="39"/>
      <c r="H61" s="39" t="str">
        <f>H60</f>
        <v>State Plan</v>
      </c>
      <c r="I61" s="39"/>
      <c r="J61" s="39"/>
      <c r="K61" s="38">
        <f t="shared" si="2"/>
        <v>16.573556100000001</v>
      </c>
      <c r="L61" s="51"/>
    </row>
    <row r="62" spans="3:12" ht="90" x14ac:dyDescent="0.25">
      <c r="C62" s="172"/>
      <c r="D62" s="37" t="s">
        <v>139</v>
      </c>
      <c r="E62" s="38">
        <f>'Capitalization 18-19'!G62</f>
        <v>6.1737770999999997</v>
      </c>
      <c r="F62" s="39"/>
      <c r="G62" s="38">
        <f>'Capitalization 18-19'!I62</f>
        <v>1.2496269</v>
      </c>
      <c r="H62" s="39" t="str">
        <f>H61</f>
        <v>State Plan</v>
      </c>
      <c r="I62" s="39"/>
      <c r="J62" s="39"/>
      <c r="K62" s="38">
        <f t="shared" si="2"/>
        <v>1.2496269</v>
      </c>
      <c r="L62" s="51"/>
    </row>
    <row r="63" spans="3:12" ht="45" x14ac:dyDescent="0.25">
      <c r="C63" s="172" t="s">
        <v>141</v>
      </c>
      <c r="D63" s="37" t="s">
        <v>142</v>
      </c>
      <c r="E63" s="38">
        <f>'Capitalization 18-19'!G63</f>
        <v>12.4817895</v>
      </c>
      <c r="F63" s="39"/>
      <c r="G63" s="38">
        <f>'Capitalization 18-19'!I63</f>
        <v>1.5563879</v>
      </c>
      <c r="H63" s="39" t="str">
        <f>'Capitalization 18-19'!B63:B65</f>
        <v>State Plan</v>
      </c>
      <c r="I63" s="39"/>
      <c r="J63" s="39"/>
      <c r="K63" s="38">
        <f t="shared" si="2"/>
        <v>1.5563879</v>
      </c>
      <c r="L63" s="51"/>
    </row>
    <row r="64" spans="3:12" ht="60" x14ac:dyDescent="0.25">
      <c r="C64" s="172"/>
      <c r="D64" s="37" t="s">
        <v>143</v>
      </c>
      <c r="E64" s="38">
        <f>'Capitalization 18-19'!G64</f>
        <v>0</v>
      </c>
      <c r="F64" s="38">
        <f>'Capitalization 18-19'!I64</f>
        <v>12.544494499999999</v>
      </c>
      <c r="G64" s="39"/>
      <c r="H64" s="39" t="str">
        <f>H63</f>
        <v>State Plan</v>
      </c>
      <c r="I64" s="39"/>
      <c r="J64" s="39"/>
      <c r="K64" s="38">
        <f t="shared" si="2"/>
        <v>12.544494499999999</v>
      </c>
      <c r="L64" s="51"/>
    </row>
    <row r="65" spans="3:12" ht="60" x14ac:dyDescent="0.25">
      <c r="C65" s="172"/>
      <c r="D65" s="37" t="s">
        <v>144</v>
      </c>
      <c r="E65" s="38">
        <f>'Capitalization 18-19'!G65</f>
        <v>0</v>
      </c>
      <c r="F65" s="38">
        <f>'Capitalization 18-19'!I65</f>
        <v>14.019494600000002</v>
      </c>
      <c r="G65" s="39"/>
      <c r="H65" s="39" t="str">
        <f>H64</f>
        <v>State Plan</v>
      </c>
      <c r="I65" s="39"/>
      <c r="J65" s="39"/>
      <c r="K65" s="38">
        <f t="shared" si="2"/>
        <v>14.019494600000002</v>
      </c>
      <c r="L65" s="51"/>
    </row>
    <row r="66" spans="3:12" x14ac:dyDescent="0.25">
      <c r="C66" s="172" t="s">
        <v>146</v>
      </c>
      <c r="D66" s="41" t="s">
        <v>147</v>
      </c>
      <c r="E66" s="38">
        <f>'Capitalization 18-19'!G66</f>
        <v>0</v>
      </c>
      <c r="F66" s="38">
        <f>'Capitalization 18-19'!I66</f>
        <v>21.469850999999998</v>
      </c>
      <c r="G66" s="39"/>
      <c r="H66" s="39" t="str">
        <f>'Capitalization 18-19'!B66:B69</f>
        <v>State Plan</v>
      </c>
      <c r="I66" s="39"/>
      <c r="J66" s="39"/>
      <c r="K66" s="38">
        <f t="shared" si="2"/>
        <v>21.469850999999998</v>
      </c>
      <c r="L66" s="51"/>
    </row>
    <row r="67" spans="3:12" x14ac:dyDescent="0.25">
      <c r="C67" s="172"/>
      <c r="D67" s="41" t="s">
        <v>148</v>
      </c>
      <c r="E67" s="38">
        <f>'Capitalization 18-19'!G67</f>
        <v>0</v>
      </c>
      <c r="F67" s="38">
        <f>'Capitalization 18-19'!I67</f>
        <v>21.8245632</v>
      </c>
      <c r="G67" s="39"/>
      <c r="H67" s="39" t="str">
        <f>H66</f>
        <v>State Plan</v>
      </c>
      <c r="I67" s="39"/>
      <c r="J67" s="39"/>
      <c r="K67" s="38">
        <f t="shared" ref="K67:K69" si="4">SUM(F67:G67)</f>
        <v>21.8245632</v>
      </c>
      <c r="L67" s="51"/>
    </row>
    <row r="68" spans="3:12" x14ac:dyDescent="0.25">
      <c r="C68" s="172"/>
      <c r="D68" s="41" t="s">
        <v>149</v>
      </c>
      <c r="E68" s="38">
        <f>'Capitalization 18-19'!G68</f>
        <v>0</v>
      </c>
      <c r="F68" s="38">
        <f>'Capitalization 18-19'!I68</f>
        <v>26.1587806</v>
      </c>
      <c r="G68" s="39"/>
      <c r="H68" s="39" t="str">
        <f>H67</f>
        <v>State Plan</v>
      </c>
      <c r="I68" s="39"/>
      <c r="J68" s="39"/>
      <c r="K68" s="38">
        <f t="shared" si="4"/>
        <v>26.1587806</v>
      </c>
      <c r="L68" s="51"/>
    </row>
    <row r="69" spans="3:12" x14ac:dyDescent="0.25">
      <c r="C69" s="172"/>
      <c r="D69" s="41" t="s">
        <v>150</v>
      </c>
      <c r="E69" s="38">
        <f>'Capitalization 18-19'!G69</f>
        <v>0</v>
      </c>
      <c r="F69" s="38">
        <f>'Capitalization 18-19'!I69</f>
        <v>19.4251787</v>
      </c>
      <c r="G69" s="39"/>
      <c r="H69" s="39" t="str">
        <f>H68</f>
        <v>State Plan</v>
      </c>
      <c r="I69" s="39"/>
      <c r="J69" s="39"/>
      <c r="K69" s="38">
        <f t="shared" si="4"/>
        <v>19.4251787</v>
      </c>
      <c r="L69" s="51"/>
    </row>
    <row r="70" spans="3:12" ht="60" x14ac:dyDescent="0.25">
      <c r="C70" s="37" t="s">
        <v>152</v>
      </c>
      <c r="D70" s="37" t="s">
        <v>153</v>
      </c>
      <c r="E70" s="38">
        <f>'Capitalization 18-19'!G70</f>
        <v>0</v>
      </c>
      <c r="F70" s="38">
        <f>'Capitalization 18-19'!I70+0.01</f>
        <v>0.27</v>
      </c>
      <c r="G70" s="39"/>
      <c r="H70" s="39" t="str">
        <f>'Capitalization 18-19'!B70</f>
        <v>State Plan</v>
      </c>
      <c r="I70" s="39"/>
      <c r="J70" s="39"/>
      <c r="K70" s="38">
        <f>SUM(F70:G70)</f>
        <v>0.27</v>
      </c>
      <c r="L70" s="51"/>
    </row>
    <row r="71" spans="3:12" x14ac:dyDescent="0.25">
      <c r="C71" s="172" t="s">
        <v>155</v>
      </c>
      <c r="D71" s="37" t="s">
        <v>156</v>
      </c>
      <c r="E71" s="38">
        <f>'Capitalization 18-19'!G71</f>
        <v>0</v>
      </c>
      <c r="F71" s="38">
        <f>'Capitalization 18-19'!I71</f>
        <v>0</v>
      </c>
      <c r="G71" s="39"/>
      <c r="H71" s="39" t="str">
        <f>'Capitalization 18-19'!B71:B76</f>
        <v>State Plan</v>
      </c>
      <c r="I71" s="39"/>
      <c r="J71" s="39"/>
      <c r="K71" s="38">
        <f t="shared" ref="K71:K76" si="5">SUM(F71:G71)</f>
        <v>0</v>
      </c>
      <c r="L71" s="51"/>
    </row>
    <row r="72" spans="3:12" x14ac:dyDescent="0.25">
      <c r="C72" s="172"/>
      <c r="D72" s="37" t="s">
        <v>157</v>
      </c>
      <c r="E72" s="38">
        <f>'Capitalization 18-19'!G72</f>
        <v>0</v>
      </c>
      <c r="F72" s="38">
        <f>'Capitalization 18-19'!I72</f>
        <v>0</v>
      </c>
      <c r="G72" s="39"/>
      <c r="H72" s="39" t="str">
        <f>H71</f>
        <v>State Plan</v>
      </c>
      <c r="I72" s="39"/>
      <c r="J72" s="39"/>
      <c r="K72" s="38">
        <f t="shared" si="5"/>
        <v>0</v>
      </c>
      <c r="L72" s="51"/>
    </row>
    <row r="73" spans="3:12" x14ac:dyDescent="0.25">
      <c r="C73" s="172"/>
      <c r="D73" s="37" t="s">
        <v>158</v>
      </c>
      <c r="E73" s="38">
        <f>'Capitalization 18-19'!G73</f>
        <v>0</v>
      </c>
      <c r="F73" s="38">
        <f>'Capitalization 18-19'!I73</f>
        <v>2.9052958000000002</v>
      </c>
      <c r="G73" s="39"/>
      <c r="H73" s="39" t="str">
        <f>H72</f>
        <v>State Plan</v>
      </c>
      <c r="I73" s="39"/>
      <c r="J73" s="39"/>
      <c r="K73" s="38">
        <f t="shared" si="5"/>
        <v>2.9052958000000002</v>
      </c>
      <c r="L73" s="51"/>
    </row>
    <row r="74" spans="3:12" x14ac:dyDescent="0.25">
      <c r="C74" s="172"/>
      <c r="D74" s="37" t="s">
        <v>159</v>
      </c>
      <c r="E74" s="38">
        <f>'Capitalization 18-19'!G74</f>
        <v>0</v>
      </c>
      <c r="F74" s="38">
        <f>'Capitalization 18-19'!I74</f>
        <v>0</v>
      </c>
      <c r="G74" s="39"/>
      <c r="H74" s="39" t="str">
        <f>H73</f>
        <v>State Plan</v>
      </c>
      <c r="I74" s="39"/>
      <c r="J74" s="39"/>
      <c r="K74" s="38">
        <f t="shared" si="5"/>
        <v>0</v>
      </c>
      <c r="L74" s="51"/>
    </row>
    <row r="75" spans="3:12" x14ac:dyDescent="0.25">
      <c r="C75" s="172"/>
      <c r="D75" s="37" t="s">
        <v>160</v>
      </c>
      <c r="E75" s="38">
        <f>'Capitalization 18-19'!G75</f>
        <v>0</v>
      </c>
      <c r="F75" s="38">
        <f>'Capitalization 18-19'!I75</f>
        <v>0</v>
      </c>
      <c r="G75" s="39"/>
      <c r="H75" s="39" t="str">
        <f>H74</f>
        <v>State Plan</v>
      </c>
      <c r="I75" s="39"/>
      <c r="J75" s="39"/>
      <c r="K75" s="38">
        <f t="shared" si="5"/>
        <v>0</v>
      </c>
      <c r="L75" s="51"/>
    </row>
    <row r="76" spans="3:12" x14ac:dyDescent="0.25">
      <c r="C76" s="172"/>
      <c r="D76" s="37" t="s">
        <v>161</v>
      </c>
      <c r="E76" s="38">
        <f>'Capitalization 18-19'!G76</f>
        <v>0</v>
      </c>
      <c r="F76" s="38">
        <f>'Capitalization 18-19'!I76+0.01</f>
        <v>1.5969816000000001</v>
      </c>
      <c r="G76" s="39"/>
      <c r="H76" s="39" t="str">
        <f>H75</f>
        <v>State Plan</v>
      </c>
      <c r="I76" s="39"/>
      <c r="J76" s="39"/>
      <c r="K76" s="38">
        <f t="shared" si="5"/>
        <v>1.5969816000000001</v>
      </c>
      <c r="L76" s="51"/>
    </row>
    <row r="77" spans="3:12" ht="45" x14ac:dyDescent="0.25">
      <c r="C77" s="37" t="s">
        <v>163</v>
      </c>
      <c r="D77" s="37" t="s">
        <v>164</v>
      </c>
      <c r="E77" s="38">
        <f>'Capitalization 18-19'!G77</f>
        <v>0</v>
      </c>
      <c r="F77" s="38">
        <f>'Capitalization 18-19'!I77</f>
        <v>1.7667157</v>
      </c>
      <c r="G77" s="39"/>
      <c r="H77" s="39" t="str">
        <f>'Capitalization 18-19'!B77</f>
        <v>BRGF</v>
      </c>
      <c r="I77" s="39"/>
      <c r="J77" s="39"/>
      <c r="K77" s="38">
        <f t="shared" ref="K77:K90" si="6">SUM(F77:G77)</f>
        <v>1.7667157</v>
      </c>
      <c r="L77" s="51"/>
    </row>
    <row r="78" spans="3:12" ht="30" x14ac:dyDescent="0.25">
      <c r="C78" s="172" t="s">
        <v>166</v>
      </c>
      <c r="D78" s="37" t="s">
        <v>167</v>
      </c>
      <c r="E78" s="38">
        <f>'Capitalization 18-19'!G78</f>
        <v>0</v>
      </c>
      <c r="F78" s="38">
        <f>'Capitalization 18-19'!I78</f>
        <v>0</v>
      </c>
      <c r="G78" s="39"/>
      <c r="H78" s="39" t="str">
        <f>'Capitalization 18-19'!B78:B80</f>
        <v>State Plan</v>
      </c>
      <c r="I78" s="39"/>
      <c r="J78" s="39"/>
      <c r="K78" s="38">
        <f t="shared" si="6"/>
        <v>0</v>
      </c>
      <c r="L78" s="51"/>
    </row>
    <row r="79" spans="3:12" ht="30" x14ac:dyDescent="0.25">
      <c r="C79" s="172"/>
      <c r="D79" s="37" t="s">
        <v>168</v>
      </c>
      <c r="E79" s="38">
        <f>'Capitalization 18-19'!G79</f>
        <v>0</v>
      </c>
      <c r="F79" s="38">
        <f>'Capitalization 18-19'!I79+0.01</f>
        <v>18.116512100000005</v>
      </c>
      <c r="G79" s="39"/>
      <c r="H79" s="39" t="str">
        <f>H78</f>
        <v>State Plan</v>
      </c>
      <c r="I79" s="39"/>
      <c r="J79" s="39"/>
      <c r="K79" s="38">
        <f t="shared" si="6"/>
        <v>18.116512100000005</v>
      </c>
      <c r="L79" s="51"/>
    </row>
    <row r="80" spans="3:12" ht="45" x14ac:dyDescent="0.25">
      <c r="C80" s="172"/>
      <c r="D80" s="37" t="s">
        <v>169</v>
      </c>
      <c r="E80" s="38">
        <f>'Capitalization 18-19'!G80</f>
        <v>0</v>
      </c>
      <c r="F80" s="38">
        <f>'Capitalization 18-19'!I80</f>
        <v>20.4131003</v>
      </c>
      <c r="G80" s="39"/>
      <c r="H80" s="39" t="str">
        <f>H79</f>
        <v>State Plan</v>
      </c>
      <c r="I80" s="39"/>
      <c r="J80" s="39"/>
      <c r="K80" s="38">
        <f t="shared" si="6"/>
        <v>20.4131003</v>
      </c>
      <c r="L80" s="51"/>
    </row>
    <row r="81" spans="3:12" ht="45" x14ac:dyDescent="0.25">
      <c r="C81" s="37" t="s">
        <v>171</v>
      </c>
      <c r="D81" s="41" t="s">
        <v>172</v>
      </c>
      <c r="E81" s="38">
        <f>'Capitalization 18-19'!G81</f>
        <v>0</v>
      </c>
      <c r="F81" s="38">
        <f>'Capitalization 18-19'!I81</f>
        <v>61.213914800000005</v>
      </c>
      <c r="G81" s="39"/>
      <c r="H81" s="39" t="str">
        <f>'Capitalization 18-19'!B81</f>
        <v>BRGF</v>
      </c>
      <c r="I81" s="39"/>
      <c r="J81" s="39"/>
      <c r="K81" s="38">
        <f t="shared" si="6"/>
        <v>61.213914800000005</v>
      </c>
      <c r="L81" s="51"/>
    </row>
    <row r="82" spans="3:12" ht="45" x14ac:dyDescent="0.25">
      <c r="C82" s="37" t="s">
        <v>174</v>
      </c>
      <c r="D82" s="37" t="s">
        <v>175</v>
      </c>
      <c r="E82" s="38">
        <f>'Capitalization 18-19'!G82</f>
        <v>0</v>
      </c>
      <c r="F82" s="38">
        <f>'Capitalization 18-19'!I82</f>
        <v>6.0281696650000001</v>
      </c>
      <c r="G82" s="39"/>
      <c r="H82" s="39" t="str">
        <f>'Capitalization 18-19'!B82</f>
        <v>BRGF</v>
      </c>
      <c r="I82" s="39"/>
      <c r="J82" s="39"/>
      <c r="K82" s="38">
        <f t="shared" si="6"/>
        <v>6.0281696650000001</v>
      </c>
      <c r="L82" s="51"/>
    </row>
    <row r="83" spans="3:12" ht="75" x14ac:dyDescent="0.25">
      <c r="C83" s="37" t="s">
        <v>177</v>
      </c>
      <c r="D83" s="41" t="s">
        <v>178</v>
      </c>
      <c r="E83" s="38">
        <f>'Capitalization 18-19'!G83</f>
        <v>76.292575900000003</v>
      </c>
      <c r="F83" s="39"/>
      <c r="G83" s="38">
        <f>'Capitalization 18-19'!I83</f>
        <v>2.3942079999999999</v>
      </c>
      <c r="H83" s="39" t="str">
        <f>'Capitalization 18-19'!B83</f>
        <v>BRGF</v>
      </c>
      <c r="I83" s="39"/>
      <c r="J83" s="39"/>
      <c r="K83" s="38">
        <f t="shared" si="6"/>
        <v>2.3942079999999999</v>
      </c>
      <c r="L83" s="51"/>
    </row>
    <row r="84" spans="3:12" x14ac:dyDescent="0.25">
      <c r="C84" s="174" t="s">
        <v>180</v>
      </c>
      <c r="D84" s="41" t="s">
        <v>181</v>
      </c>
      <c r="E84" s="38">
        <f>'Capitalization 18-19'!G84</f>
        <v>0</v>
      </c>
      <c r="F84" s="38">
        <f>'Capitalization 18-19'!I84+0.01</f>
        <v>3.3248752999999995</v>
      </c>
      <c r="G84" s="39"/>
      <c r="H84" s="39" t="str">
        <f>'Capitalization 18-19'!B84:B90</f>
        <v>State Plan</v>
      </c>
      <c r="I84" s="39"/>
      <c r="J84" s="39"/>
      <c r="K84" s="38">
        <f t="shared" si="6"/>
        <v>3.3248752999999995</v>
      </c>
      <c r="L84" s="51"/>
    </row>
    <row r="85" spans="3:12" x14ac:dyDescent="0.25">
      <c r="C85" s="174"/>
      <c r="D85" s="41" t="s">
        <v>182</v>
      </c>
      <c r="E85" s="38">
        <f>'Capitalization 18-19'!G85</f>
        <v>0</v>
      </c>
      <c r="F85" s="38">
        <f>'Capitalization 18-19'!I85</f>
        <v>1.4748460000000001</v>
      </c>
      <c r="G85" s="39"/>
      <c r="H85" s="39" t="str">
        <f t="shared" ref="H85:H90" si="7">H84</f>
        <v>State Plan</v>
      </c>
      <c r="I85" s="39"/>
      <c r="J85" s="39"/>
      <c r="K85" s="38">
        <f t="shared" si="6"/>
        <v>1.4748460000000001</v>
      </c>
      <c r="L85" s="51"/>
    </row>
    <row r="86" spans="3:12" x14ac:dyDescent="0.25">
      <c r="C86" s="174"/>
      <c r="D86" s="41" t="s">
        <v>183</v>
      </c>
      <c r="E86" s="38">
        <f>'Capitalization 18-19'!G86</f>
        <v>0</v>
      </c>
      <c r="F86" s="38">
        <f>'Capitalization 18-19'!I86</f>
        <v>1.4697571999999999</v>
      </c>
      <c r="G86" s="39"/>
      <c r="H86" s="39" t="str">
        <f t="shared" si="7"/>
        <v>State Plan</v>
      </c>
      <c r="I86" s="39"/>
      <c r="J86" s="39"/>
      <c r="K86" s="38">
        <f t="shared" si="6"/>
        <v>1.4697571999999999</v>
      </c>
      <c r="L86" s="51"/>
    </row>
    <row r="87" spans="3:12" x14ac:dyDescent="0.25">
      <c r="C87" s="174"/>
      <c r="D87" s="41" t="s">
        <v>184</v>
      </c>
      <c r="E87" s="38">
        <f>'Capitalization 18-19'!G87</f>
        <v>0</v>
      </c>
      <c r="F87" s="38">
        <f>'Capitalization 18-19'!I87+0.01</f>
        <v>1.5343064</v>
      </c>
      <c r="G87" s="39"/>
      <c r="H87" s="39" t="str">
        <f t="shared" si="7"/>
        <v>State Plan</v>
      </c>
      <c r="I87" s="39"/>
      <c r="J87" s="39"/>
      <c r="K87" s="38">
        <f t="shared" si="6"/>
        <v>1.5343064</v>
      </c>
      <c r="L87" s="51"/>
    </row>
    <row r="88" spans="3:12" x14ac:dyDescent="0.25">
      <c r="C88" s="174"/>
      <c r="D88" s="41" t="s">
        <v>185</v>
      </c>
      <c r="E88" s="38">
        <f>'Capitalization 18-19'!G88</f>
        <v>0</v>
      </c>
      <c r="F88" s="38">
        <f>'Capitalization 18-19'!I88</f>
        <v>0.93805150000000004</v>
      </c>
      <c r="G88" s="39"/>
      <c r="H88" s="39" t="str">
        <f t="shared" si="7"/>
        <v>State Plan</v>
      </c>
      <c r="I88" s="39"/>
      <c r="J88" s="39"/>
      <c r="K88" s="38">
        <f t="shared" si="6"/>
        <v>0.93805150000000004</v>
      </c>
      <c r="L88" s="51"/>
    </row>
    <row r="89" spans="3:12" x14ac:dyDescent="0.25">
      <c r="C89" s="174"/>
      <c r="D89" s="41" t="s">
        <v>186</v>
      </c>
      <c r="E89" s="38">
        <f>'Capitalization 18-19'!G89</f>
        <v>0</v>
      </c>
      <c r="F89" s="38">
        <f>'Capitalization 18-19'!I89</f>
        <v>0</v>
      </c>
      <c r="G89" s="39"/>
      <c r="H89" s="39" t="str">
        <f t="shared" si="7"/>
        <v>State Plan</v>
      </c>
      <c r="I89" s="39"/>
      <c r="J89" s="39"/>
      <c r="K89" s="38">
        <f t="shared" si="6"/>
        <v>0</v>
      </c>
      <c r="L89" s="51"/>
    </row>
    <row r="90" spans="3:12" x14ac:dyDescent="0.25">
      <c r="C90" s="174"/>
      <c r="D90" s="41" t="s">
        <v>187</v>
      </c>
      <c r="E90" s="38">
        <f>'Capitalization 18-19'!G90</f>
        <v>0</v>
      </c>
      <c r="F90" s="38">
        <f>'Capitalization 18-19'!I90</f>
        <v>0</v>
      </c>
      <c r="G90" s="39"/>
      <c r="H90" s="39" t="str">
        <f t="shared" si="7"/>
        <v>State Plan</v>
      </c>
      <c r="I90" s="39"/>
      <c r="J90" s="39"/>
      <c r="K90" s="38">
        <f t="shared" si="6"/>
        <v>0</v>
      </c>
      <c r="L90" s="51"/>
    </row>
    <row r="91" spans="3:12" ht="60" x14ac:dyDescent="0.25">
      <c r="C91" s="172" t="s">
        <v>189</v>
      </c>
      <c r="D91" s="37" t="s">
        <v>190</v>
      </c>
      <c r="E91" s="38">
        <f>'Capitalization 18-19'!G91</f>
        <v>0</v>
      </c>
      <c r="F91" s="38">
        <f>'Capitalization 18-19'!I91</f>
        <v>0.24336479999999999</v>
      </c>
      <c r="G91" s="39"/>
      <c r="H91" s="39" t="str">
        <f>'Capitalization 18-19'!B91:B93</f>
        <v>State Plan</v>
      </c>
      <c r="I91" s="39"/>
      <c r="J91" s="39"/>
      <c r="K91" s="38">
        <f t="shared" ref="K91:K93" si="8">SUM(F91:G91)</f>
        <v>0.24336479999999999</v>
      </c>
      <c r="L91" s="51"/>
    </row>
    <row r="92" spans="3:12" ht="60" x14ac:dyDescent="0.25">
      <c r="C92" s="172"/>
      <c r="D92" s="37" t="s">
        <v>191</v>
      </c>
      <c r="E92" s="38">
        <f>'Capitalization 18-19'!G92</f>
        <v>0</v>
      </c>
      <c r="F92" s="38">
        <f>'Capitalization 18-19'!I92+0.01</f>
        <v>5.3376459000000001</v>
      </c>
      <c r="G92" s="39"/>
      <c r="H92" s="39" t="str">
        <f>H91</f>
        <v>State Plan</v>
      </c>
      <c r="I92" s="39"/>
      <c r="J92" s="39"/>
      <c r="K92" s="38">
        <f t="shared" si="8"/>
        <v>5.3376459000000001</v>
      </c>
      <c r="L92" s="51"/>
    </row>
    <row r="93" spans="3:12" ht="45" x14ac:dyDescent="0.25">
      <c r="C93" s="172"/>
      <c r="D93" s="37" t="s">
        <v>192</v>
      </c>
      <c r="E93" s="38">
        <f>'Capitalization 18-19'!G93</f>
        <v>0</v>
      </c>
      <c r="F93" s="38">
        <f>'Capitalization 18-19'!I93</f>
        <v>2.3536321999999998</v>
      </c>
      <c r="G93" s="39"/>
      <c r="H93" s="39" t="str">
        <f>H92</f>
        <v>State Plan</v>
      </c>
      <c r="I93" s="39"/>
      <c r="J93" s="39"/>
      <c r="K93" s="38">
        <f t="shared" si="8"/>
        <v>2.3536321999999998</v>
      </c>
      <c r="L93" s="51"/>
    </row>
    <row r="94" spans="3:12" ht="75" x14ac:dyDescent="0.25">
      <c r="C94" s="37" t="s">
        <v>194</v>
      </c>
      <c r="D94" s="37" t="s">
        <v>195</v>
      </c>
      <c r="E94" s="38">
        <f>'Capitalization 18-19'!G94</f>
        <v>0</v>
      </c>
      <c r="F94" s="38">
        <f>'Capitalization 18-19'!I94+0.01</f>
        <v>10.248936199999999</v>
      </c>
      <c r="G94" s="39"/>
      <c r="H94" s="39" t="str">
        <f>'Capitalization 18-19'!B94</f>
        <v>State Plan</v>
      </c>
      <c r="I94" s="39"/>
      <c r="J94" s="39"/>
      <c r="K94" s="38">
        <f>SUM(F94:G94)</f>
        <v>10.248936199999999</v>
      </c>
      <c r="L94" s="51"/>
    </row>
    <row r="95" spans="3:12" x14ac:dyDescent="0.25">
      <c r="C95" s="41" t="s">
        <v>197</v>
      </c>
      <c r="D95" s="41" t="s">
        <v>198</v>
      </c>
      <c r="E95" s="38">
        <f>'Capitalization 18-19'!G95</f>
        <v>0</v>
      </c>
      <c r="F95" s="38">
        <f>'Capitalization 18-19'!I95</f>
        <v>4.3633600999999995</v>
      </c>
      <c r="G95" s="39"/>
      <c r="H95" s="39" t="str">
        <f>'Capitalization 18-19'!B95</f>
        <v>BRGF</v>
      </c>
      <c r="I95" s="39"/>
      <c r="J95" s="39"/>
      <c r="K95" s="38">
        <f>SUM(F95:G95)</f>
        <v>4.3633600999999995</v>
      </c>
      <c r="L95" s="51"/>
    </row>
    <row r="96" spans="3:12" ht="45" x14ac:dyDescent="0.25">
      <c r="C96" s="37" t="s">
        <v>218</v>
      </c>
      <c r="D96" s="41"/>
      <c r="E96" s="38">
        <f>'Capitalization 18-19'!G106</f>
        <v>6.7</v>
      </c>
      <c r="F96" s="38">
        <f>'Capitalization 18-19'!I106</f>
        <v>0</v>
      </c>
      <c r="G96" s="39"/>
      <c r="H96" s="39" t="str">
        <f>'Capitalization 18-19'!B106</f>
        <v>BRGF</v>
      </c>
      <c r="I96" s="39"/>
      <c r="J96" s="39"/>
      <c r="K96" s="38">
        <f>SUM(F96:G96)</f>
        <v>0</v>
      </c>
      <c r="L96" s="51"/>
    </row>
    <row r="97" spans="3:12" ht="90" x14ac:dyDescent="0.25">
      <c r="C97" s="37" t="s">
        <v>298</v>
      </c>
      <c r="D97" s="41"/>
      <c r="E97" s="38">
        <f>'Capitalization 18-19'!G151</f>
        <v>3.68</v>
      </c>
      <c r="F97" s="38">
        <f>'Capitalization 18-19'!I151</f>
        <v>4.28</v>
      </c>
      <c r="G97" s="39"/>
      <c r="H97" s="39" t="str">
        <f>'Capitalization 18-19'!B151</f>
        <v>IRF</v>
      </c>
      <c r="I97" s="39"/>
      <c r="J97" s="39"/>
      <c r="K97" s="38">
        <f>SUM(F97:G97)</f>
        <v>4.28</v>
      </c>
      <c r="L97" s="51"/>
    </row>
    <row r="98" spans="3:12" x14ac:dyDescent="0.25">
      <c r="C98" s="43" t="s">
        <v>314</v>
      </c>
      <c r="D98" s="43"/>
      <c r="E98" s="44"/>
      <c r="F98" s="45">
        <f>SUM(F5:F97)</f>
        <v>1183.3547224250003</v>
      </c>
      <c r="G98" s="45">
        <f>SUM(G5:G97)</f>
        <v>10.745733399999999</v>
      </c>
      <c r="H98" s="44"/>
      <c r="I98" s="46">
        <f>SUM(I5:I97)</f>
        <v>13.1772387</v>
      </c>
      <c r="J98" s="46">
        <f t="shared" ref="J98:L98" si="9">SUM(J5:J97)</f>
        <v>102.59159042</v>
      </c>
      <c r="K98" s="46">
        <f t="shared" si="9"/>
        <v>1104.6861041050001</v>
      </c>
      <c r="L98" s="46">
        <f t="shared" si="9"/>
        <v>0</v>
      </c>
    </row>
    <row r="99" spans="3:12" x14ac:dyDescent="0.25">
      <c r="J99" s="48">
        <f>J98/SUM(F98:G98,I98)</f>
        <v>8.497762435705758E-2</v>
      </c>
      <c r="K99" s="48">
        <f>K98/SUM(F98:G98,I98)</f>
        <v>0.9150223756429422</v>
      </c>
      <c r="L99" s="48">
        <f>L98/SUM(F98:G98,I98)</f>
        <v>0</v>
      </c>
    </row>
  </sheetData>
  <autoFilter ref="C2:K4" xr:uid="{F63AB221-6355-4CF2-B928-45E264137B45}"/>
  <mergeCells count="27">
    <mergeCell ref="L2:L4"/>
    <mergeCell ref="J2:J4"/>
    <mergeCell ref="K2:K4"/>
    <mergeCell ref="I2:I4"/>
    <mergeCell ref="E2:E4"/>
    <mergeCell ref="F2:F4"/>
    <mergeCell ref="G2:G4"/>
    <mergeCell ref="H2:H4"/>
    <mergeCell ref="C91:C93"/>
    <mergeCell ref="C60:C62"/>
    <mergeCell ref="C63:C65"/>
    <mergeCell ref="C66:C69"/>
    <mergeCell ref="C71:C76"/>
    <mergeCell ref="C78:C80"/>
    <mergeCell ref="C84:C90"/>
    <mergeCell ref="C47:C54"/>
    <mergeCell ref="C2:C4"/>
    <mergeCell ref="D2:D4"/>
    <mergeCell ref="C5:C7"/>
    <mergeCell ref="C8:C9"/>
    <mergeCell ref="C10:C11"/>
    <mergeCell ref="C12:C16"/>
    <mergeCell ref="C17:C21"/>
    <mergeCell ref="C25:C26"/>
    <mergeCell ref="C27:C31"/>
    <mergeCell ref="C32:C34"/>
    <mergeCell ref="C38:C43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4A381-7CE1-4128-93B0-A8AC0F7A1B61}">
  <dimension ref="A2:U57"/>
  <sheetViews>
    <sheetView view="pageBreakPreview" topLeftCell="B1" zoomScale="60" zoomScaleNormal="90" workbookViewId="0">
      <pane xSplit="2" ySplit="4" topLeftCell="D46" activePane="bottomRight" state="frozen"/>
      <selection activeCell="B1" sqref="B1"/>
      <selection pane="topRight" activeCell="D1" sqref="D1"/>
      <selection pane="bottomLeft" activeCell="B5" sqref="B5"/>
      <selection pane="bottomRight" activeCell="G53" sqref="G53:H53"/>
    </sheetView>
  </sheetViews>
  <sheetFormatPr defaultRowHeight="15" x14ac:dyDescent="0.25"/>
  <cols>
    <col min="1" max="2" width="9.140625" style="36"/>
    <col min="3" max="3" width="30.140625" style="47" customWidth="1"/>
    <col min="4" max="5" width="19.28515625" style="47" customWidth="1"/>
    <col min="6" max="8" width="15.28515625" style="36" customWidth="1"/>
    <col min="9" max="9" width="13.85546875" style="36" customWidth="1"/>
    <col min="10" max="10" width="11.85546875" style="36" customWidth="1"/>
    <col min="11" max="11" width="9.85546875" style="36" bestFit="1" customWidth="1"/>
    <col min="12" max="12" width="9.85546875" style="36" customWidth="1"/>
    <col min="13" max="13" width="9.5703125" style="36" bestFit="1" customWidth="1"/>
    <col min="14" max="14" width="11.5703125" style="36" bestFit="1" customWidth="1"/>
    <col min="15" max="15" width="9.140625" style="36"/>
    <col min="16" max="16" width="12.85546875" style="36" customWidth="1"/>
    <col min="17" max="16384" width="9.140625" style="36"/>
  </cols>
  <sheetData>
    <row r="2" spans="2:16" ht="15" customHeight="1" x14ac:dyDescent="0.25">
      <c r="B2" s="173" t="s">
        <v>322</v>
      </c>
      <c r="C2" s="173" t="s">
        <v>2</v>
      </c>
      <c r="D2" s="173" t="s">
        <v>3</v>
      </c>
      <c r="E2" s="173" t="s">
        <v>316</v>
      </c>
      <c r="F2" s="173" t="s">
        <v>317</v>
      </c>
      <c r="G2" s="173" t="s">
        <v>334</v>
      </c>
      <c r="H2" s="173" t="s">
        <v>335</v>
      </c>
      <c r="I2" s="173" t="s">
        <v>318</v>
      </c>
      <c r="J2" s="173" t="s">
        <v>319</v>
      </c>
      <c r="K2" s="173" t="s">
        <v>313</v>
      </c>
      <c r="L2" s="175" t="s">
        <v>315</v>
      </c>
      <c r="M2" s="173" t="s">
        <v>307</v>
      </c>
      <c r="N2" s="173" t="s">
        <v>308</v>
      </c>
      <c r="O2" s="173" t="s">
        <v>386</v>
      </c>
      <c r="P2" s="173" t="s">
        <v>320</v>
      </c>
    </row>
    <row r="3" spans="2:16" x14ac:dyDescent="0.25"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5"/>
      <c r="M3" s="173"/>
      <c r="N3" s="173"/>
      <c r="O3" s="173"/>
      <c r="P3" s="173"/>
    </row>
    <row r="4" spans="2:16" x14ac:dyDescent="0.2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5"/>
      <c r="M4" s="173"/>
      <c r="N4" s="173"/>
      <c r="O4" s="173"/>
      <c r="P4" s="173"/>
    </row>
    <row r="5" spans="2:16" ht="30" x14ac:dyDescent="0.25">
      <c r="B5" s="50">
        <v>2</v>
      </c>
      <c r="C5" s="37" t="s">
        <v>321</v>
      </c>
      <c r="D5" s="37"/>
      <c r="E5" s="176">
        <v>81.69</v>
      </c>
      <c r="F5" s="38"/>
      <c r="G5" s="38"/>
      <c r="H5" s="38">
        <f>[1]Sheet2!$I$3</f>
        <v>0.63</v>
      </c>
      <c r="I5" s="38">
        <f>(E5-SUM(F7:F8))/2</f>
        <v>21.274999999999999</v>
      </c>
      <c r="J5" s="38"/>
      <c r="K5" s="39" t="s">
        <v>14</v>
      </c>
      <c r="L5" s="39"/>
      <c r="M5" s="39"/>
      <c r="N5" s="58">
        <f>SUM(I5:J5)</f>
        <v>21.274999999999999</v>
      </c>
      <c r="O5" s="52"/>
      <c r="P5" s="53" t="s">
        <v>326</v>
      </c>
    </row>
    <row r="6" spans="2:16" ht="30" x14ac:dyDescent="0.25">
      <c r="B6" s="50">
        <v>3</v>
      </c>
      <c r="C6" s="37" t="s">
        <v>323</v>
      </c>
      <c r="D6" s="37"/>
      <c r="E6" s="177"/>
      <c r="F6" s="38"/>
      <c r="G6" s="38"/>
      <c r="H6" s="38"/>
      <c r="I6" s="38">
        <f>(E5-SUM(F7:F8))/2</f>
        <v>21.274999999999999</v>
      </c>
      <c r="J6" s="39"/>
      <c r="K6" s="39" t="s">
        <v>14</v>
      </c>
      <c r="L6" s="39"/>
      <c r="M6" s="39"/>
      <c r="N6" s="58">
        <f>SUM(I6:J6)</f>
        <v>21.274999999999999</v>
      </c>
      <c r="O6" s="52"/>
      <c r="P6" s="53" t="s">
        <v>326</v>
      </c>
    </row>
    <row r="7" spans="2:16" ht="30" hidden="1" x14ac:dyDescent="0.25">
      <c r="B7" s="50"/>
      <c r="C7" s="57" t="s">
        <v>324</v>
      </c>
      <c r="D7" s="37"/>
      <c r="E7" s="177"/>
      <c r="F7" s="54">
        <v>19.170000000000002</v>
      </c>
      <c r="G7" s="54"/>
      <c r="H7" s="54"/>
      <c r="I7" s="54"/>
      <c r="J7" s="55"/>
      <c r="K7" s="55" t="s">
        <v>14</v>
      </c>
      <c r="L7" s="55"/>
      <c r="M7" s="55"/>
      <c r="N7" s="52"/>
      <c r="O7" s="52"/>
      <c r="P7" s="56" t="s">
        <v>327</v>
      </c>
    </row>
    <row r="8" spans="2:16" ht="30" hidden="1" x14ac:dyDescent="0.25">
      <c r="B8" s="50"/>
      <c r="C8" s="57" t="s">
        <v>325</v>
      </c>
      <c r="D8" s="37"/>
      <c r="E8" s="178"/>
      <c r="F8" s="54">
        <v>19.97</v>
      </c>
      <c r="G8" s="54"/>
      <c r="H8" s="54"/>
      <c r="I8" s="54"/>
      <c r="J8" s="55"/>
      <c r="K8" s="55" t="s">
        <v>14</v>
      </c>
      <c r="L8" s="55"/>
      <c r="M8" s="55"/>
      <c r="N8" s="52"/>
      <c r="O8" s="52"/>
      <c r="P8" s="56" t="s">
        <v>327</v>
      </c>
    </row>
    <row r="9" spans="2:16" ht="30" x14ac:dyDescent="0.25">
      <c r="B9" s="50">
        <v>9</v>
      </c>
      <c r="C9" s="49" t="s">
        <v>328</v>
      </c>
      <c r="D9" s="37"/>
      <c r="E9" s="37">
        <v>25.53</v>
      </c>
      <c r="F9" s="38"/>
      <c r="G9" s="38">
        <f>[1]Sheet2!G10-([1]Sheet2!H10+[1]Sheet2!I10)</f>
        <v>0.90000000000000213</v>
      </c>
      <c r="H9" s="38">
        <f>[1]Sheet2!$I$10</f>
        <v>0.86</v>
      </c>
      <c r="I9" s="58">
        <f>IF((F9&gt;E9),0,E9-F9)</f>
        <v>25.53</v>
      </c>
      <c r="J9" s="39"/>
      <c r="K9" s="60" t="s">
        <v>14</v>
      </c>
      <c r="L9" s="39"/>
      <c r="M9" s="39"/>
      <c r="N9" s="58">
        <f t="shared" ref="N9:N22" si="0">SUM(I9:J9)</f>
        <v>25.53</v>
      </c>
      <c r="O9" s="52"/>
      <c r="P9" s="53" t="s">
        <v>326</v>
      </c>
    </row>
    <row r="10" spans="2:16" ht="90" x14ac:dyDescent="0.25">
      <c r="B10" s="50">
        <v>11</v>
      </c>
      <c r="C10" s="49" t="s">
        <v>249</v>
      </c>
      <c r="D10" s="37"/>
      <c r="E10" s="37">
        <v>78.88</v>
      </c>
      <c r="F10" s="38"/>
      <c r="G10" s="38">
        <v>0</v>
      </c>
      <c r="H10" s="38">
        <f>[1]Sheet2!I12</f>
        <v>0.13</v>
      </c>
      <c r="I10" s="58">
        <f>IF((F10&gt;E10),0,E10-F10)</f>
        <v>78.88</v>
      </c>
      <c r="J10" s="38">
        <f>[1]Sheet2!H12-[1]Sheet2!G12+[1]Sheet2!I12</f>
        <v>4.5300000000000056</v>
      </c>
      <c r="K10" s="60" t="s">
        <v>14</v>
      </c>
      <c r="L10" s="39"/>
      <c r="M10" s="39"/>
      <c r="N10" s="58">
        <f t="shared" si="0"/>
        <v>83.41</v>
      </c>
      <c r="O10" s="52"/>
      <c r="P10" s="59" t="s">
        <v>326</v>
      </c>
    </row>
    <row r="11" spans="2:16" ht="60" x14ac:dyDescent="0.25">
      <c r="B11" s="50">
        <v>13</v>
      </c>
      <c r="C11" s="37" t="s">
        <v>247</v>
      </c>
      <c r="D11" s="37"/>
      <c r="E11" s="61">
        <v>105.07</v>
      </c>
      <c r="F11" s="38"/>
      <c r="G11" s="38"/>
      <c r="H11" s="38">
        <f>[1]Sheet2!$I$14</f>
        <v>4.1500000000000004</v>
      </c>
      <c r="I11" s="58">
        <f>IF((F11&gt;E11),0,E11-F11)</f>
        <v>105.07</v>
      </c>
      <c r="J11" s="38">
        <f>[1]Sheet2!H14-[1]Sheet2!G14+[1]Sheet2!I14</f>
        <v>3.78000000000001</v>
      </c>
      <c r="K11" s="60" t="s">
        <v>14</v>
      </c>
      <c r="L11" s="40"/>
      <c r="M11" s="38"/>
      <c r="N11" s="58">
        <f t="shared" si="0"/>
        <v>108.85000000000001</v>
      </c>
      <c r="O11" s="52"/>
      <c r="P11" s="59" t="s">
        <v>326</v>
      </c>
    </row>
    <row r="12" spans="2:16" ht="60" x14ac:dyDescent="0.25">
      <c r="B12" s="50">
        <v>14</v>
      </c>
      <c r="C12" s="37" t="s">
        <v>331</v>
      </c>
      <c r="D12" s="37"/>
      <c r="E12" s="61">
        <v>30.97</v>
      </c>
      <c r="F12" s="38"/>
      <c r="G12" s="38"/>
      <c r="H12" s="38">
        <f>[1]Sheet2!$I$15</f>
        <v>1.47</v>
      </c>
      <c r="I12" s="58">
        <f>IF((F12&gt;E12),0,E12-F12)</f>
        <v>30.97</v>
      </c>
      <c r="J12" s="38">
        <f>[1]Sheet2!H15-[1]Sheet2!G15+[1]Sheet2!I15</f>
        <v>1.5200000000000007</v>
      </c>
      <c r="K12" s="60" t="s">
        <v>14</v>
      </c>
      <c r="L12" s="40"/>
      <c r="M12" s="38"/>
      <c r="N12" s="58">
        <f t="shared" si="0"/>
        <v>32.49</v>
      </c>
      <c r="O12" s="52"/>
      <c r="P12" s="59" t="s">
        <v>326</v>
      </c>
    </row>
    <row r="13" spans="2:16" ht="75" x14ac:dyDescent="0.25">
      <c r="B13" s="72">
        <v>21</v>
      </c>
      <c r="C13" s="37" t="s">
        <v>338</v>
      </c>
      <c r="D13" s="37"/>
      <c r="E13" s="37">
        <v>7.02</v>
      </c>
      <c r="F13" s="58"/>
      <c r="G13" s="58"/>
      <c r="H13" s="58"/>
      <c r="I13" s="58">
        <f>E13</f>
        <v>7.02</v>
      </c>
      <c r="J13" s="60"/>
      <c r="K13" s="60" t="s">
        <v>28</v>
      </c>
      <c r="L13" s="60"/>
      <c r="M13" s="60"/>
      <c r="N13" s="58">
        <f t="shared" si="0"/>
        <v>7.02</v>
      </c>
      <c r="O13" s="52"/>
      <c r="P13" s="70" t="s">
        <v>326</v>
      </c>
    </row>
    <row r="14" spans="2:16" ht="180" x14ac:dyDescent="0.25">
      <c r="B14" s="50">
        <v>22</v>
      </c>
      <c r="C14" s="37" t="s">
        <v>339</v>
      </c>
      <c r="D14" s="41"/>
      <c r="E14" s="41">
        <v>48.16</v>
      </c>
      <c r="F14" s="38"/>
      <c r="G14" s="38"/>
      <c r="H14" s="38"/>
      <c r="I14" s="38">
        <f>E14</f>
        <v>48.16</v>
      </c>
      <c r="J14" s="38">
        <f>[1]Sheet2!$H$23-[1]Sheet2!$G$23</f>
        <v>1.8900000000000006</v>
      </c>
      <c r="K14" s="39" t="s">
        <v>14</v>
      </c>
      <c r="L14" s="39"/>
      <c r="M14" s="39"/>
      <c r="N14" s="58">
        <f t="shared" si="0"/>
        <v>50.05</v>
      </c>
      <c r="O14" s="52"/>
      <c r="P14" s="59" t="s">
        <v>326</v>
      </c>
    </row>
    <row r="15" spans="2:16" ht="30" x14ac:dyDescent="0.25">
      <c r="B15" s="50">
        <v>28</v>
      </c>
      <c r="C15" s="37" t="s">
        <v>340</v>
      </c>
      <c r="D15" s="37"/>
      <c r="E15" s="41">
        <v>122.36</v>
      </c>
      <c r="F15" s="38"/>
      <c r="G15" s="38">
        <f>[1]Sheet2!$G$29-[1]Sheet2!$H$29</f>
        <v>2.6400000000000006</v>
      </c>
      <c r="H15" s="38"/>
      <c r="I15" s="39">
        <f>E15</f>
        <v>122.36</v>
      </c>
      <c r="J15" s="38"/>
      <c r="K15" s="39" t="s">
        <v>14</v>
      </c>
      <c r="L15" s="39"/>
      <c r="M15" s="39"/>
      <c r="N15" s="58">
        <f t="shared" si="0"/>
        <v>122.36</v>
      </c>
      <c r="O15" s="52"/>
      <c r="P15" s="59" t="s">
        <v>333</v>
      </c>
    </row>
    <row r="16" spans="2:16" ht="45" x14ac:dyDescent="0.25">
      <c r="B16" s="50">
        <v>30</v>
      </c>
      <c r="C16" s="37" t="s">
        <v>342</v>
      </c>
      <c r="D16" s="37"/>
      <c r="E16" s="37">
        <v>32.299999999999997</v>
      </c>
      <c r="F16" s="38"/>
      <c r="G16" s="38">
        <f>[1]Sheet2!$G$31-SUM([1]Sheet2!$H$31:$I$31)</f>
        <v>2.3299999999999983</v>
      </c>
      <c r="H16" s="38">
        <f>[1]Sheet2!$I$31</f>
        <v>0.77</v>
      </c>
      <c r="I16" s="38">
        <f>E16</f>
        <v>32.299999999999997</v>
      </c>
      <c r="J16" s="39"/>
      <c r="K16" s="39" t="s">
        <v>14</v>
      </c>
      <c r="L16" s="39"/>
      <c r="M16" s="39"/>
      <c r="N16" s="58">
        <f t="shared" si="0"/>
        <v>32.299999999999997</v>
      </c>
      <c r="O16" s="52"/>
      <c r="P16" s="59" t="s">
        <v>333</v>
      </c>
    </row>
    <row r="17" spans="1:21" ht="90" x14ac:dyDescent="0.25">
      <c r="B17" s="50">
        <v>34</v>
      </c>
      <c r="C17" s="37" t="s">
        <v>343</v>
      </c>
      <c r="D17" s="37"/>
      <c r="E17" s="37">
        <v>7.02</v>
      </c>
      <c r="F17" s="38">
        <v>0</v>
      </c>
      <c r="G17" s="38">
        <f>[1]Sheet2!$G$35-[1]Sheet2!$H$35</f>
        <v>0.26999999999999957</v>
      </c>
      <c r="H17" s="38"/>
      <c r="I17" s="38">
        <f>E17</f>
        <v>7.02</v>
      </c>
      <c r="J17" s="39"/>
      <c r="K17" s="39" t="s">
        <v>28</v>
      </c>
      <c r="L17" s="40"/>
      <c r="M17" s="38"/>
      <c r="N17" s="58">
        <f t="shared" si="0"/>
        <v>7.02</v>
      </c>
      <c r="O17" s="52"/>
      <c r="P17" s="59" t="s">
        <v>333</v>
      </c>
    </row>
    <row r="18" spans="1:21" ht="210" x14ac:dyDescent="0.25">
      <c r="B18" s="64">
        <v>35</v>
      </c>
      <c r="C18" s="65" t="s">
        <v>344</v>
      </c>
      <c r="D18" s="65"/>
      <c r="E18" s="65">
        <v>39.28</v>
      </c>
      <c r="F18" s="66">
        <f>[2]Sheet3!$J$36</f>
        <v>22.31</v>
      </c>
      <c r="G18" s="66">
        <f>E18-F18-H18</f>
        <v>16.170000000000002</v>
      </c>
      <c r="H18" s="66">
        <f>[1]Sheet2!$I$36</f>
        <v>0.8</v>
      </c>
      <c r="I18" s="66">
        <f>E18-F18</f>
        <v>16.970000000000002</v>
      </c>
      <c r="J18" s="67"/>
      <c r="K18" s="67" t="s">
        <v>14</v>
      </c>
      <c r="L18" s="68"/>
      <c r="M18" s="66"/>
      <c r="N18" s="58">
        <f t="shared" si="0"/>
        <v>16.970000000000002</v>
      </c>
      <c r="O18" s="52"/>
      <c r="P18" s="69" t="s">
        <v>333</v>
      </c>
    </row>
    <row r="19" spans="1:21" ht="135" x14ac:dyDescent="0.25">
      <c r="B19" s="64">
        <v>36</v>
      </c>
      <c r="C19" s="65" t="s">
        <v>345</v>
      </c>
      <c r="D19" s="65"/>
      <c r="E19" s="65">
        <v>58.1</v>
      </c>
      <c r="F19" s="66">
        <f>[2]Sheet3!$J$37</f>
        <v>38.51</v>
      </c>
      <c r="G19" s="66">
        <f>E19-F19-H19</f>
        <v>14.170000000000003</v>
      </c>
      <c r="H19" s="66">
        <f>[1]Sheet2!$I$37</f>
        <v>5.42</v>
      </c>
      <c r="I19" s="66">
        <f>E19-F19</f>
        <v>19.590000000000003</v>
      </c>
      <c r="J19" s="67"/>
      <c r="K19" s="67" t="s">
        <v>14</v>
      </c>
      <c r="L19" s="68"/>
      <c r="M19" s="66"/>
      <c r="N19" s="58">
        <f t="shared" si="0"/>
        <v>19.590000000000003</v>
      </c>
      <c r="O19" s="52"/>
      <c r="P19" s="69" t="s">
        <v>333</v>
      </c>
    </row>
    <row r="20" spans="1:21" ht="75" x14ac:dyDescent="0.25">
      <c r="B20" s="64">
        <v>38</v>
      </c>
      <c r="C20" s="65" t="s">
        <v>346</v>
      </c>
      <c r="D20" s="65"/>
      <c r="E20" s="65">
        <v>193.14</v>
      </c>
      <c r="F20" s="66">
        <f>[2]Sheet3!$J$39</f>
        <v>81.19</v>
      </c>
      <c r="G20" s="66">
        <f>E20-F20-H20</f>
        <v>110.6</v>
      </c>
      <c r="H20" s="66">
        <f>[1]Sheet2!$I$39</f>
        <v>1.35</v>
      </c>
      <c r="I20" s="66">
        <f>E20-F20</f>
        <v>111.94999999999999</v>
      </c>
      <c r="J20" s="67"/>
      <c r="K20" s="67" t="s">
        <v>28</v>
      </c>
      <c r="L20" s="67"/>
      <c r="M20" s="66"/>
      <c r="N20" s="58">
        <f t="shared" si="0"/>
        <v>111.94999999999999</v>
      </c>
      <c r="O20" s="52"/>
      <c r="P20" s="69" t="s">
        <v>333</v>
      </c>
    </row>
    <row r="21" spans="1:21" ht="60" x14ac:dyDescent="0.25">
      <c r="A21" s="71"/>
      <c r="B21" s="64">
        <v>40</v>
      </c>
      <c r="C21" s="65" t="s">
        <v>348</v>
      </c>
      <c r="D21" s="65"/>
      <c r="E21" s="65">
        <v>123.09</v>
      </c>
      <c r="F21" s="66">
        <f>[2]Sheet3!$J$41</f>
        <v>87.26</v>
      </c>
      <c r="G21" s="66">
        <f>[1]Sheet2!$G$41-[1]Sheet2!$H$41</f>
        <v>10.63000000000001</v>
      </c>
      <c r="H21" s="66">
        <f>[1]Sheet2!$I$41</f>
        <v>0</v>
      </c>
      <c r="I21" s="66">
        <f>E21-F21</f>
        <v>35.83</v>
      </c>
      <c r="J21" s="66"/>
      <c r="K21" s="67" t="s">
        <v>28</v>
      </c>
      <c r="L21" s="67"/>
      <c r="M21" s="67"/>
      <c r="N21" s="58">
        <f t="shared" si="0"/>
        <v>35.83</v>
      </c>
      <c r="O21" s="52"/>
      <c r="P21" s="69" t="s">
        <v>333</v>
      </c>
    </row>
    <row r="22" spans="1:21" ht="75" x14ac:dyDescent="0.25">
      <c r="B22" s="64">
        <v>43</v>
      </c>
      <c r="C22" s="65" t="s">
        <v>349</v>
      </c>
      <c r="D22" s="65"/>
      <c r="E22" s="65">
        <v>57.63</v>
      </c>
      <c r="F22" s="66">
        <f>[2]Sheet3!$J$44</f>
        <v>41.03</v>
      </c>
      <c r="G22" s="66">
        <f>E22-F22-H22</f>
        <v>14.780000000000001</v>
      </c>
      <c r="H22" s="66">
        <f>[1]Sheet2!$I$44</f>
        <v>1.82</v>
      </c>
      <c r="I22" s="66">
        <f>E22-F22</f>
        <v>16.600000000000001</v>
      </c>
      <c r="J22" s="66"/>
      <c r="K22" s="67" t="s">
        <v>14</v>
      </c>
      <c r="L22" s="67"/>
      <c r="M22" s="67"/>
      <c r="N22" s="58">
        <f t="shared" si="0"/>
        <v>16.600000000000001</v>
      </c>
      <c r="O22" s="52"/>
      <c r="P22" s="69" t="s">
        <v>333</v>
      </c>
    </row>
    <row r="23" spans="1:21" ht="75" x14ac:dyDescent="0.25">
      <c r="B23" s="120">
        <v>46</v>
      </c>
      <c r="C23" s="62" t="s">
        <v>350</v>
      </c>
      <c r="D23" s="62"/>
      <c r="E23" s="119"/>
      <c r="F23" s="97"/>
      <c r="G23" s="121">
        <f>'[3]Capitalization 19-20'!$G$50</f>
        <v>2.3399999999999954</v>
      </c>
      <c r="H23" s="121">
        <f>'[3]Capitalization 19-20'!$H$50</f>
        <v>1.97</v>
      </c>
      <c r="I23" s="121">
        <v>48.65</v>
      </c>
      <c r="J23" s="122"/>
      <c r="K23" s="123" t="s">
        <v>36</v>
      </c>
      <c r="L23" s="42">
        <f>I23/SUM($I$23,'Capitalization 19-20'!$I$24,'Capitalization 19-20'!$I$25,'Capitalization 19-20'!$I$26,'Capitalization 19-20'!$I$32,'Capitalization 19-20'!$I$33,'Capitalization 19-20'!$I$34,'Capitalization 20-21'!$J$18,'Capitalization 20-21'!$J$19,'Capitalization 19-20'!$I$38,'Capitalization 19-20'!$I$39,'Capitalization 19-20'!$I$40,'Capitalization 20-21'!$I$20)*74.29</f>
        <v>7.1040953316953326</v>
      </c>
      <c r="M23" s="118">
        <f>(I23+J23+L23)*86%</f>
        <v>47.948521985257983</v>
      </c>
      <c r="N23" s="118">
        <f>(I23+J23+L23)*14%</f>
        <v>7.8055733464373471</v>
      </c>
      <c r="O23" s="124"/>
      <c r="P23" s="124"/>
    </row>
    <row r="24" spans="1:21" ht="75" x14ac:dyDescent="0.25">
      <c r="B24" s="123">
        <v>47</v>
      </c>
      <c r="C24" s="97" t="s">
        <v>351</v>
      </c>
      <c r="D24" s="97"/>
      <c r="E24" s="97"/>
      <c r="F24" s="97"/>
      <c r="G24" s="118"/>
      <c r="H24" s="118">
        <f>'[3]Capitalization 19-20'!$H$51</f>
        <v>2.37</v>
      </c>
      <c r="I24" s="118">
        <f>[1]Sheet2!$H$48+[1]Sheet2!$I$48</f>
        <v>35.15</v>
      </c>
      <c r="J24" s="118"/>
      <c r="K24" s="123" t="s">
        <v>36</v>
      </c>
      <c r="L24" s="42">
        <f>I24/SUM('Capitalization 19-20'!$I$23,$I$24,$I$25,$I$26,'Capitalization 19-20'!$I$32,'Capitalization 19-20'!$I$33,'Capitalization 19-20'!$I$34,'Capitalization 20-21'!$J$18,'Capitalization 20-21'!$J$19,'Capitalization 19-20'!$I$38,'Capitalization 19-20'!$I$39,'Capitalization 19-20'!$I$40,'Capitalization 20-21'!$I$20)*74.29</f>
        <v>5.1327636363636371</v>
      </c>
      <c r="M24" s="118">
        <f>(I24+J24+L24)*86%</f>
        <v>34.643176727272724</v>
      </c>
      <c r="N24" s="118">
        <f>(I24+J24+L24)*14%</f>
        <v>5.6395869090909088</v>
      </c>
      <c r="O24" s="124"/>
      <c r="P24" s="124"/>
    </row>
    <row r="25" spans="1:21" ht="75" x14ac:dyDescent="0.25">
      <c r="B25" s="123">
        <v>48</v>
      </c>
      <c r="C25" s="97" t="s">
        <v>352</v>
      </c>
      <c r="D25" s="97"/>
      <c r="E25" s="97"/>
      <c r="F25" s="97"/>
      <c r="G25" s="118"/>
      <c r="H25" s="118">
        <f>'[3]Capitalization 19-20'!$H$52</f>
        <v>7.03</v>
      </c>
      <c r="I25" s="118">
        <f>[1]Sheet2!$H$49+[1]Sheet2!$I$49</f>
        <v>79.150000000000006</v>
      </c>
      <c r="J25" s="118"/>
      <c r="K25" s="123" t="s">
        <v>36</v>
      </c>
      <c r="L25" s="42">
        <f>I25/SUM('Capitalization 19-20'!$I$23,$I$24,$I$25,$I$26,'Capitalization 19-20'!$I$32,'Capitalization 19-20'!$I$33,'Capitalization 19-20'!$I$34,'Capitalization 20-21'!$J$18,'Capitalization 20-21'!$J$19,'Capitalization 19-20'!$I$38,'Capitalization 19-20'!$I$39,'Capitalization 19-20'!$I$40,'Capitalization 20-21'!$I$20)*74.29</f>
        <v>11.557844717444718</v>
      </c>
      <c r="M25" s="118">
        <f>(I25+J25+L25)*86%</f>
        <v>78.008746457002459</v>
      </c>
      <c r="N25" s="118">
        <f>(I25+J25+L25)*14%</f>
        <v>12.699098260442263</v>
      </c>
      <c r="O25" s="118"/>
      <c r="P25" s="118"/>
    </row>
    <row r="26" spans="1:21" ht="75" x14ac:dyDescent="0.25">
      <c r="B26" s="123">
        <v>49</v>
      </c>
      <c r="C26" s="97" t="s">
        <v>353</v>
      </c>
      <c r="D26" s="97"/>
      <c r="E26" s="97"/>
      <c r="F26" s="97"/>
      <c r="G26" s="118"/>
      <c r="H26" s="118">
        <f>'[3]Capitalization 19-20'!$H$53</f>
        <v>5.71</v>
      </c>
      <c r="I26" s="118">
        <f>[1]Sheet2!$H$50+[1]Sheet2!$I$50</f>
        <v>37.53</v>
      </c>
      <c r="J26" s="118"/>
      <c r="K26" s="123" t="s">
        <v>36</v>
      </c>
      <c r="L26" s="42">
        <f>I26/SUM('Capitalization 19-20'!$I$23,$I$24,$I$25,$I$26,'Capitalization 19-20'!$I$32,'Capitalization 19-20'!$I$33,'Capitalization 19-20'!$I$34,'Capitalization 20-21'!$J$18,'Capitalization 20-21'!$J$19,'Capitalization 19-20'!$I$38,'Capitalization 19-20'!$I$39,'Capitalization 19-20'!$I$40,'Capitalization 20-21'!$I$20)*74.29</f>
        <v>5.4803021130221135</v>
      </c>
      <c r="M26" s="118">
        <f>(I26+J26+L26)*86%</f>
        <v>36.988859817199014</v>
      </c>
      <c r="N26" s="118">
        <f>(I26+J26+L26)*14%</f>
        <v>6.0214422958230962</v>
      </c>
      <c r="O26" s="118"/>
      <c r="P26" s="118"/>
    </row>
    <row r="27" spans="1:21" ht="120" x14ac:dyDescent="0.25">
      <c r="B27" s="50">
        <v>50</v>
      </c>
      <c r="C27" s="37" t="s">
        <v>354</v>
      </c>
      <c r="D27" s="37"/>
      <c r="E27" s="37">
        <v>72.03</v>
      </c>
      <c r="F27" s="38"/>
      <c r="G27" s="38"/>
      <c r="H27" s="38"/>
      <c r="I27" s="38">
        <f>[1]Sheet2!$H$51</f>
        <v>75.8</v>
      </c>
      <c r="J27" s="39"/>
      <c r="K27" s="39" t="s">
        <v>14</v>
      </c>
      <c r="L27" s="39"/>
      <c r="M27" s="39"/>
      <c r="N27" s="38">
        <f>SUM(I27:J27)</f>
        <v>75.8</v>
      </c>
      <c r="O27" s="38"/>
      <c r="P27" s="70" t="s">
        <v>326</v>
      </c>
    </row>
    <row r="28" spans="1:21" ht="210" x14ac:dyDescent="0.25">
      <c r="B28" s="50">
        <v>52</v>
      </c>
      <c r="C28" s="37" t="s">
        <v>277</v>
      </c>
      <c r="D28" s="41"/>
      <c r="E28" s="41">
        <f>[4]Sheet3!$F$8</f>
        <v>20.34</v>
      </c>
      <c r="F28" s="38"/>
      <c r="G28" s="38"/>
      <c r="H28" s="38">
        <f>[1]Sheet2!$I$53</f>
        <v>0.48</v>
      </c>
      <c r="I28" s="38">
        <f>[1]Sheet2!$H$53+[1]Sheet2!$I$53</f>
        <v>21.580000000000002</v>
      </c>
      <c r="J28" s="39"/>
      <c r="K28" s="39" t="s">
        <v>14</v>
      </c>
      <c r="L28" s="39"/>
      <c r="M28" s="39"/>
      <c r="N28" s="38">
        <f>SUM(I28:J28)</f>
        <v>21.580000000000002</v>
      </c>
      <c r="O28" s="38"/>
      <c r="P28" s="70" t="s">
        <v>326</v>
      </c>
    </row>
    <row r="29" spans="1:21" ht="90" x14ac:dyDescent="0.25">
      <c r="B29" s="123">
        <v>53</v>
      </c>
      <c r="C29" s="97" t="s">
        <v>356</v>
      </c>
      <c r="D29" s="97"/>
      <c r="E29" s="124"/>
      <c r="F29" s="119"/>
      <c r="G29" s="118">
        <f>'[3]Capitalization 19-20'!$G$57</f>
        <v>0.92999999999999972</v>
      </c>
      <c r="H29" s="118"/>
      <c r="I29" s="41">
        <v>12.59</v>
      </c>
      <c r="J29" s="125"/>
      <c r="K29" s="125" t="s">
        <v>14</v>
      </c>
      <c r="L29" s="125"/>
      <c r="M29" s="125"/>
      <c r="N29" s="118">
        <f>SUM(I29:J29)</f>
        <v>12.59</v>
      </c>
      <c r="O29" s="118"/>
      <c r="P29" s="51"/>
      <c r="Q29" s="114"/>
      <c r="R29" s="114"/>
      <c r="S29" s="114"/>
      <c r="T29" s="115">
        <f>'[3]Capitalization 19-20'!$H$57</f>
        <v>0</v>
      </c>
      <c r="U29" s="116">
        <f>'[3]Capitalization 19-20'!$G$57</f>
        <v>0.92999999999999972</v>
      </c>
    </row>
    <row r="30" spans="1:21" ht="105" x14ac:dyDescent="0.25">
      <c r="B30" s="123">
        <v>55</v>
      </c>
      <c r="C30" s="97" t="s">
        <v>357</v>
      </c>
      <c r="D30" s="41"/>
      <c r="E30" s="124"/>
      <c r="F30" s="119"/>
      <c r="G30" s="118">
        <f>'[3]Capitalization 19-20'!$G$59</f>
        <v>0.61000000000000099</v>
      </c>
      <c r="H30" s="118">
        <f>'[3]Capitalization 19-20'!$H$59</f>
        <v>0.51</v>
      </c>
      <c r="I30" s="41">
        <v>21.62</v>
      </c>
      <c r="J30" s="125"/>
      <c r="K30" s="125" t="s">
        <v>28</v>
      </c>
      <c r="L30" s="125"/>
      <c r="M30" s="125"/>
      <c r="N30" s="118">
        <f>SUM(I30:J30)</f>
        <v>21.62</v>
      </c>
      <c r="O30" s="118"/>
      <c r="P30" s="51"/>
      <c r="Q30" s="114"/>
      <c r="R30" s="114"/>
      <c r="S30" s="114"/>
      <c r="T30" s="117">
        <f>'[3]Capitalization 19-20'!$H$59</f>
        <v>0.51</v>
      </c>
      <c r="U30" s="115">
        <f>'[3]Capitalization 19-20'!$G$59</f>
        <v>0.61000000000000099</v>
      </c>
    </row>
    <row r="31" spans="1:21" ht="90" x14ac:dyDescent="0.25">
      <c r="B31" s="123">
        <v>57</v>
      </c>
      <c r="C31" s="97" t="s">
        <v>358</v>
      </c>
      <c r="D31" s="97"/>
      <c r="E31" s="41">
        <v>65.37</v>
      </c>
      <c r="F31" s="118">
        <f>28.02+32.97</f>
        <v>60.989999999999995</v>
      </c>
      <c r="G31" s="118">
        <f>'[3]Capitalization 19-20'!$G$61</f>
        <v>2.7200000000000095</v>
      </c>
      <c r="H31" s="118">
        <f>'[3]Capitalization 19-20'!$H$61</f>
        <v>1.66</v>
      </c>
      <c r="I31" s="118">
        <f>E31-F31</f>
        <v>4.3800000000000097</v>
      </c>
      <c r="J31" s="125"/>
      <c r="K31" s="125" t="s">
        <v>14</v>
      </c>
      <c r="L31" s="125"/>
      <c r="M31" s="125"/>
      <c r="N31" s="118">
        <f>SUM(I31:J31)</f>
        <v>4.3800000000000097</v>
      </c>
      <c r="O31" s="118"/>
      <c r="P31" s="51"/>
      <c r="Q31" s="114"/>
      <c r="R31" s="114"/>
      <c r="S31" s="114"/>
      <c r="T31" s="117">
        <f>'[3]Capitalization 19-20'!$H$61</f>
        <v>1.66</v>
      </c>
      <c r="U31" s="115">
        <f>'[3]Capitalization 19-20'!$G$61</f>
        <v>2.7200000000000095</v>
      </c>
    </row>
    <row r="32" spans="1:21" ht="105" x14ac:dyDescent="0.25">
      <c r="B32" s="50">
        <v>58</v>
      </c>
      <c r="C32" s="37" t="s">
        <v>359</v>
      </c>
      <c r="D32" s="37"/>
      <c r="E32" s="41">
        <v>23.38</v>
      </c>
      <c r="F32" s="38"/>
      <c r="G32" s="38">
        <f>[1]Sheet2!$G$59-[1]Sheet2!$H$59-[1]Sheet2!$I$59</f>
        <v>0.26999999999999913</v>
      </c>
      <c r="H32" s="38">
        <f>[1]Sheet2!$I$59</f>
        <v>1.52</v>
      </c>
      <c r="I32" s="39">
        <f>E32</f>
        <v>23.38</v>
      </c>
      <c r="J32" s="38"/>
      <c r="K32" s="39" t="s">
        <v>36</v>
      </c>
      <c r="L32" s="107">
        <f>I32/SUM('Capitalization 19-20'!$I$23,'Capitalization 19-20'!$I$24,'Capitalization 19-20'!$I$25,'Capitalization 19-20'!$I$26,$I$32,$I$33,$I$34,'Capitalization 20-21'!$J$18,'Capitalization 20-21'!$J$19,$I$38,$I$39,$I$40,'Capitalization 20-21'!$I$20)*74.29</f>
        <v>3.4140544471744469</v>
      </c>
      <c r="M32" s="63">
        <f>(I32+J32+L32)*86%</f>
        <v>23.042886824570022</v>
      </c>
      <c r="N32" s="63">
        <f>(I32+J32+L32)*14%</f>
        <v>3.7511676226044228</v>
      </c>
      <c r="O32" s="38"/>
      <c r="P32" s="70" t="s">
        <v>333</v>
      </c>
    </row>
    <row r="33" spans="2:16" ht="75" x14ac:dyDescent="0.25">
      <c r="B33" s="64">
        <v>59</v>
      </c>
      <c r="C33" s="65" t="s">
        <v>360</v>
      </c>
      <c r="D33" s="65"/>
      <c r="E33" s="73">
        <v>44.39</v>
      </c>
      <c r="F33" s="66">
        <f>[4]Sheet3!$J$15</f>
        <v>35.33</v>
      </c>
      <c r="G33" s="66">
        <f>[1]Sheet2!$G$60-[1]Sheet2!$H$60</f>
        <v>2.7199999999999989</v>
      </c>
      <c r="H33" s="66">
        <v>0</v>
      </c>
      <c r="I33" s="66">
        <f>E33-F33</f>
        <v>9.0600000000000023</v>
      </c>
      <c r="J33" s="66"/>
      <c r="K33" s="67" t="s">
        <v>36</v>
      </c>
      <c r="L33" s="107">
        <f>I33/SUM('Capitalization 19-20'!$I$23,'Capitalization 19-20'!$I$24,'Capitalization 19-20'!$I$25,'Capitalization 19-20'!$I$26,$I$32,$I$33,$I$34,'Capitalization 20-21'!$J$18,'Capitalization 20-21'!$J$19,$I$38,$I$39,$I$40,'Capitalization 20-21'!$I$20)*74.29</f>
        <v>1.322982604422605</v>
      </c>
      <c r="M33" s="63">
        <f>(I33+J33+L33)*86%</f>
        <v>8.929365039803443</v>
      </c>
      <c r="N33" s="63">
        <f>(I33+J33+L33)*14%</f>
        <v>1.4536175646191654</v>
      </c>
      <c r="O33" s="66"/>
      <c r="P33" s="69" t="s">
        <v>333</v>
      </c>
    </row>
    <row r="34" spans="2:16" ht="75" x14ac:dyDescent="0.25">
      <c r="B34" s="64">
        <v>60</v>
      </c>
      <c r="C34" s="65" t="s">
        <v>361</v>
      </c>
      <c r="D34" s="65"/>
      <c r="E34" s="73">
        <v>41.32</v>
      </c>
      <c r="F34" s="66">
        <f>[4]Sheet3!$J$16</f>
        <v>33.44</v>
      </c>
      <c r="G34" s="66">
        <f>[1]Sheet2!$G$61-[1]Sheet2!$H$61-[1]Sheet2!$I$61</f>
        <v>2.030000000000002</v>
      </c>
      <c r="H34" s="66">
        <f>[1]Sheet2!$I$61</f>
        <v>0.53</v>
      </c>
      <c r="I34" s="66">
        <f>E34-F34</f>
        <v>7.8800000000000026</v>
      </c>
      <c r="J34" s="67"/>
      <c r="K34" s="67" t="s">
        <v>36</v>
      </c>
      <c r="L34" s="107">
        <f>I34/SUM('Capitalization 19-20'!$I$23,'Capitalization 19-20'!$I$24,'Capitalization 19-20'!$I$25,'Capitalization 19-20'!$I$26,$I$32,$I$33,$I$34,'Capitalization 20-21'!$J$18,'Capitalization 20-21'!$J$19,$I$38,$I$39,$I$40,'Capitalization 20-21'!$I$20)*74.29</f>
        <v>1.1506736117936123</v>
      </c>
      <c r="M34" s="63">
        <f>(I34+J34+L34)*86%</f>
        <v>7.7663793061425093</v>
      </c>
      <c r="N34" s="63">
        <f>(I34+J34+L34)*14%</f>
        <v>1.2642943056511062</v>
      </c>
      <c r="O34" s="66"/>
      <c r="P34" s="69" t="s">
        <v>333</v>
      </c>
    </row>
    <row r="35" spans="2:16" ht="240" x14ac:dyDescent="0.25">
      <c r="B35" s="74">
        <v>61</v>
      </c>
      <c r="C35" s="75" t="s">
        <v>362</v>
      </c>
      <c r="D35" s="75"/>
      <c r="E35" s="73">
        <v>36.909999999999997</v>
      </c>
      <c r="F35" s="76">
        <f>10.51+15.95</f>
        <v>26.46</v>
      </c>
      <c r="G35" s="76">
        <f>[1]Sheet2!$G$62-[1]Sheet2!$H$62-[1]Sheet2!$I$62</f>
        <v>2.9999999999996585E-2</v>
      </c>
      <c r="H35" s="76">
        <f>[1]Sheet2!$I$62</f>
        <v>0.13</v>
      </c>
      <c r="I35" s="76">
        <f>E35-F35</f>
        <v>10.449999999999996</v>
      </c>
      <c r="J35" s="77"/>
      <c r="K35" s="77" t="s">
        <v>14</v>
      </c>
      <c r="L35" s="77"/>
      <c r="M35" s="77"/>
      <c r="N35" s="38">
        <f>SUM(I35:J35)</f>
        <v>10.449999999999996</v>
      </c>
      <c r="O35" s="63"/>
      <c r="P35" s="69" t="s">
        <v>333</v>
      </c>
    </row>
    <row r="38" spans="2:16" ht="90" x14ac:dyDescent="0.25">
      <c r="B38" s="50">
        <v>65</v>
      </c>
      <c r="C38" s="37" t="s">
        <v>263</v>
      </c>
      <c r="D38" s="41"/>
      <c r="E38" s="41">
        <v>46.84</v>
      </c>
      <c r="F38" s="38"/>
      <c r="G38" s="38">
        <f>[1]Sheet2!$G$66-[1]Sheet2!$H$66-[1]Sheet2!$I$66</f>
        <v>2.7600000000000007</v>
      </c>
      <c r="H38" s="38">
        <f>[1]Sheet2!$I$66</f>
        <v>3.38</v>
      </c>
      <c r="I38" s="38">
        <f>E38</f>
        <v>46.84</v>
      </c>
      <c r="J38" s="39"/>
      <c r="K38" s="39" t="s">
        <v>36</v>
      </c>
      <c r="L38" s="107">
        <f>I38/SUM('Capitalization 19-20'!$I$23,'Capitalization 19-20'!$I$24,'Capitalization 19-20'!$I$25,'Capitalization 19-20'!$I$26,$I$32,$I$33,$I$34,'Capitalization 20-21'!$J$18,'Capitalization 20-21'!$J$19,$I$38,$I$39,$I$40,'Capitalization 20-21'!$I$20)*74.29</f>
        <v>6.8397908599508606</v>
      </c>
      <c r="M38" s="63">
        <f>(I38+J38+L38)*86%</f>
        <v>46.164620139557741</v>
      </c>
      <c r="N38" s="63">
        <f>(I38+J38+L38)*14%</f>
        <v>7.5151707203931215</v>
      </c>
      <c r="O38" s="38"/>
      <c r="P38" s="70" t="s">
        <v>333</v>
      </c>
    </row>
    <row r="39" spans="2:16" ht="75" x14ac:dyDescent="0.25">
      <c r="B39" s="50">
        <v>66</v>
      </c>
      <c r="C39" s="37" t="s">
        <v>365</v>
      </c>
      <c r="D39" s="37"/>
      <c r="E39" s="41">
        <v>75.459999999999994</v>
      </c>
      <c r="F39" s="38"/>
      <c r="G39" s="38">
        <f>[1]Sheet2!$G$67-[1]Sheet2!$H$67-[1]Sheet2!$I$67</f>
        <v>0.50999999999999357</v>
      </c>
      <c r="H39" s="38">
        <f>[1]Sheet2!$I$67</f>
        <v>4.45</v>
      </c>
      <c r="I39" s="38">
        <f>E39</f>
        <v>75.459999999999994</v>
      </c>
      <c r="J39" s="39"/>
      <c r="K39" s="39" t="s">
        <v>36</v>
      </c>
      <c r="L39" s="107">
        <f>I39/SUM('Capitalization 19-20'!$I$23,'Capitalization 19-20'!$I$24,'Capitalization 19-20'!$I$25,'Capitalization 19-20'!$I$26,$I$32,$I$33,$I$34,'Capitalization 20-21'!$J$18,'Capitalization 20-21'!$J$19,$I$38,$I$39,$I$40,'Capitalization 20-21'!$I$20)*74.29</f>
        <v>11.019014054054056</v>
      </c>
      <c r="M39" s="63">
        <f>(I39+J39+L39)*86%</f>
        <v>74.371952086486473</v>
      </c>
      <c r="N39" s="63">
        <f>(I39+J39+L39)*14%</f>
        <v>12.107061967567567</v>
      </c>
      <c r="O39" s="38"/>
      <c r="P39" s="70" t="s">
        <v>333</v>
      </c>
    </row>
    <row r="40" spans="2:16" ht="45" x14ac:dyDescent="0.25">
      <c r="B40" s="64">
        <v>67</v>
      </c>
      <c r="C40" s="65" t="s">
        <v>62</v>
      </c>
      <c r="D40" s="65"/>
      <c r="E40" s="73">
        <v>35.549999999999997</v>
      </c>
      <c r="F40" s="66">
        <f>[4]Sheet3!$J$23</f>
        <v>33.979999999999997</v>
      </c>
      <c r="G40" s="66">
        <f>[1]Sheet2!$G$68-[1]Sheet2!$H$68-[1]Sheet2!$I$68</f>
        <v>0.43000000000000005</v>
      </c>
      <c r="H40" s="66">
        <f>[1]Sheet2!$I$68</f>
        <v>0.56999999999999995</v>
      </c>
      <c r="I40" s="66">
        <f>E40-F40</f>
        <v>1.5700000000000003</v>
      </c>
      <c r="J40" s="67"/>
      <c r="K40" s="67" t="s">
        <v>36</v>
      </c>
      <c r="L40" s="107">
        <f>I40/SUM('Capitalization 19-20'!$I$23,'Capitalization 19-20'!$I$24,'Capitalization 19-20'!$I$25,'Capitalization 19-20'!$I$26,$I$32,$I$33,$I$34,'Capitalization 20-21'!$J$18,'Capitalization 20-21'!$J$19,$I$38,$I$39,$I$40,'Capitalization 20-21'!$I$20)*74.29</f>
        <v>0.22925857493857502</v>
      </c>
      <c r="M40" s="63">
        <f>(I40+J40+L40)*86%</f>
        <v>1.5473623744471747</v>
      </c>
      <c r="N40" s="63">
        <f>(I40+J40+L40)*14%</f>
        <v>0.25189620049140055</v>
      </c>
      <c r="O40" s="66"/>
      <c r="P40" s="69" t="s">
        <v>333</v>
      </c>
    </row>
    <row r="41" spans="2:16" ht="105" x14ac:dyDescent="0.25">
      <c r="B41" s="50">
        <v>69</v>
      </c>
      <c r="C41" s="37" t="s">
        <v>367</v>
      </c>
      <c r="D41" s="37"/>
      <c r="E41" s="41">
        <v>9.14</v>
      </c>
      <c r="F41" s="38"/>
      <c r="G41" s="38"/>
      <c r="H41" s="38">
        <f>[1]Sheet2!$I$70</f>
        <v>0.31</v>
      </c>
      <c r="I41" s="38">
        <f>[1]Sheet2!$H$70+[1]Sheet2!$I$70</f>
        <v>9.33</v>
      </c>
      <c r="J41" s="39"/>
      <c r="K41" s="39" t="s">
        <v>14</v>
      </c>
      <c r="L41" s="39"/>
      <c r="M41" s="39"/>
      <c r="N41" s="38">
        <f t="shared" ref="N41:N46" si="1">SUM(I41:J41)</f>
        <v>9.33</v>
      </c>
      <c r="O41" s="38"/>
      <c r="P41" s="59" t="s">
        <v>326</v>
      </c>
    </row>
    <row r="42" spans="2:16" ht="105" x14ac:dyDescent="0.25">
      <c r="B42" s="50">
        <v>70</v>
      </c>
      <c r="C42" s="37" t="s">
        <v>368</v>
      </c>
      <c r="D42" s="37"/>
      <c r="E42" s="41">
        <v>10.25</v>
      </c>
      <c r="F42" s="38"/>
      <c r="G42" s="38">
        <f>[1]Sheet2!$G$71-[1]Sheet2!$H$71</f>
        <v>2.25</v>
      </c>
      <c r="H42" s="38">
        <f>[1]Sheet2!$I$71</f>
        <v>0</v>
      </c>
      <c r="I42" s="38">
        <f>E42</f>
        <v>10.25</v>
      </c>
      <c r="J42" s="39"/>
      <c r="K42" s="39" t="s">
        <v>14</v>
      </c>
      <c r="L42" s="39"/>
      <c r="M42" s="39"/>
      <c r="N42" s="38">
        <f t="shared" si="1"/>
        <v>10.25</v>
      </c>
      <c r="O42" s="38"/>
      <c r="P42" s="70" t="s">
        <v>333</v>
      </c>
    </row>
    <row r="43" spans="2:16" ht="45" x14ac:dyDescent="0.25">
      <c r="B43" s="64">
        <v>72</v>
      </c>
      <c r="C43" s="65" t="s">
        <v>370</v>
      </c>
      <c r="D43" s="65"/>
      <c r="E43" s="73">
        <v>54.25</v>
      </c>
      <c r="F43" s="66">
        <f>24.52+24.18</f>
        <v>48.7</v>
      </c>
      <c r="G43" s="66">
        <f>[1]Sheet2!$G$73-[1]Sheet2!$H$73-[1]Sheet2!$I$73</f>
        <v>0.70000000000000107</v>
      </c>
      <c r="H43" s="66">
        <f>[1]Sheet2!$I$73</f>
        <v>4.6500000000000004</v>
      </c>
      <c r="I43" s="66">
        <f>E43-F43</f>
        <v>5.5499999999999972</v>
      </c>
      <c r="J43" s="67"/>
      <c r="K43" s="67" t="s">
        <v>14</v>
      </c>
      <c r="L43" s="67"/>
      <c r="M43" s="67"/>
      <c r="N43" s="38">
        <f t="shared" si="1"/>
        <v>5.5499999999999972</v>
      </c>
      <c r="O43" s="66"/>
      <c r="P43" s="69" t="s">
        <v>333</v>
      </c>
    </row>
    <row r="44" spans="2:16" ht="45" x14ac:dyDescent="0.25">
      <c r="B44" s="72">
        <v>75</v>
      </c>
      <c r="C44" s="37" t="s">
        <v>373</v>
      </c>
      <c r="D44" s="37"/>
      <c r="E44" s="41">
        <v>21.07</v>
      </c>
      <c r="F44" s="58"/>
      <c r="G44" s="108"/>
      <c r="H44" s="58"/>
      <c r="I44" s="58">
        <f>E44</f>
        <v>21.07</v>
      </c>
      <c r="J44" s="60"/>
      <c r="K44" s="60" t="s">
        <v>28</v>
      </c>
      <c r="L44" s="60"/>
      <c r="M44" s="60"/>
      <c r="N44" s="38">
        <f t="shared" si="1"/>
        <v>21.07</v>
      </c>
      <c r="O44" s="58"/>
      <c r="P44" s="70" t="s">
        <v>333</v>
      </c>
    </row>
    <row r="45" spans="2:16" ht="120" x14ac:dyDescent="0.25">
      <c r="B45" s="72">
        <v>76</v>
      </c>
      <c r="C45" s="37" t="s">
        <v>374</v>
      </c>
      <c r="D45" s="37"/>
      <c r="E45" s="41">
        <v>1.46</v>
      </c>
      <c r="F45" s="58"/>
      <c r="G45" s="106"/>
      <c r="H45" s="58"/>
      <c r="I45" s="58">
        <f>E45</f>
        <v>1.46</v>
      </c>
      <c r="J45" s="60"/>
      <c r="K45" s="60" t="s">
        <v>28</v>
      </c>
      <c r="L45" s="60"/>
      <c r="M45" s="60"/>
      <c r="N45" s="38">
        <f t="shared" si="1"/>
        <v>1.46</v>
      </c>
      <c r="O45" s="58"/>
      <c r="P45" s="70" t="s">
        <v>333</v>
      </c>
    </row>
    <row r="46" spans="2:16" ht="105" x14ac:dyDescent="0.25">
      <c r="B46" s="50">
        <v>78</v>
      </c>
      <c r="C46" s="37" t="s">
        <v>376</v>
      </c>
      <c r="D46" s="37"/>
      <c r="E46" s="41">
        <v>62.56</v>
      </c>
      <c r="F46" s="38"/>
      <c r="G46" s="38">
        <f>[1]Sheet2!$G$79-[1]Sheet2!$H$79-[1]Sheet2!$I$79</f>
        <v>28.150000000000006</v>
      </c>
      <c r="H46" s="38">
        <f>[1]Sheet2!$I$79</f>
        <v>9.9700000000000006</v>
      </c>
      <c r="I46" s="38">
        <f>E46</f>
        <v>62.56</v>
      </c>
      <c r="J46" s="39"/>
      <c r="K46" s="39" t="s">
        <v>14</v>
      </c>
      <c r="L46" s="39"/>
      <c r="M46" s="39"/>
      <c r="N46" s="38">
        <f t="shared" si="1"/>
        <v>62.56</v>
      </c>
      <c r="O46" s="38"/>
      <c r="P46" s="70" t="s">
        <v>333</v>
      </c>
    </row>
    <row r="47" spans="2:16" x14ac:dyDescent="0.25">
      <c r="B47" s="51"/>
      <c r="C47" s="43" t="s">
        <v>314</v>
      </c>
      <c r="D47" s="43"/>
      <c r="E47" s="43"/>
      <c r="F47" s="44"/>
      <c r="G47" s="45">
        <f>SUM(G5:G46)</f>
        <v>218.94</v>
      </c>
      <c r="H47" s="45">
        <f>SUM(H5:H46)</f>
        <v>62.64</v>
      </c>
      <c r="I47" s="45">
        <f>SUM(I5:I46)</f>
        <v>1322.11</v>
      </c>
      <c r="J47" s="45">
        <f>SUM(J5:J46)</f>
        <v>11.720000000000018</v>
      </c>
      <c r="K47" s="44"/>
      <c r="L47" s="46">
        <f>SUM(L5:L46)</f>
        <v>53.250779950859958</v>
      </c>
      <c r="M47" s="46">
        <f>SUM(M5:M46)</f>
        <v>359.41187075773951</v>
      </c>
      <c r="N47" s="46">
        <f>SUM(N5:N46)</f>
        <v>1027.6689091931207</v>
      </c>
      <c r="O47" s="46">
        <f>SUM(O5:O46)</f>
        <v>0</v>
      </c>
    </row>
    <row r="48" spans="2:16" x14ac:dyDescent="0.25">
      <c r="M48" s="80">
        <f>M47/SUM(I47:J47,L47)</f>
        <v>0.25911387134242636</v>
      </c>
      <c r="N48" s="80">
        <f>N47/SUM(I47:J47,L47)</f>
        <v>0.74088612865757397</v>
      </c>
      <c r="O48" s="80">
        <f>O47/SUM(I47:J47)</f>
        <v>0</v>
      </c>
    </row>
    <row r="49" spans="3:8" x14ac:dyDescent="0.25">
      <c r="C49" s="78" t="s">
        <v>378</v>
      </c>
    </row>
    <row r="50" spans="3:8" x14ac:dyDescent="0.25">
      <c r="C50" s="78" t="s">
        <v>379</v>
      </c>
    </row>
    <row r="53" spans="3:8" x14ac:dyDescent="0.25">
      <c r="G53" s="88"/>
      <c r="H53" s="88"/>
    </row>
    <row r="57" spans="3:8" x14ac:dyDescent="0.25">
      <c r="E57" s="79"/>
    </row>
  </sheetData>
  <autoFilter ref="B2:P50" xr:uid="{21A33549-B42C-47AD-A286-F7A8AD2E53E1}"/>
  <mergeCells count="16">
    <mergeCell ref="O2:O4"/>
    <mergeCell ref="E2:E4"/>
    <mergeCell ref="P2:P4"/>
    <mergeCell ref="L2:L4"/>
    <mergeCell ref="M2:M4"/>
    <mergeCell ref="N2:N4"/>
    <mergeCell ref="I2:I4"/>
    <mergeCell ref="J2:J4"/>
    <mergeCell ref="K2:K4"/>
    <mergeCell ref="B2:B4"/>
    <mergeCell ref="E5:E8"/>
    <mergeCell ref="H2:H4"/>
    <mergeCell ref="G2:G4"/>
    <mergeCell ref="C2:C4"/>
    <mergeCell ref="D2:D4"/>
    <mergeCell ref="F2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D69D4-A266-433D-AEFB-A45D56493E7B}">
  <dimension ref="B2:V159"/>
  <sheetViews>
    <sheetView tabSelected="1" view="pageBreakPreview" topLeftCell="B1" zoomScale="60" zoomScaleNormal="80" workbookViewId="0">
      <pane xSplit="3" ySplit="2" topLeftCell="E42" activePane="bottomRight" state="frozen"/>
      <selection activeCell="B1" sqref="B1"/>
      <selection pane="topRight" activeCell="E1" sqref="E1"/>
      <selection pane="bottomLeft" activeCell="B3" sqref="B3"/>
      <selection pane="bottomRight" activeCell="F46" sqref="F46"/>
    </sheetView>
  </sheetViews>
  <sheetFormatPr defaultRowHeight="15" x14ac:dyDescent="0.25"/>
  <cols>
    <col min="1" max="2" width="9.140625" style="36"/>
    <col min="3" max="3" width="34.42578125" style="36" customWidth="1"/>
    <col min="4" max="8" width="11.140625" style="36" customWidth="1"/>
    <col min="9" max="9" width="11" style="36" bestFit="1" customWidth="1"/>
    <col min="10" max="10" width="12.7109375" style="36" customWidth="1"/>
    <col min="11" max="11" width="11" style="36" bestFit="1" customWidth="1"/>
    <col min="12" max="12" width="16.5703125" style="36" customWidth="1"/>
    <col min="13" max="13" width="12.7109375" style="36" customWidth="1"/>
    <col min="14" max="14" width="13.85546875" style="36" bestFit="1" customWidth="1"/>
    <col min="15" max="16384" width="9.140625" style="36"/>
  </cols>
  <sheetData>
    <row r="2" spans="2:21" ht="60" x14ac:dyDescent="0.25">
      <c r="C2" s="39" t="s">
        <v>401</v>
      </c>
      <c r="D2" s="50" t="s">
        <v>402</v>
      </c>
      <c r="E2" s="82" t="s">
        <v>380</v>
      </c>
      <c r="F2" s="82" t="s">
        <v>406</v>
      </c>
      <c r="G2" s="82" t="s">
        <v>403</v>
      </c>
      <c r="H2" s="82" t="s">
        <v>404</v>
      </c>
      <c r="I2" s="82" t="s">
        <v>381</v>
      </c>
      <c r="J2" s="82" t="s">
        <v>382</v>
      </c>
      <c r="K2" s="82" t="s">
        <v>407</v>
      </c>
      <c r="L2" s="82" t="s">
        <v>383</v>
      </c>
      <c r="M2" s="39" t="s">
        <v>384</v>
      </c>
      <c r="N2" s="50" t="s">
        <v>313</v>
      </c>
      <c r="O2" s="50" t="s">
        <v>385</v>
      </c>
      <c r="P2" s="50" t="s">
        <v>308</v>
      </c>
      <c r="Q2" s="50" t="s">
        <v>386</v>
      </c>
      <c r="R2" s="82" t="s">
        <v>387</v>
      </c>
      <c r="S2" s="143" t="s">
        <v>388</v>
      </c>
      <c r="T2" s="50" t="s">
        <v>381</v>
      </c>
      <c r="U2" s="50" t="s">
        <v>382</v>
      </c>
    </row>
    <row r="3" spans="2:21" ht="90" x14ac:dyDescent="0.25">
      <c r="B3" s="50">
        <v>10</v>
      </c>
      <c r="C3" s="49" t="s">
        <v>329</v>
      </c>
      <c r="D3" s="37"/>
      <c r="E3" s="51"/>
      <c r="F3" s="37">
        <v>15.21</v>
      </c>
      <c r="G3" s="38"/>
      <c r="H3" s="38"/>
      <c r="I3" s="38"/>
      <c r="J3" s="58">
        <f>IF((G3&gt;F3),0,F3-G3)</f>
        <v>15.21</v>
      </c>
      <c r="K3" s="39"/>
      <c r="L3" s="59"/>
      <c r="M3" s="39"/>
      <c r="N3" s="39" t="s">
        <v>28</v>
      </c>
      <c r="O3" s="51"/>
      <c r="P3" s="58">
        <f t="shared" ref="P3:P8" si="0">SUM(J3:K3)</f>
        <v>15.21</v>
      </c>
      <c r="Q3" s="51"/>
      <c r="R3" s="51"/>
      <c r="S3" s="144"/>
      <c r="T3" s="38">
        <f>'[3]Capitalization 19-20'!$H$14</f>
        <v>0.74999999999999989</v>
      </c>
      <c r="U3" s="38">
        <f>'[3]Capitalization 19-20'!$G$14</f>
        <v>0.5</v>
      </c>
    </row>
    <row r="4" spans="2:21" ht="75" x14ac:dyDescent="0.25">
      <c r="B4" s="50">
        <v>15</v>
      </c>
      <c r="C4" s="37" t="s">
        <v>332</v>
      </c>
      <c r="D4" s="37"/>
      <c r="E4" s="51"/>
      <c r="F4" s="61">
        <v>26.49</v>
      </c>
      <c r="G4" s="38"/>
      <c r="H4" s="38"/>
      <c r="I4" s="38"/>
      <c r="J4" s="58">
        <f>IF((G4&gt;F4),0,F4-G4)</f>
        <v>26.49</v>
      </c>
      <c r="K4" s="39"/>
      <c r="L4" s="59"/>
      <c r="M4" s="40"/>
      <c r="N4" s="60" t="s">
        <v>14</v>
      </c>
      <c r="O4" s="51"/>
      <c r="P4" s="58">
        <f t="shared" si="0"/>
        <v>26.49</v>
      </c>
      <c r="Q4" s="51"/>
      <c r="R4" s="51"/>
      <c r="S4" s="144"/>
      <c r="T4" s="113">
        <f>'[3]Capitalization 19-20'!$H$19</f>
        <v>6.3</v>
      </c>
      <c r="U4" s="113">
        <f>'[3]Capitalization 19-20'!$G$19</f>
        <v>6.4399999999999977</v>
      </c>
    </row>
    <row r="5" spans="2:21" ht="60" x14ac:dyDescent="0.25">
      <c r="B5" s="50">
        <v>16</v>
      </c>
      <c r="C5" s="37" t="s">
        <v>336</v>
      </c>
      <c r="D5" s="37"/>
      <c r="E5" s="51"/>
      <c r="F5" s="61">
        <v>67.17</v>
      </c>
      <c r="G5" s="38"/>
      <c r="H5" s="38"/>
      <c r="I5" s="38"/>
      <c r="J5" s="58">
        <f>IF((G5&gt;F5),0,F5-G5)</f>
        <v>67.17</v>
      </c>
      <c r="K5" s="39"/>
      <c r="L5" s="59"/>
      <c r="M5" s="40"/>
      <c r="N5" s="60" t="s">
        <v>14</v>
      </c>
      <c r="O5" s="51"/>
      <c r="P5" s="58">
        <f t="shared" si="0"/>
        <v>67.17</v>
      </c>
      <c r="Q5" s="51"/>
      <c r="R5" s="51"/>
      <c r="S5" s="144"/>
      <c r="T5" s="113">
        <f>'[3]Capitalization 19-20'!$H$20</f>
        <v>0</v>
      </c>
      <c r="U5" s="113">
        <f>'[3]Capitalization 19-20'!$G$20</f>
        <v>10.370000000000005</v>
      </c>
    </row>
    <row r="6" spans="2:21" ht="90" x14ac:dyDescent="0.25">
      <c r="B6" s="50">
        <v>17</v>
      </c>
      <c r="C6" s="37" t="s">
        <v>337</v>
      </c>
      <c r="D6" s="37"/>
      <c r="E6" s="51"/>
      <c r="F6" s="61">
        <v>16.690000000000001</v>
      </c>
      <c r="G6" s="38"/>
      <c r="H6" s="38"/>
      <c r="I6" s="38"/>
      <c r="J6" s="58">
        <f>IF((G6&gt;F6),0,F6-G6)</f>
        <v>16.690000000000001</v>
      </c>
      <c r="K6" s="39"/>
      <c r="L6" s="59"/>
      <c r="M6" s="40"/>
      <c r="N6" s="60" t="s">
        <v>14</v>
      </c>
      <c r="O6" s="51"/>
      <c r="P6" s="58">
        <f t="shared" si="0"/>
        <v>16.690000000000001</v>
      </c>
      <c r="Q6" s="51"/>
      <c r="R6" s="51"/>
      <c r="S6" s="144"/>
      <c r="T6" s="113">
        <f>'[3]Capitalization 19-20'!$H$21</f>
        <v>0</v>
      </c>
      <c r="U6" s="113">
        <f>'[3]Capitalization 19-20'!$G$21</f>
        <v>1.7800000000000011</v>
      </c>
    </row>
    <row r="7" spans="2:21" ht="60" x14ac:dyDescent="0.25">
      <c r="B7" s="50">
        <v>29</v>
      </c>
      <c r="C7" s="37" t="s">
        <v>341</v>
      </c>
      <c r="D7" s="37"/>
      <c r="E7" s="51"/>
      <c r="F7" s="37">
        <v>35.24</v>
      </c>
      <c r="G7" s="38"/>
      <c r="H7" s="38"/>
      <c r="I7" s="38"/>
      <c r="J7" s="38">
        <f>F7</f>
        <v>35.24</v>
      </c>
      <c r="K7" s="39"/>
      <c r="L7" s="59"/>
      <c r="M7" s="39"/>
      <c r="N7" s="39" t="s">
        <v>28</v>
      </c>
      <c r="O7" s="51"/>
      <c r="P7" s="58">
        <f t="shared" si="0"/>
        <v>35.24</v>
      </c>
      <c r="Q7" s="51"/>
      <c r="R7" s="51"/>
      <c r="S7" s="144"/>
      <c r="T7" s="113">
        <f>'[3]Capitalization 19-20'!$H$33</f>
        <v>2.8</v>
      </c>
      <c r="U7" s="113">
        <f>'[3]Capitalization 19-20'!$G$33</f>
        <v>16.440000000000001</v>
      </c>
    </row>
    <row r="8" spans="2:21" ht="105" x14ac:dyDescent="0.25">
      <c r="B8" s="50">
        <v>39</v>
      </c>
      <c r="C8" s="37" t="s">
        <v>347</v>
      </c>
      <c r="D8" s="37"/>
      <c r="E8" s="51"/>
      <c r="F8" s="37">
        <v>106.38</v>
      </c>
      <c r="G8" s="38"/>
      <c r="H8" s="38"/>
      <c r="I8" s="38"/>
      <c r="J8" s="38">
        <f>F8</f>
        <v>106.38</v>
      </c>
      <c r="K8" s="39"/>
      <c r="L8" s="70"/>
      <c r="M8" s="40"/>
      <c r="N8" s="39" t="s">
        <v>28</v>
      </c>
      <c r="O8" s="51"/>
      <c r="P8" s="58">
        <f t="shared" si="0"/>
        <v>106.38</v>
      </c>
      <c r="Q8" s="51"/>
      <c r="R8" s="51"/>
      <c r="S8" s="144"/>
      <c r="T8" s="113">
        <f>'[3]Capitalization 19-20'!$H$43</f>
        <v>2.0099999999999998</v>
      </c>
      <c r="U8" s="113">
        <f>'[3]Capitalization 19-20'!$G$43</f>
        <v>6.2799999999999869</v>
      </c>
    </row>
    <row r="9" spans="2:21" s="119" customFormat="1" hidden="1" x14ac:dyDescent="0.25">
      <c r="T9" s="128"/>
      <c r="U9" s="128"/>
    </row>
    <row r="10" spans="2:21" s="119" customFormat="1" hidden="1" x14ac:dyDescent="0.25">
      <c r="T10" s="128"/>
      <c r="U10" s="128"/>
    </row>
    <row r="11" spans="2:21" s="119" customFormat="1" hidden="1" x14ac:dyDescent="0.25">
      <c r="T11" s="128"/>
      <c r="U11" s="128"/>
    </row>
    <row r="12" spans="2:21" s="119" customFormat="1" hidden="1" x14ac:dyDescent="0.25">
      <c r="T12" s="128"/>
      <c r="U12" s="128"/>
    </row>
    <row r="13" spans="2:21" ht="90" x14ac:dyDescent="0.25">
      <c r="B13" s="50">
        <v>51</v>
      </c>
      <c r="C13" s="37" t="s">
        <v>355</v>
      </c>
      <c r="D13" s="37"/>
      <c r="E13" s="51"/>
      <c r="F13" s="37">
        <f>[1]Sheet2!$G$52</f>
        <v>65.67</v>
      </c>
      <c r="G13" s="51"/>
      <c r="H13" s="38"/>
      <c r="I13" s="38"/>
      <c r="J13" s="39">
        <f>F13</f>
        <v>65.67</v>
      </c>
      <c r="K13" s="51"/>
      <c r="L13" s="39"/>
      <c r="M13" s="39"/>
      <c r="N13" s="39" t="s">
        <v>258</v>
      </c>
      <c r="P13" s="70"/>
      <c r="Q13" s="38">
        <f>J13</f>
        <v>65.67</v>
      </c>
      <c r="R13" s="51"/>
      <c r="S13" s="144"/>
      <c r="T13" s="38">
        <f>'[3]Capitalization 19-20'!$H$55</f>
        <v>0</v>
      </c>
      <c r="U13" s="113">
        <f>'[3]Capitalization 19-20'!$G$55</f>
        <v>8.5799999999999983</v>
      </c>
    </row>
    <row r="14" spans="2:21" s="119" customFormat="1" hidden="1" x14ac:dyDescent="0.25">
      <c r="T14" s="124"/>
      <c r="U14" s="124"/>
    </row>
    <row r="15" spans="2:21" s="119" customFormat="1" hidden="1" x14ac:dyDescent="0.25">
      <c r="T15" s="124"/>
      <c r="U15" s="124"/>
    </row>
    <row r="16" spans="2:21" s="119" customFormat="1" hidden="1" x14ac:dyDescent="0.25">
      <c r="T16" s="124"/>
      <c r="U16" s="124"/>
    </row>
    <row r="17" spans="2:22" ht="30" x14ac:dyDescent="0.25">
      <c r="B17" s="50">
        <v>62</v>
      </c>
      <c r="C17" s="96" t="s">
        <v>363</v>
      </c>
      <c r="D17" s="41"/>
      <c r="E17" s="111">
        <v>31.69</v>
      </c>
      <c r="F17" s="38">
        <v>31.69</v>
      </c>
      <c r="G17" s="51"/>
      <c r="H17" s="51"/>
      <c r="I17" s="51"/>
      <c r="J17" s="38">
        <f>E17</f>
        <v>31.69</v>
      </c>
      <c r="K17" s="51"/>
      <c r="L17" s="39"/>
      <c r="M17" s="39"/>
      <c r="N17" s="39" t="s">
        <v>14</v>
      </c>
      <c r="O17" s="38"/>
      <c r="P17" s="38">
        <f>SUM(J17:J17)</f>
        <v>31.69</v>
      </c>
      <c r="Q17" s="51"/>
      <c r="R17" s="51"/>
      <c r="S17" s="144"/>
      <c r="T17" s="38">
        <f>'[3]Capitalization 19-20'!$H$66</f>
        <v>7.69</v>
      </c>
      <c r="U17" s="38">
        <f>'[3]Capitalization 19-20'!$G$66</f>
        <v>13.879999999999999</v>
      </c>
    </row>
    <row r="18" spans="2:22" s="119" customFormat="1" ht="30" x14ac:dyDescent="0.25">
      <c r="B18" s="123">
        <v>63</v>
      </c>
      <c r="C18" s="97" t="s">
        <v>265</v>
      </c>
      <c r="D18" s="41"/>
      <c r="E18" s="41">
        <v>81.06</v>
      </c>
      <c r="F18" s="118"/>
      <c r="G18" s="124"/>
      <c r="H18" s="118"/>
      <c r="I18" s="124"/>
      <c r="J18" s="118">
        <f>E18</f>
        <v>81.06</v>
      </c>
      <c r="K18" s="124"/>
      <c r="L18" s="124"/>
      <c r="M18" s="121"/>
      <c r="N18" s="125" t="s">
        <v>36</v>
      </c>
      <c r="O18" s="38">
        <f>(J18+K18+R18)*86%</f>
        <v>79.89120641572481</v>
      </c>
      <c r="P18" s="38">
        <f>(J18+K18+R18)*14%</f>
        <v>13.005545230466831</v>
      </c>
      <c r="Q18" s="124"/>
      <c r="R18" s="126">
        <f>J18/SUM('Capitalization 19-20'!$I$23,'Capitalization 19-20'!$I$24,'Capitalization 19-20'!$I$25,'Capitalization 19-20'!$I$26,'Capitalization 19-20'!$I$32,'Capitalization 19-20'!$I$33,'Capitalization 19-20'!$I$34,$J$18,$J$19,'Capitalization 19-20'!$I$38,'Capitalization 19-20'!$I$39,'Capitalization 19-20'!$I$40,'Capitalization 20-21'!$I$20)*74.29</f>
        <v>11.836751646191647</v>
      </c>
      <c r="S18" s="145"/>
      <c r="T18" s="118">
        <f>'[5]Capitalization 19-20'!$H$29</f>
        <v>24.89</v>
      </c>
      <c r="U18" s="118">
        <f>[1]Sheet2!$G$64-[1]Sheet2!$H$64-[1]Sheet2!$I$64</f>
        <v>16.68</v>
      </c>
    </row>
    <row r="19" spans="2:22" s="119" customFormat="1" x14ac:dyDescent="0.25">
      <c r="B19" s="123">
        <v>64</v>
      </c>
      <c r="C19" s="97" t="s">
        <v>364</v>
      </c>
      <c r="D19" s="41"/>
      <c r="E19" s="41">
        <v>41.52</v>
      </c>
      <c r="F19" s="118"/>
      <c r="G19" s="124"/>
      <c r="H19" s="118"/>
      <c r="I19" s="124"/>
      <c r="J19" s="118">
        <f>E19</f>
        <v>41.52</v>
      </c>
      <c r="K19" s="124"/>
      <c r="L19" s="124"/>
      <c r="M19" s="121"/>
      <c r="N19" s="125" t="s">
        <v>36</v>
      </c>
      <c r="O19" s="38">
        <f>(J19+K19+R19)*86%</f>
        <v>40.92132852678133</v>
      </c>
      <c r="P19" s="38">
        <f>(J19+K19+R19)*14%</f>
        <v>6.6616116206388218</v>
      </c>
      <c r="Q19" s="124"/>
      <c r="R19" s="126">
        <f>J19/SUM('Capitalization 19-20'!$I$23,'Capitalization 19-20'!$I$24,'Capitalization 19-20'!$I$25,'Capitalization 19-20'!$I$26,'Capitalization 19-20'!$I$32,'Capitalization 19-20'!$I$33,'Capitalization 19-20'!$I$34,$J$18,$J$19,'Capitalization 19-20'!$I$38,'Capitalization 19-20'!$I$39,'Capitalization 19-20'!$I$40,'Capitalization 20-21'!$I$20)*74.29</f>
        <v>6.0629401474201483</v>
      </c>
      <c r="S19" s="145"/>
      <c r="T19" s="118">
        <f>'[5]Capitalization 19-20'!$H$30</f>
        <v>0.8</v>
      </c>
      <c r="U19" s="118">
        <f>[1]Sheet2!$G$65-[1]Sheet2!$H$65-[1]Sheet2!$I$65</f>
        <v>18.500000000000004</v>
      </c>
    </row>
    <row r="20" spans="2:22" ht="45" x14ac:dyDescent="0.25">
      <c r="B20" s="50">
        <v>68</v>
      </c>
      <c r="C20" s="96" t="s">
        <v>366</v>
      </c>
      <c r="D20" s="96"/>
      <c r="E20" s="111">
        <v>21.5</v>
      </c>
      <c r="F20" s="38">
        <v>21.5</v>
      </c>
      <c r="G20" s="51"/>
      <c r="H20" s="51"/>
      <c r="I20" s="109">
        <f>E20</f>
        <v>21.5</v>
      </c>
      <c r="J20" s="38">
        <f>I20</f>
        <v>21.5</v>
      </c>
      <c r="K20" s="51"/>
      <c r="L20" s="51"/>
      <c r="M20" s="51"/>
      <c r="N20" s="39" t="s">
        <v>36</v>
      </c>
      <c r="O20" s="38">
        <f>(J20+K20+R20)*86%</f>
        <v>21.1899942997543</v>
      </c>
      <c r="P20" s="38">
        <f>(J20+K20+R20)*14%</f>
        <v>3.4495339557739562</v>
      </c>
      <c r="Q20" s="51"/>
      <c r="R20" s="40">
        <f>I20/SUM('Capitalization 19-20'!$I$23,'Capitalization 19-20'!$I$24,'Capitalization 19-20'!$I$25,'Capitalization 19-20'!$I$26,'Capitalization 19-20'!$I$32,'Capitalization 19-20'!$I$33,'Capitalization 19-20'!$I$34,'Capitalization 20-21'!$J$18,'Capitalization 20-21'!$J$19,'Capitalization 19-20'!$I$38,'Capitalization 19-20'!$I$39,'Capitalization 19-20'!$I$40,$I$20)*74.29</f>
        <v>3.1395282555282558</v>
      </c>
      <c r="S20" s="144"/>
      <c r="T20" s="38">
        <f>'[3]Capitalization 19-20'!$H$72</f>
        <v>8.34</v>
      </c>
      <c r="U20" s="38">
        <f>'[3]Capitalization 19-20'!$G$72</f>
        <v>5.75</v>
      </c>
    </row>
    <row r="21" spans="2:22" ht="90" x14ac:dyDescent="0.25">
      <c r="B21" s="50">
        <v>71</v>
      </c>
      <c r="C21" s="96" t="s">
        <v>369</v>
      </c>
      <c r="D21" s="96"/>
      <c r="E21" s="111">
        <v>70</v>
      </c>
      <c r="F21" s="38">
        <v>70</v>
      </c>
      <c r="G21" s="51"/>
      <c r="H21" s="51"/>
      <c r="I21" s="38">
        <f>E21</f>
        <v>70</v>
      </c>
      <c r="J21" s="38">
        <f>I21</f>
        <v>70</v>
      </c>
      <c r="K21" s="51"/>
      <c r="L21" s="39"/>
      <c r="M21" s="39"/>
      <c r="N21" s="39" t="s">
        <v>14</v>
      </c>
      <c r="O21" s="38"/>
      <c r="P21" s="38">
        <f>SUM(J21:K21)</f>
        <v>70</v>
      </c>
      <c r="Q21" s="51"/>
      <c r="R21" s="51"/>
      <c r="S21" s="144"/>
      <c r="T21" s="38">
        <f>'[3]Capitalization 19-20'!$H$75</f>
        <v>39.11</v>
      </c>
      <c r="U21" s="38">
        <f>'[3]Capitalization 19-20'!$G$75</f>
        <v>9.8700000000000045</v>
      </c>
    </row>
    <row r="22" spans="2:22" ht="135" x14ac:dyDescent="0.25">
      <c r="B22" s="64">
        <v>73</v>
      </c>
      <c r="C22" s="65" t="s">
        <v>371</v>
      </c>
      <c r="D22" s="65"/>
      <c r="E22" s="51"/>
      <c r="F22" s="73">
        <v>69.55</v>
      </c>
      <c r="G22" s="51"/>
      <c r="H22" s="51"/>
      <c r="I22" s="51"/>
      <c r="J22" s="66">
        <f>F22-T22</f>
        <v>64.63</v>
      </c>
      <c r="K22" s="51"/>
      <c r="L22" s="67"/>
      <c r="M22" s="67"/>
      <c r="N22" s="67" t="s">
        <v>14</v>
      </c>
      <c r="O22" s="66"/>
      <c r="P22" s="38">
        <f>SUM(J22:J22)</f>
        <v>64.63</v>
      </c>
      <c r="Q22" s="51"/>
      <c r="R22" s="51"/>
      <c r="S22" s="144"/>
      <c r="T22" s="66">
        <f>'[3]Capitalization 19-20'!$H$77</f>
        <v>4.92</v>
      </c>
      <c r="U22" s="66">
        <f>'[3]Capitalization 19-20'!$G$77</f>
        <v>22.889999999999993</v>
      </c>
      <c r="V22" s="110"/>
    </row>
    <row r="23" spans="2:22" ht="45" x14ac:dyDescent="0.25">
      <c r="B23" s="72">
        <v>74</v>
      </c>
      <c r="C23" s="96" t="s">
        <v>372</v>
      </c>
      <c r="D23" s="96"/>
      <c r="E23" s="51"/>
      <c r="F23" s="41">
        <v>15.9</v>
      </c>
      <c r="G23" s="51"/>
      <c r="H23" s="51"/>
      <c r="I23" s="51"/>
      <c r="J23" s="58">
        <f>F23</f>
        <v>15.9</v>
      </c>
      <c r="K23" s="51"/>
      <c r="L23" s="60"/>
      <c r="M23" s="60"/>
      <c r="N23" s="60" t="s">
        <v>28</v>
      </c>
      <c r="O23" s="58"/>
      <c r="P23" s="38">
        <f>SUM(J23:J23)</f>
        <v>15.9</v>
      </c>
      <c r="Q23" s="51"/>
      <c r="R23" s="51"/>
      <c r="S23" s="144"/>
      <c r="T23" s="58">
        <f>'[3]Capitalization 19-20'!$H$78</f>
        <v>0.49</v>
      </c>
      <c r="U23" s="58"/>
    </row>
    <row r="24" spans="2:22" ht="90" x14ac:dyDescent="0.25">
      <c r="B24" s="50">
        <v>77</v>
      </c>
      <c r="C24" s="96" t="s">
        <v>375</v>
      </c>
      <c r="D24" s="41"/>
      <c r="E24" s="51"/>
      <c r="F24" s="41">
        <v>106.5</v>
      </c>
      <c r="G24" s="38"/>
      <c r="H24" s="51"/>
      <c r="I24" s="51"/>
      <c r="J24" s="38">
        <f>[1]Sheet2!$H$78+[1]Sheet2!$I$78</f>
        <v>109.61</v>
      </c>
      <c r="K24" s="51"/>
      <c r="L24" s="39"/>
      <c r="M24" s="39"/>
      <c r="N24" s="39" t="s">
        <v>14</v>
      </c>
      <c r="O24" s="38"/>
      <c r="P24" s="38">
        <f>SUM(J24:J24)</f>
        <v>109.61</v>
      </c>
      <c r="Q24" s="51"/>
      <c r="R24" s="51"/>
      <c r="S24" s="144"/>
      <c r="T24" s="113">
        <f>'[3]Capitalization 19-20'!$H$81</f>
        <v>23.45</v>
      </c>
      <c r="U24" s="38">
        <f>'[3]Capitalization 19-20'!$G$81</f>
        <v>0</v>
      </c>
    </row>
    <row r="25" spans="2:22" ht="90" x14ac:dyDescent="0.25">
      <c r="B25" s="50">
        <v>79</v>
      </c>
      <c r="C25" s="96" t="s">
        <v>377</v>
      </c>
      <c r="D25" s="41"/>
      <c r="E25" s="51"/>
      <c r="F25" s="41">
        <v>19.399999999999999</v>
      </c>
      <c r="G25" s="51"/>
      <c r="H25" s="51"/>
      <c r="I25" s="51"/>
      <c r="J25" s="39">
        <f>F25</f>
        <v>19.399999999999999</v>
      </c>
      <c r="K25" s="51"/>
      <c r="L25" s="39"/>
      <c r="M25" s="39"/>
      <c r="N25" s="39" t="s">
        <v>14</v>
      </c>
      <c r="O25" s="38"/>
      <c r="P25" s="38">
        <f>SUM(J25:J25)</f>
        <v>19.399999999999999</v>
      </c>
      <c r="Q25" s="51"/>
      <c r="R25" s="51"/>
      <c r="S25" s="144"/>
      <c r="T25" s="38">
        <f>'[3]Capitalization 19-20'!$H$83</f>
        <v>1.25</v>
      </c>
      <c r="U25" s="38">
        <f>'[3]Capitalization 19-20'!$G$83</f>
        <v>5.0499999999999989</v>
      </c>
    </row>
    <row r="26" spans="2:22" x14ac:dyDescent="0.25">
      <c r="B26" s="50"/>
      <c r="C26" s="97"/>
      <c r="D26" s="41"/>
      <c r="E26" s="51"/>
      <c r="F26" s="41"/>
      <c r="G26" s="51"/>
      <c r="H26" s="51"/>
      <c r="I26" s="51"/>
      <c r="J26" s="38">
        <f>SUM(J3:J25)</f>
        <v>788.16</v>
      </c>
      <c r="K26" s="38">
        <f>SUM(K3:K25)</f>
        <v>0</v>
      </c>
      <c r="L26" s="39"/>
      <c r="M26" s="39"/>
      <c r="N26" s="39"/>
      <c r="O26" s="38">
        <f>SUM(O3:O25)</f>
        <v>142.00252924226044</v>
      </c>
      <c r="P26" s="38">
        <f>SUM(P3:P25)</f>
        <v>601.52669080687963</v>
      </c>
      <c r="Q26" s="38">
        <f>SUM(Q3:Q25)</f>
        <v>65.67</v>
      </c>
      <c r="R26" s="38">
        <f>SUM(R3:R25)</f>
        <v>21.039220049140049</v>
      </c>
      <c r="S26" s="51"/>
      <c r="T26" s="38">
        <f>SUM(T3:T25)</f>
        <v>122.8</v>
      </c>
      <c r="U26" s="38">
        <f>SUM(U3:U25)</f>
        <v>143.01</v>
      </c>
    </row>
    <row r="27" spans="2:22" x14ac:dyDescent="0.25">
      <c r="B27" s="127"/>
      <c r="C27" s="136"/>
      <c r="D27" s="137"/>
      <c r="E27" s="138"/>
      <c r="F27" s="137"/>
      <c r="G27" s="138"/>
      <c r="H27" s="138"/>
      <c r="I27" s="138"/>
      <c r="J27" s="139"/>
      <c r="K27" s="139"/>
      <c r="L27" s="140"/>
      <c r="M27" s="140"/>
      <c r="N27" s="140"/>
      <c r="O27" s="139"/>
      <c r="P27" s="139"/>
      <c r="Q27" s="139"/>
      <c r="R27" s="139"/>
      <c r="S27" s="138"/>
      <c r="T27" s="139"/>
      <c r="U27" s="139"/>
      <c r="V27" s="138"/>
    </row>
    <row r="28" spans="2:22" x14ac:dyDescent="0.25">
      <c r="B28" s="127"/>
      <c r="C28" s="136"/>
      <c r="D28" s="137"/>
      <c r="E28" s="137"/>
      <c r="F28" s="139"/>
      <c r="G28" s="139"/>
      <c r="H28" s="139"/>
      <c r="I28" s="140"/>
      <c r="J28" s="139"/>
      <c r="K28" s="140"/>
      <c r="L28" s="140"/>
      <c r="M28" s="140"/>
      <c r="N28" s="139"/>
      <c r="O28" s="139"/>
      <c r="P28" s="136"/>
      <c r="Q28" s="138"/>
      <c r="R28" s="138"/>
      <c r="S28" s="138"/>
      <c r="T28" s="141"/>
      <c r="U28" s="138"/>
      <c r="V28" s="138"/>
    </row>
    <row r="29" spans="2:22" x14ac:dyDescent="0.25">
      <c r="B29" s="138"/>
      <c r="C29" s="140"/>
      <c r="D29" s="127"/>
      <c r="E29" s="142"/>
      <c r="F29" s="142"/>
      <c r="G29" s="142"/>
      <c r="H29" s="142"/>
      <c r="I29" s="142"/>
      <c r="J29" s="142"/>
      <c r="K29" s="142"/>
      <c r="L29" s="142"/>
      <c r="M29" s="140"/>
      <c r="N29" s="127"/>
      <c r="O29" s="127"/>
      <c r="P29" s="127"/>
      <c r="Q29" s="127"/>
      <c r="R29" s="142"/>
      <c r="S29" s="142"/>
      <c r="T29" s="138"/>
      <c r="U29" s="138"/>
      <c r="V29" s="138"/>
    </row>
    <row r="30" spans="2:22" s="98" customFormat="1" ht="51" customHeight="1" x14ac:dyDescent="0.25">
      <c r="C30" s="129" t="s">
        <v>390</v>
      </c>
      <c r="D30" s="130" t="s">
        <v>389</v>
      </c>
      <c r="E30" s="131">
        <v>39.799999999999997</v>
      </c>
      <c r="F30" s="131">
        <v>35.99</v>
      </c>
      <c r="G30" s="131">
        <f>'[6]Table 22'!$E$7</f>
        <v>12</v>
      </c>
      <c r="H30" s="131">
        <f>'[6]Table 22'!G7</f>
        <v>0</v>
      </c>
      <c r="I30" s="131">
        <f>F30*70%</f>
        <v>25.193000000000001</v>
      </c>
      <c r="J30" s="131">
        <f>F30*30%</f>
        <v>10.797000000000001</v>
      </c>
      <c r="K30" s="131"/>
      <c r="L30" s="132">
        <v>43952</v>
      </c>
      <c r="M30" s="133" t="s">
        <v>382</v>
      </c>
      <c r="N30" s="134"/>
      <c r="O30" s="135">
        <f>(F30+R30+S30)*80%</f>
        <v>30.888057600000003</v>
      </c>
      <c r="P30" s="135">
        <f>(F30+R30+S30)*20%</f>
        <v>7.7220144000000008</v>
      </c>
      <c r="Q30" s="134"/>
      <c r="R30" s="135">
        <f t="shared" ref="R30:R34" si="1">(I30*80%)*10.5%</f>
        <v>2.116212</v>
      </c>
      <c r="S30" s="135">
        <f>((SUM(I30:J30)*80%)*10.5%)/12*2</f>
        <v>0.50385999999999997</v>
      </c>
    </row>
    <row r="31" spans="2:22" s="98" customFormat="1" ht="60" x14ac:dyDescent="0.25">
      <c r="C31" s="99" t="s">
        <v>391</v>
      </c>
      <c r="D31" s="100" t="s">
        <v>389</v>
      </c>
      <c r="E31" s="101">
        <v>98.27</v>
      </c>
      <c r="F31" s="101">
        <f>[7]Capex!$F$28</f>
        <v>86.6</v>
      </c>
      <c r="G31" s="101">
        <f>'[6]Table 22'!E8</f>
        <v>37.5</v>
      </c>
      <c r="H31" s="101">
        <f>'[6]Table 22'!G8</f>
        <v>0</v>
      </c>
      <c r="I31" s="101">
        <f>F31*60%</f>
        <v>51.959999999999994</v>
      </c>
      <c r="J31" s="101">
        <f>F31*40%</f>
        <v>34.64</v>
      </c>
      <c r="K31" s="101"/>
      <c r="L31" s="102">
        <v>44013</v>
      </c>
      <c r="M31" s="103" t="s">
        <v>382</v>
      </c>
      <c r="N31" s="104"/>
      <c r="O31" s="105">
        <f t="shared" ref="O31:O40" si="2">(F31+R31+S31)*80%</f>
        <v>74.711551999999998</v>
      </c>
      <c r="P31" s="105">
        <f t="shared" ref="P31:P40" si="3">(F31+R31+S31)*20%</f>
        <v>18.677887999999999</v>
      </c>
      <c r="Q31" s="104"/>
      <c r="R31" s="105">
        <f t="shared" si="1"/>
        <v>4.3646399999999996</v>
      </c>
      <c r="S31" s="105">
        <f>((SUM(I31:J31)*80%)*10.5%)/12*4</f>
        <v>2.4247999999999998</v>
      </c>
    </row>
    <row r="32" spans="2:22" s="98" customFormat="1" ht="135" x14ac:dyDescent="0.25">
      <c r="C32" s="99" t="s">
        <v>392</v>
      </c>
      <c r="D32" s="100" t="s">
        <v>389</v>
      </c>
      <c r="E32" s="101">
        <v>87.86</v>
      </c>
      <c r="F32" s="101">
        <f>[8]Capex!$F$18</f>
        <v>75.22</v>
      </c>
      <c r="G32" s="101"/>
      <c r="H32" s="101"/>
      <c r="I32" s="101">
        <f>F32*70%</f>
        <v>52.653999999999996</v>
      </c>
      <c r="J32" s="101">
        <f>F32*30%</f>
        <v>22.565999999999999</v>
      </c>
      <c r="K32" s="101"/>
      <c r="L32" s="102">
        <v>43983</v>
      </c>
      <c r="M32" s="103" t="s">
        <v>382</v>
      </c>
      <c r="N32" s="104"/>
      <c r="O32" s="105">
        <f t="shared" si="2"/>
        <v>64.978044800000006</v>
      </c>
      <c r="P32" s="105">
        <f t="shared" si="3"/>
        <v>16.244511200000002</v>
      </c>
      <c r="Q32" s="104"/>
      <c r="R32" s="105">
        <f t="shared" si="1"/>
        <v>4.4229359999999991</v>
      </c>
      <c r="S32" s="105">
        <f>((SUM(I32:J32)*80%)*10.5%)/12*3</f>
        <v>1.57962</v>
      </c>
    </row>
    <row r="33" spans="3:20" s="98" customFormat="1" ht="90" x14ac:dyDescent="0.25">
      <c r="C33" s="99" t="s">
        <v>393</v>
      </c>
      <c r="D33" s="100" t="s">
        <v>389</v>
      </c>
      <c r="E33" s="101">
        <v>114</v>
      </c>
      <c r="F33" s="101">
        <v>93.37</v>
      </c>
      <c r="G33" s="101"/>
      <c r="H33" s="101"/>
      <c r="I33" s="101">
        <f>F33*70%</f>
        <v>65.358999999999995</v>
      </c>
      <c r="J33" s="101">
        <f>F33*30%</f>
        <v>28.010999999999999</v>
      </c>
      <c r="K33" s="101"/>
      <c r="L33" s="102">
        <v>43952</v>
      </c>
      <c r="M33" s="103" t="s">
        <v>382</v>
      </c>
      <c r="N33" s="104"/>
      <c r="O33" s="105">
        <f t="shared" si="2"/>
        <v>80.133868800000016</v>
      </c>
      <c r="P33" s="105">
        <f t="shared" si="3"/>
        <v>20.033467200000004</v>
      </c>
      <c r="Q33" s="104"/>
      <c r="R33" s="105">
        <f t="shared" si="1"/>
        <v>5.4901559999999998</v>
      </c>
      <c r="S33" s="105">
        <f>((SUM(I33:J33)*80%)*10.5%)/12*2</f>
        <v>1.30718</v>
      </c>
    </row>
    <row r="34" spans="3:20" s="98" customFormat="1" ht="90" x14ac:dyDescent="0.25">
      <c r="C34" s="99" t="s">
        <v>394</v>
      </c>
      <c r="D34" s="100" t="s">
        <v>389</v>
      </c>
      <c r="E34" s="101">
        <v>40.18</v>
      </c>
      <c r="F34" s="101">
        <f>[8]Capex!$F$13</f>
        <v>34.74</v>
      </c>
      <c r="G34" s="101"/>
      <c r="H34" s="101"/>
      <c r="I34" s="101">
        <f>F34*65%</f>
        <v>22.581000000000003</v>
      </c>
      <c r="J34" s="101">
        <f>F34*35%</f>
        <v>12.159000000000001</v>
      </c>
      <c r="K34" s="101"/>
      <c r="L34" s="102">
        <v>43983</v>
      </c>
      <c r="M34" s="103" t="s">
        <v>382</v>
      </c>
      <c r="N34" s="104"/>
      <c r="O34" s="105">
        <f t="shared" si="2"/>
        <v>29.893075200000006</v>
      </c>
      <c r="P34" s="105">
        <f t="shared" si="3"/>
        <v>7.4732688000000014</v>
      </c>
      <c r="Q34" s="104"/>
      <c r="R34" s="105">
        <f t="shared" si="1"/>
        <v>1.8968040000000002</v>
      </c>
      <c r="S34" s="105">
        <f>((SUM(I34:J34)*80%)*10.5%)/12*3</f>
        <v>0.72953999999999997</v>
      </c>
    </row>
    <row r="35" spans="3:20" s="98" customFormat="1" ht="231" customHeight="1" x14ac:dyDescent="0.25">
      <c r="C35" s="99" t="s">
        <v>395</v>
      </c>
      <c r="D35" s="100" t="s">
        <v>389</v>
      </c>
      <c r="E35" s="101">
        <v>103.14</v>
      </c>
      <c r="F35" s="101">
        <v>86.24</v>
      </c>
      <c r="G35" s="101"/>
      <c r="H35" s="101"/>
      <c r="I35" s="101">
        <f>F35*78%</f>
        <v>67.267200000000003</v>
      </c>
      <c r="J35" s="101">
        <f>F35*22%</f>
        <v>18.972799999999999</v>
      </c>
      <c r="K35" s="101"/>
      <c r="L35" s="102">
        <v>43952</v>
      </c>
      <c r="M35" s="103" t="s">
        <v>382</v>
      </c>
      <c r="N35" s="104"/>
      <c r="O35" s="105">
        <f t="shared" si="2"/>
        <v>74.47824383999999</v>
      </c>
      <c r="P35" s="105">
        <f t="shared" si="3"/>
        <v>18.619560959999998</v>
      </c>
      <c r="Q35" s="104"/>
      <c r="R35" s="105">
        <f t="shared" ref="R35" si="4">(I35*80%)*10.5%</f>
        <v>5.6504447999999998</v>
      </c>
      <c r="S35" s="105">
        <f t="shared" ref="S35" si="5">((SUM(I35:J35)*80%)*10.5%)/12*2</f>
        <v>1.20736</v>
      </c>
    </row>
    <row r="36" spans="3:20" s="98" customFormat="1" ht="90" x14ac:dyDescent="0.25">
      <c r="C36" s="99" t="s">
        <v>396</v>
      </c>
      <c r="D36" s="100" t="s">
        <v>389</v>
      </c>
      <c r="E36" s="101">
        <v>165.64</v>
      </c>
      <c r="F36" s="101">
        <v>132.38999999999999</v>
      </c>
      <c r="G36" s="101"/>
      <c r="H36" s="101"/>
      <c r="I36" s="101">
        <f>F36*60%</f>
        <v>79.433999999999983</v>
      </c>
      <c r="J36" s="101">
        <f>F36*40%</f>
        <v>52.955999999999996</v>
      </c>
      <c r="K36" s="101"/>
      <c r="L36" s="102">
        <v>43952</v>
      </c>
      <c r="M36" s="103" t="s">
        <v>382</v>
      </c>
      <c r="N36" s="104"/>
      <c r="O36" s="105">
        <f t="shared" si="2"/>
        <v>112.73273280000001</v>
      </c>
      <c r="P36" s="105">
        <f t="shared" si="3"/>
        <v>28.183183200000002</v>
      </c>
      <c r="Q36" s="104"/>
      <c r="R36" s="105">
        <f t="shared" ref="R36" si="6">(I36*80%)*10.5%</f>
        <v>6.6724559999999986</v>
      </c>
      <c r="S36" s="105">
        <f t="shared" ref="S36" si="7">((SUM(I36:J36)*80%)*10.5%)/12*2</f>
        <v>1.8534599999999999</v>
      </c>
    </row>
    <row r="37" spans="3:20" s="98" customFormat="1" ht="105" x14ac:dyDescent="0.25">
      <c r="C37" s="99" t="s">
        <v>397</v>
      </c>
      <c r="D37" s="100" t="s">
        <v>389</v>
      </c>
      <c r="E37" s="101">
        <v>52.8</v>
      </c>
      <c r="F37" s="101">
        <v>47.26</v>
      </c>
      <c r="G37" s="101"/>
      <c r="H37" s="101"/>
      <c r="I37" s="101">
        <f>F37*60%</f>
        <v>28.355999999999998</v>
      </c>
      <c r="J37" s="101">
        <f>F37*40%</f>
        <v>18.904</v>
      </c>
      <c r="K37" s="101"/>
      <c r="L37" s="102">
        <v>43952</v>
      </c>
      <c r="M37" s="103" t="s">
        <v>382</v>
      </c>
      <c r="N37" s="104"/>
      <c r="O37" s="105">
        <f t="shared" si="2"/>
        <v>40.242835200000002</v>
      </c>
      <c r="P37" s="105">
        <f t="shared" si="3"/>
        <v>10.0607088</v>
      </c>
      <c r="Q37" s="104"/>
      <c r="R37" s="105">
        <f t="shared" ref="R37" si="8">(I37*80%)*10.5%</f>
        <v>2.381904</v>
      </c>
      <c r="S37" s="105">
        <f t="shared" ref="S37" si="9">((SUM(I37:J37)*80%)*10.5%)/12*2</f>
        <v>0.66164000000000001</v>
      </c>
    </row>
    <row r="38" spans="3:20" s="98" customFormat="1" ht="90" x14ac:dyDescent="0.25">
      <c r="C38" s="99" t="s">
        <v>398</v>
      </c>
      <c r="D38" s="100" t="s">
        <v>389</v>
      </c>
      <c r="E38" s="101">
        <v>65.459999999999994</v>
      </c>
      <c r="F38" s="101">
        <f>[8]Capex!$F$7</f>
        <v>65.41</v>
      </c>
      <c r="G38" s="101"/>
      <c r="H38" s="101"/>
      <c r="I38" s="101">
        <f>F38*60%</f>
        <v>39.245999999999995</v>
      </c>
      <c r="J38" s="101">
        <f>F38*40%</f>
        <v>26.164000000000001</v>
      </c>
      <c r="K38" s="101"/>
      <c r="L38" s="102">
        <v>43952</v>
      </c>
      <c r="M38" s="103" t="s">
        <v>382</v>
      </c>
      <c r="N38" s="104"/>
      <c r="O38" s="105">
        <f t="shared" si="2"/>
        <v>55.697923199999991</v>
      </c>
      <c r="P38" s="105">
        <f t="shared" si="3"/>
        <v>13.924480799999998</v>
      </c>
      <c r="Q38" s="104"/>
      <c r="R38" s="105">
        <f t="shared" ref="R38" si="10">(I38*80%)*10.5%</f>
        <v>3.2966639999999998</v>
      </c>
      <c r="S38" s="105">
        <f t="shared" ref="S38" si="11">((SUM(I38:J38)*80%)*10.5%)/12*2</f>
        <v>0.91574</v>
      </c>
    </row>
    <row r="39" spans="3:20" ht="75" x14ac:dyDescent="0.25">
      <c r="C39" s="53" t="s">
        <v>399</v>
      </c>
      <c r="D39" s="81" t="s">
        <v>405</v>
      </c>
      <c r="E39" s="83">
        <v>29.96</v>
      </c>
      <c r="F39" s="83">
        <f>[8]Capex!$F$17</f>
        <v>24.74</v>
      </c>
      <c r="G39" s="83">
        <f>'[6]Table 22'!$E$54</f>
        <v>2</v>
      </c>
      <c r="H39" s="83"/>
      <c r="I39" s="83">
        <f>F39*60%</f>
        <v>14.843999999999998</v>
      </c>
      <c r="J39" s="83">
        <f>F39*40%</f>
        <v>9.8960000000000008</v>
      </c>
      <c r="K39" s="83"/>
      <c r="L39" s="84">
        <v>44013</v>
      </c>
      <c r="M39" s="50" t="s">
        <v>382</v>
      </c>
      <c r="N39" s="51"/>
      <c r="O39" s="105">
        <f t="shared" si="2"/>
        <v>21.343692799999999</v>
      </c>
      <c r="P39" s="105">
        <f t="shared" si="3"/>
        <v>5.3359231999999999</v>
      </c>
      <c r="Q39" s="51"/>
      <c r="R39" s="40">
        <f t="shared" ref="R39" si="12">(I39*80%)*10.5%</f>
        <v>1.246896</v>
      </c>
      <c r="S39" s="40">
        <f>((SUM(I39:J39)*80%)*10.5%)/12*4</f>
        <v>0.69272</v>
      </c>
    </row>
    <row r="40" spans="3:20" s="98" customFormat="1" ht="49.5" customHeight="1" x14ac:dyDescent="0.25">
      <c r="C40" s="99" t="s">
        <v>400</v>
      </c>
      <c r="D40" s="100" t="s">
        <v>389</v>
      </c>
      <c r="E40" s="101">
        <v>95.86</v>
      </c>
      <c r="F40" s="101">
        <f>[8]Capex!$F$19</f>
        <v>86.67</v>
      </c>
      <c r="G40" s="101">
        <f>'[6]Table 22'!$E$56</f>
        <v>9.6</v>
      </c>
      <c r="H40" s="101"/>
      <c r="I40" s="101">
        <f>F40*60%</f>
        <v>52.002000000000002</v>
      </c>
      <c r="J40" s="101">
        <f>F40*40%</f>
        <v>34.667999999999999</v>
      </c>
      <c r="K40" s="101"/>
      <c r="L40" s="102">
        <v>44013</v>
      </c>
      <c r="M40" s="103" t="s">
        <v>382</v>
      </c>
      <c r="N40" s="104"/>
      <c r="O40" s="105">
        <f t="shared" si="2"/>
        <v>74.7719424</v>
      </c>
      <c r="P40" s="105">
        <f t="shared" si="3"/>
        <v>18.6929856</v>
      </c>
      <c r="Q40" s="104"/>
      <c r="R40" s="105">
        <f t="shared" ref="R40" si="13">(I40*80%)*10.5%</f>
        <v>4.3681680000000007</v>
      </c>
      <c r="S40" s="105">
        <f>((SUM(I40:J40)*80%)*10.5%)/12*4</f>
        <v>2.4267599999999998</v>
      </c>
    </row>
    <row r="41" spans="3:20" x14ac:dyDescent="0.25">
      <c r="C41" s="89" t="s">
        <v>412</v>
      </c>
      <c r="D41" s="90"/>
      <c r="E41" s="91"/>
      <c r="F41" s="91"/>
      <c r="G41" s="91"/>
      <c r="H41" s="91"/>
      <c r="I41" s="112">
        <f>SUM(I30:I40)</f>
        <v>498.89619999999996</v>
      </c>
      <c r="J41" s="112">
        <f>SUM(J30:J40)</f>
        <v>269.73380000000003</v>
      </c>
      <c r="K41" s="112">
        <f>SUM(K30:K40)</f>
        <v>0</v>
      </c>
      <c r="L41" s="92"/>
      <c r="M41" s="93"/>
      <c r="N41" s="94"/>
      <c r="O41" s="95">
        <f>SUM(O30:O40)</f>
        <v>659.87196863999998</v>
      </c>
      <c r="P41" s="95">
        <f>SUM(P30:P40)</f>
        <v>164.96799215999999</v>
      </c>
      <c r="Q41" s="95">
        <f>SUM(Q30:Q40)</f>
        <v>0</v>
      </c>
      <c r="R41" s="95">
        <f>SUM(R30:R40)</f>
        <v>41.907280799999995</v>
      </c>
      <c r="S41" s="95">
        <f>SUM(S30:S40)</f>
        <v>14.302679999999999</v>
      </c>
      <c r="T41" s="95">
        <f>SUM(R30:S40)</f>
        <v>56.20996079999999</v>
      </c>
    </row>
    <row r="42" spans="3:20" x14ac:dyDescent="0.25">
      <c r="C42" s="89"/>
      <c r="D42" s="90"/>
      <c r="E42" s="91"/>
      <c r="F42" s="91"/>
      <c r="G42" s="91"/>
      <c r="H42" s="91"/>
      <c r="I42" s="91"/>
      <c r="J42" s="91"/>
      <c r="K42" s="91"/>
      <c r="L42" s="92"/>
      <c r="M42" s="93"/>
      <c r="N42" s="94"/>
      <c r="O42" s="95"/>
      <c r="P42" s="95"/>
      <c r="Q42" s="94"/>
      <c r="R42" s="95"/>
      <c r="S42" s="95"/>
    </row>
    <row r="43" spans="3:20" x14ac:dyDescent="0.25">
      <c r="C43" s="89"/>
      <c r="D43" s="90"/>
      <c r="E43" s="91"/>
      <c r="F43" s="91"/>
      <c r="G43" s="91"/>
      <c r="H43" s="91"/>
      <c r="I43" s="91"/>
      <c r="J43" s="91"/>
      <c r="K43" s="91"/>
      <c r="L43" s="92"/>
      <c r="M43" s="93"/>
      <c r="N43" s="94"/>
      <c r="O43" s="95"/>
      <c r="P43" s="95"/>
      <c r="Q43" s="94"/>
      <c r="R43" s="95"/>
      <c r="S43" s="95"/>
    </row>
    <row r="44" spans="3:20" x14ac:dyDescent="0.25">
      <c r="C44" s="36" t="s">
        <v>311</v>
      </c>
      <c r="E44" s="85" t="s">
        <v>307</v>
      </c>
      <c r="F44" s="85" t="s">
        <v>308</v>
      </c>
      <c r="G44" s="85"/>
      <c r="H44" s="85"/>
      <c r="I44" s="85"/>
      <c r="J44" s="85"/>
      <c r="K44" s="85"/>
    </row>
    <row r="45" spans="3:20" x14ac:dyDescent="0.25">
      <c r="C45" s="36" t="s">
        <v>408</v>
      </c>
      <c r="D45" s="88">
        <f>SUM(J3:J25)</f>
        <v>788.16</v>
      </c>
      <c r="E45" s="85">
        <f>(D45+D48-Q26)*70%</f>
        <v>520.47045403439802</v>
      </c>
      <c r="F45" s="85">
        <f>(D45+D48-Q26)*30%</f>
        <v>223.05876601474199</v>
      </c>
      <c r="G45" s="85"/>
      <c r="H45" s="85"/>
      <c r="I45" s="85"/>
      <c r="J45" s="85"/>
      <c r="K45" s="85"/>
    </row>
    <row r="46" spans="3:20" x14ac:dyDescent="0.25">
      <c r="C46" s="36" t="s">
        <v>409</v>
      </c>
      <c r="D46" s="87">
        <f>SUM(F30:F40)</f>
        <v>768.62999999999988</v>
      </c>
      <c r="E46" s="85">
        <f>(D46+D49)*80%</f>
        <v>659.87196863999998</v>
      </c>
      <c r="F46" s="85">
        <f>((D46+D49)*20%)+13.3</f>
        <v>178.26799216000001</v>
      </c>
      <c r="G46" s="85"/>
      <c r="H46" s="85"/>
      <c r="I46" s="85"/>
      <c r="J46" s="85"/>
      <c r="K46" s="85"/>
    </row>
    <row r="47" spans="3:20" x14ac:dyDescent="0.25">
      <c r="C47" s="36" t="s">
        <v>311</v>
      </c>
      <c r="D47" s="88">
        <f>SUM(D45:D46)</f>
        <v>1556.79</v>
      </c>
      <c r="E47" s="85"/>
      <c r="F47" s="85"/>
      <c r="G47" s="85"/>
      <c r="H47" s="85"/>
      <c r="I47" s="85"/>
      <c r="J47" s="85"/>
      <c r="K47" s="85"/>
    </row>
    <row r="48" spans="3:20" x14ac:dyDescent="0.25">
      <c r="C48" s="36" t="s">
        <v>410</v>
      </c>
      <c r="D48" s="87">
        <f>SUM(R3:S25)</f>
        <v>21.039220049140049</v>
      </c>
      <c r="E48" s="85"/>
      <c r="F48" s="85"/>
      <c r="G48" s="85"/>
      <c r="H48" s="85"/>
      <c r="I48" s="85"/>
      <c r="J48" s="85"/>
      <c r="K48" s="85"/>
    </row>
    <row r="49" spans="3:11" x14ac:dyDescent="0.25">
      <c r="C49" s="36" t="s">
        <v>411</v>
      </c>
      <c r="D49" s="88">
        <f>SUM(R30:S40)</f>
        <v>56.20996079999999</v>
      </c>
      <c r="E49" s="85"/>
      <c r="F49" s="85"/>
      <c r="G49" s="85"/>
      <c r="H49" s="85"/>
      <c r="I49" s="85"/>
      <c r="J49" s="85"/>
      <c r="K49" s="85"/>
    </row>
    <row r="50" spans="3:11" x14ac:dyDescent="0.25">
      <c r="E50" s="85"/>
      <c r="F50" s="85"/>
      <c r="G50" s="85"/>
      <c r="H50" s="85"/>
      <c r="I50" s="85"/>
      <c r="J50" s="85"/>
      <c r="K50" s="85"/>
    </row>
    <row r="51" spans="3:11" x14ac:dyDescent="0.25">
      <c r="C51" s="36" t="s">
        <v>413</v>
      </c>
      <c r="D51" s="36" t="s">
        <v>381</v>
      </c>
      <c r="E51" s="85" t="s">
        <v>382</v>
      </c>
      <c r="F51" s="85"/>
      <c r="G51" s="85"/>
      <c r="H51" s="85"/>
      <c r="I51" s="85"/>
      <c r="J51" s="85"/>
      <c r="K51" s="85"/>
    </row>
    <row r="52" spans="3:11" x14ac:dyDescent="0.25">
      <c r="C52" s="36" t="s">
        <v>408</v>
      </c>
      <c r="D52" s="87">
        <f>T26</f>
        <v>122.8</v>
      </c>
      <c r="E52" s="86">
        <f>U26</f>
        <v>143.01</v>
      </c>
      <c r="F52" s="85"/>
      <c r="G52" s="85"/>
      <c r="H52" s="85"/>
      <c r="I52" s="85"/>
      <c r="J52" s="85"/>
      <c r="K52" s="85"/>
    </row>
    <row r="53" spans="3:11" x14ac:dyDescent="0.25">
      <c r="C53" s="36" t="s">
        <v>409</v>
      </c>
      <c r="D53" s="87">
        <f>I41</f>
        <v>498.89619999999996</v>
      </c>
      <c r="E53" s="86">
        <f>J41</f>
        <v>269.73380000000003</v>
      </c>
      <c r="F53" s="85"/>
      <c r="G53" s="85"/>
      <c r="H53" s="85"/>
      <c r="I53" s="85"/>
      <c r="J53" s="85"/>
      <c r="K53" s="85"/>
    </row>
    <row r="54" spans="3:11" x14ac:dyDescent="0.25">
      <c r="C54" s="36" t="s">
        <v>414</v>
      </c>
      <c r="D54" s="88">
        <f>'Capitalization 19-20'!G47+'Capitalization 19-20'!H47</f>
        <v>281.58</v>
      </c>
      <c r="E54" s="85"/>
      <c r="F54" s="85"/>
      <c r="G54" s="85"/>
      <c r="H54" s="85"/>
      <c r="I54" s="85"/>
      <c r="J54" s="85"/>
      <c r="K54" s="85"/>
    </row>
    <row r="55" spans="3:11" x14ac:dyDescent="0.25">
      <c r="C55" s="36" t="s">
        <v>415</v>
      </c>
      <c r="D55" s="88">
        <f>R41</f>
        <v>41.907280799999995</v>
      </c>
      <c r="E55" s="86">
        <f>S41</f>
        <v>14.302679999999999</v>
      </c>
      <c r="F55" s="85"/>
      <c r="G55" s="85"/>
      <c r="H55" s="85"/>
      <c r="I55" s="85"/>
      <c r="J55" s="85"/>
      <c r="K55" s="85"/>
    </row>
    <row r="56" spans="3:11" x14ac:dyDescent="0.25">
      <c r="D56" s="88">
        <f>SUM(D52:D55)</f>
        <v>945.18348079999998</v>
      </c>
      <c r="E56" s="88">
        <f>SUM(E52:E55)</f>
        <v>427.04648000000003</v>
      </c>
      <c r="F56" s="85"/>
      <c r="G56" s="85"/>
      <c r="H56" s="85"/>
      <c r="I56" s="85"/>
      <c r="J56" s="85"/>
      <c r="K56" s="85"/>
    </row>
    <row r="57" spans="3:11" x14ac:dyDescent="0.25">
      <c r="E57" s="85"/>
      <c r="F57" s="85"/>
      <c r="G57" s="85"/>
      <c r="H57" s="85"/>
      <c r="I57" s="85"/>
      <c r="J57" s="85"/>
      <c r="K57" s="85"/>
    </row>
    <row r="58" spans="3:11" x14ac:dyDescent="0.25">
      <c r="E58" s="85"/>
      <c r="F58" s="85"/>
      <c r="G58" s="85"/>
      <c r="H58" s="85"/>
      <c r="I58" s="85"/>
      <c r="J58" s="85"/>
      <c r="K58" s="85"/>
    </row>
    <row r="59" spans="3:11" x14ac:dyDescent="0.25">
      <c r="E59" s="85"/>
      <c r="F59" s="85"/>
      <c r="G59" s="85"/>
      <c r="H59" s="85"/>
      <c r="I59" s="85"/>
      <c r="J59" s="85"/>
      <c r="K59" s="85"/>
    </row>
    <row r="60" spans="3:11" x14ac:dyDescent="0.25">
      <c r="E60" s="85"/>
      <c r="F60" s="85"/>
      <c r="G60" s="85"/>
      <c r="H60" s="85"/>
      <c r="I60" s="85"/>
      <c r="J60" s="85"/>
      <c r="K60" s="85"/>
    </row>
    <row r="61" spans="3:11" x14ac:dyDescent="0.25">
      <c r="E61" s="85"/>
      <c r="F61" s="85"/>
      <c r="G61" s="85"/>
      <c r="H61" s="85"/>
      <c r="I61" s="85"/>
      <c r="J61" s="85"/>
      <c r="K61" s="85"/>
    </row>
    <row r="62" spans="3:11" x14ac:dyDescent="0.25">
      <c r="E62" s="85"/>
      <c r="F62" s="85"/>
      <c r="G62" s="85"/>
      <c r="H62" s="85"/>
      <c r="I62" s="85"/>
      <c r="J62" s="85"/>
      <c r="K62" s="85"/>
    </row>
    <row r="63" spans="3:11" x14ac:dyDescent="0.25">
      <c r="E63" s="85"/>
      <c r="F63" s="85"/>
      <c r="G63" s="85"/>
      <c r="H63" s="85"/>
      <c r="I63" s="85"/>
      <c r="J63" s="85"/>
      <c r="K63" s="85"/>
    </row>
    <row r="64" spans="3:11" x14ac:dyDescent="0.25">
      <c r="E64" s="85"/>
      <c r="F64" s="85"/>
      <c r="G64" s="85"/>
      <c r="H64" s="85"/>
      <c r="I64" s="85"/>
      <c r="J64" s="85"/>
      <c r="K64" s="85"/>
    </row>
    <row r="65" spans="5:11" x14ac:dyDescent="0.25">
      <c r="E65" s="85"/>
      <c r="F65" s="85"/>
      <c r="G65" s="85"/>
      <c r="H65" s="85"/>
      <c r="I65" s="85"/>
      <c r="J65" s="85"/>
      <c r="K65" s="85"/>
    </row>
    <row r="66" spans="5:11" x14ac:dyDescent="0.25">
      <c r="E66" s="85"/>
      <c r="F66" s="85"/>
      <c r="G66" s="85"/>
      <c r="H66" s="85"/>
      <c r="I66" s="85"/>
      <c r="J66" s="85"/>
      <c r="K66" s="85"/>
    </row>
    <row r="67" spans="5:11" x14ac:dyDescent="0.25">
      <c r="E67" s="85"/>
      <c r="F67" s="85"/>
      <c r="G67" s="85"/>
      <c r="H67" s="85"/>
      <c r="I67" s="85"/>
      <c r="J67" s="85"/>
      <c r="K67" s="85"/>
    </row>
    <row r="68" spans="5:11" x14ac:dyDescent="0.25">
      <c r="E68" s="85"/>
      <c r="F68" s="85"/>
      <c r="G68" s="85"/>
      <c r="H68" s="85"/>
      <c r="I68" s="85"/>
      <c r="J68" s="85"/>
      <c r="K68" s="85"/>
    </row>
    <row r="69" spans="5:11" x14ac:dyDescent="0.25">
      <c r="E69" s="85"/>
      <c r="F69" s="85"/>
      <c r="G69" s="85"/>
      <c r="H69" s="85"/>
      <c r="I69" s="85"/>
      <c r="J69" s="85"/>
      <c r="K69" s="85"/>
    </row>
    <row r="70" spans="5:11" x14ac:dyDescent="0.25">
      <c r="E70" s="85"/>
      <c r="F70" s="85"/>
      <c r="G70" s="85"/>
      <c r="H70" s="85"/>
      <c r="I70" s="85"/>
      <c r="J70" s="85"/>
      <c r="K70" s="85"/>
    </row>
    <row r="71" spans="5:11" x14ac:dyDescent="0.25">
      <c r="E71" s="85"/>
      <c r="F71" s="85"/>
      <c r="G71" s="85"/>
      <c r="H71" s="85"/>
      <c r="I71" s="85"/>
      <c r="J71" s="85"/>
      <c r="K71" s="85"/>
    </row>
    <row r="72" spans="5:11" x14ac:dyDescent="0.25">
      <c r="E72" s="85"/>
      <c r="F72" s="85"/>
      <c r="G72" s="85"/>
      <c r="H72" s="85"/>
      <c r="I72" s="85"/>
      <c r="J72" s="85"/>
      <c r="K72" s="85"/>
    </row>
    <row r="73" spans="5:11" x14ac:dyDescent="0.25">
      <c r="E73" s="85"/>
      <c r="F73" s="85"/>
      <c r="G73" s="85"/>
      <c r="H73" s="85"/>
      <c r="I73" s="85"/>
      <c r="J73" s="85"/>
      <c r="K73" s="85"/>
    </row>
    <row r="74" spans="5:11" x14ac:dyDescent="0.25">
      <c r="E74" s="85"/>
      <c r="F74" s="85"/>
      <c r="G74" s="85"/>
      <c r="H74" s="85"/>
      <c r="I74" s="85"/>
      <c r="J74" s="85"/>
      <c r="K74" s="85"/>
    </row>
    <row r="75" spans="5:11" x14ac:dyDescent="0.25">
      <c r="E75" s="85"/>
      <c r="F75" s="85"/>
      <c r="G75" s="85"/>
      <c r="H75" s="85"/>
      <c r="I75" s="85"/>
      <c r="J75" s="85"/>
      <c r="K75" s="85"/>
    </row>
    <row r="76" spans="5:11" x14ac:dyDescent="0.25">
      <c r="E76" s="85"/>
      <c r="F76" s="85"/>
      <c r="G76" s="85"/>
      <c r="H76" s="85"/>
      <c r="I76" s="85"/>
      <c r="J76" s="85"/>
      <c r="K76" s="85"/>
    </row>
    <row r="77" spans="5:11" x14ac:dyDescent="0.25">
      <c r="E77" s="85"/>
      <c r="F77" s="85"/>
      <c r="G77" s="85"/>
      <c r="H77" s="85"/>
      <c r="I77" s="85"/>
      <c r="J77" s="85"/>
      <c r="K77" s="85"/>
    </row>
    <row r="78" spans="5:11" x14ac:dyDescent="0.25">
      <c r="E78" s="85"/>
      <c r="F78" s="85"/>
      <c r="G78" s="85"/>
      <c r="H78" s="85"/>
      <c r="I78" s="85"/>
      <c r="J78" s="85"/>
      <c r="K78" s="85"/>
    </row>
    <row r="79" spans="5:11" x14ac:dyDescent="0.25">
      <c r="E79" s="85"/>
      <c r="F79" s="85"/>
      <c r="G79" s="85"/>
      <c r="H79" s="85"/>
      <c r="I79" s="85"/>
      <c r="J79" s="85"/>
      <c r="K79" s="85"/>
    </row>
    <row r="80" spans="5:11" x14ac:dyDescent="0.25">
      <c r="E80" s="85"/>
      <c r="F80" s="85"/>
      <c r="G80" s="85"/>
      <c r="H80" s="85"/>
      <c r="I80" s="85"/>
      <c r="J80" s="85"/>
      <c r="K80" s="85"/>
    </row>
    <row r="81" spans="5:11" x14ac:dyDescent="0.25">
      <c r="E81" s="85"/>
      <c r="F81" s="85"/>
      <c r="G81" s="85"/>
      <c r="H81" s="85"/>
      <c r="I81" s="85"/>
      <c r="J81" s="85"/>
      <c r="K81" s="85"/>
    </row>
    <row r="82" spans="5:11" x14ac:dyDescent="0.25">
      <c r="E82" s="85"/>
      <c r="F82" s="85"/>
      <c r="G82" s="85"/>
      <c r="H82" s="85"/>
      <c r="I82" s="85"/>
      <c r="J82" s="85"/>
      <c r="K82" s="85"/>
    </row>
    <row r="83" spans="5:11" x14ac:dyDescent="0.25">
      <c r="E83" s="85"/>
      <c r="F83" s="85"/>
      <c r="G83" s="85"/>
      <c r="H83" s="85"/>
      <c r="I83" s="85"/>
      <c r="J83" s="85"/>
      <c r="K83" s="85"/>
    </row>
    <row r="84" spans="5:11" x14ac:dyDescent="0.25">
      <c r="E84" s="85"/>
      <c r="F84" s="85"/>
      <c r="G84" s="85"/>
      <c r="H84" s="85"/>
      <c r="I84" s="85"/>
      <c r="J84" s="85"/>
      <c r="K84" s="85"/>
    </row>
    <row r="85" spans="5:11" x14ac:dyDescent="0.25">
      <c r="E85" s="85"/>
      <c r="F85" s="85"/>
      <c r="G85" s="85"/>
      <c r="H85" s="85"/>
      <c r="I85" s="85"/>
      <c r="J85" s="85"/>
      <c r="K85" s="85"/>
    </row>
    <row r="86" spans="5:11" x14ac:dyDescent="0.25">
      <c r="E86" s="85"/>
      <c r="F86" s="85"/>
      <c r="G86" s="85"/>
      <c r="H86" s="85"/>
      <c r="I86" s="85"/>
      <c r="J86" s="85"/>
      <c r="K86" s="85"/>
    </row>
    <row r="87" spans="5:11" x14ac:dyDescent="0.25">
      <c r="E87" s="85"/>
      <c r="F87" s="85"/>
      <c r="G87" s="85"/>
      <c r="H87" s="85"/>
      <c r="I87" s="85"/>
      <c r="J87" s="85"/>
      <c r="K87" s="85"/>
    </row>
    <row r="88" spans="5:11" x14ac:dyDescent="0.25">
      <c r="E88" s="85"/>
      <c r="F88" s="85"/>
      <c r="G88" s="85"/>
      <c r="H88" s="85"/>
      <c r="I88" s="85"/>
      <c r="J88" s="85"/>
      <c r="K88" s="85"/>
    </row>
    <row r="89" spans="5:11" x14ac:dyDescent="0.25">
      <c r="E89" s="85"/>
      <c r="F89" s="85"/>
      <c r="G89" s="85"/>
      <c r="H89" s="85"/>
      <c r="I89" s="85"/>
      <c r="J89" s="85"/>
      <c r="K89" s="85"/>
    </row>
    <row r="90" spans="5:11" x14ac:dyDescent="0.25">
      <c r="E90" s="85"/>
      <c r="F90" s="85"/>
      <c r="G90" s="85"/>
      <c r="H90" s="85"/>
      <c r="I90" s="85"/>
      <c r="J90" s="85"/>
      <c r="K90" s="85"/>
    </row>
    <row r="91" spans="5:11" x14ac:dyDescent="0.25">
      <c r="E91" s="85"/>
      <c r="F91" s="85"/>
      <c r="G91" s="85"/>
      <c r="H91" s="85"/>
      <c r="I91" s="85"/>
      <c r="J91" s="85"/>
      <c r="K91" s="85"/>
    </row>
    <row r="92" spans="5:11" x14ac:dyDescent="0.25">
      <c r="E92" s="85"/>
      <c r="F92" s="85"/>
      <c r="G92" s="85"/>
      <c r="H92" s="85"/>
      <c r="I92" s="85"/>
      <c r="J92" s="85"/>
      <c r="K92" s="85"/>
    </row>
    <row r="93" spans="5:11" x14ac:dyDescent="0.25">
      <c r="E93" s="85"/>
      <c r="F93" s="85"/>
      <c r="G93" s="85"/>
      <c r="H93" s="85"/>
      <c r="I93" s="85"/>
      <c r="J93" s="85"/>
      <c r="K93" s="85"/>
    </row>
    <row r="94" spans="5:11" x14ac:dyDescent="0.25">
      <c r="E94" s="85"/>
      <c r="F94" s="85"/>
      <c r="G94" s="85"/>
      <c r="H94" s="85"/>
      <c r="I94" s="85"/>
      <c r="J94" s="85"/>
      <c r="K94" s="85"/>
    </row>
    <row r="95" spans="5:11" x14ac:dyDescent="0.25">
      <c r="E95" s="85"/>
      <c r="F95" s="85"/>
      <c r="G95" s="85"/>
      <c r="H95" s="85"/>
      <c r="I95" s="85"/>
      <c r="J95" s="85"/>
      <c r="K95" s="85"/>
    </row>
    <row r="96" spans="5:11" x14ac:dyDescent="0.25">
      <c r="E96" s="85"/>
      <c r="F96" s="85"/>
      <c r="G96" s="85"/>
      <c r="H96" s="85"/>
      <c r="I96" s="85"/>
      <c r="J96" s="85"/>
      <c r="K96" s="85"/>
    </row>
    <row r="97" spans="5:11" x14ac:dyDescent="0.25">
      <c r="E97" s="85"/>
      <c r="F97" s="85"/>
      <c r="G97" s="85"/>
      <c r="H97" s="85"/>
      <c r="I97" s="85"/>
      <c r="J97" s="85"/>
      <c r="K97" s="85"/>
    </row>
    <row r="98" spans="5:11" x14ac:dyDescent="0.25">
      <c r="E98" s="85"/>
      <c r="F98" s="85"/>
      <c r="G98" s="85"/>
      <c r="H98" s="85"/>
      <c r="I98" s="85"/>
      <c r="J98" s="85"/>
      <c r="K98" s="85"/>
    </row>
    <row r="99" spans="5:11" x14ac:dyDescent="0.25">
      <c r="E99" s="85"/>
      <c r="F99" s="85"/>
      <c r="G99" s="85"/>
      <c r="H99" s="85"/>
      <c r="I99" s="85"/>
      <c r="J99" s="85"/>
      <c r="K99" s="85"/>
    </row>
    <row r="100" spans="5:11" x14ac:dyDescent="0.25">
      <c r="E100" s="85"/>
      <c r="F100" s="85"/>
      <c r="G100" s="85"/>
      <c r="H100" s="85"/>
      <c r="I100" s="85"/>
      <c r="J100" s="85"/>
      <c r="K100" s="85"/>
    </row>
    <row r="101" spans="5:11" x14ac:dyDescent="0.25">
      <c r="E101" s="85"/>
      <c r="F101" s="85"/>
      <c r="G101" s="85"/>
      <c r="H101" s="85"/>
      <c r="I101" s="85"/>
      <c r="J101" s="85"/>
      <c r="K101" s="85"/>
    </row>
    <row r="102" spans="5:11" x14ac:dyDescent="0.25">
      <c r="E102" s="85"/>
      <c r="F102" s="85"/>
      <c r="G102" s="85"/>
      <c r="H102" s="85"/>
      <c r="I102" s="85"/>
      <c r="J102" s="85"/>
      <c r="K102" s="85"/>
    </row>
    <row r="103" spans="5:11" x14ac:dyDescent="0.25">
      <c r="E103" s="85"/>
      <c r="F103" s="85"/>
      <c r="G103" s="85"/>
      <c r="H103" s="85"/>
      <c r="I103" s="85"/>
      <c r="J103" s="85"/>
      <c r="K103" s="85"/>
    </row>
    <row r="104" spans="5:11" x14ac:dyDescent="0.25">
      <c r="E104" s="85"/>
      <c r="F104" s="85"/>
      <c r="G104" s="85"/>
      <c r="H104" s="85"/>
      <c r="I104" s="85"/>
      <c r="J104" s="85"/>
      <c r="K104" s="85"/>
    </row>
    <row r="105" spans="5:11" x14ac:dyDescent="0.25">
      <c r="E105" s="85"/>
      <c r="F105" s="85"/>
      <c r="G105" s="85"/>
      <c r="H105" s="85"/>
      <c r="I105" s="85"/>
      <c r="J105" s="85"/>
      <c r="K105" s="85"/>
    </row>
    <row r="106" spans="5:11" x14ac:dyDescent="0.25">
      <c r="E106" s="85"/>
      <c r="F106" s="85"/>
      <c r="G106" s="85"/>
      <c r="H106" s="85"/>
      <c r="I106" s="85"/>
      <c r="J106" s="85"/>
      <c r="K106" s="85"/>
    </row>
    <row r="107" spans="5:11" x14ac:dyDescent="0.25">
      <c r="E107" s="85"/>
      <c r="F107" s="85"/>
      <c r="G107" s="85"/>
      <c r="H107" s="85"/>
      <c r="I107" s="85"/>
      <c r="J107" s="85"/>
      <c r="K107" s="85"/>
    </row>
    <row r="108" spans="5:11" x14ac:dyDescent="0.25">
      <c r="E108" s="85"/>
      <c r="F108" s="85"/>
      <c r="G108" s="85"/>
      <c r="H108" s="85"/>
      <c r="I108" s="85"/>
      <c r="J108" s="85"/>
      <c r="K108" s="85"/>
    </row>
    <row r="109" spans="5:11" x14ac:dyDescent="0.25">
      <c r="E109" s="85"/>
      <c r="F109" s="85"/>
      <c r="G109" s="85"/>
      <c r="H109" s="85"/>
      <c r="I109" s="85"/>
      <c r="J109" s="85"/>
      <c r="K109" s="85"/>
    </row>
    <row r="110" spans="5:11" x14ac:dyDescent="0.25">
      <c r="E110" s="85"/>
      <c r="F110" s="85"/>
      <c r="G110" s="85"/>
      <c r="H110" s="85"/>
      <c r="I110" s="85"/>
      <c r="J110" s="85"/>
      <c r="K110" s="85"/>
    </row>
    <row r="111" spans="5:11" x14ac:dyDescent="0.25">
      <c r="E111" s="85"/>
      <c r="F111" s="85"/>
      <c r="G111" s="85"/>
      <c r="H111" s="85"/>
      <c r="I111" s="85"/>
      <c r="J111" s="85"/>
      <c r="K111" s="85"/>
    </row>
    <row r="112" spans="5:11" x14ac:dyDescent="0.25">
      <c r="E112" s="85"/>
      <c r="F112" s="85"/>
      <c r="G112" s="85"/>
      <c r="H112" s="85"/>
      <c r="I112" s="85"/>
      <c r="J112" s="85"/>
      <c r="K112" s="85"/>
    </row>
    <row r="113" spans="5:11" x14ac:dyDescent="0.25">
      <c r="E113" s="85"/>
      <c r="F113" s="85"/>
      <c r="G113" s="85"/>
      <c r="H113" s="85"/>
      <c r="I113" s="85"/>
      <c r="J113" s="85"/>
      <c r="K113" s="85"/>
    </row>
    <row r="114" spans="5:11" x14ac:dyDescent="0.25">
      <c r="E114" s="85"/>
      <c r="F114" s="85"/>
      <c r="G114" s="85"/>
      <c r="H114" s="85"/>
      <c r="I114" s="85"/>
      <c r="J114" s="85"/>
      <c r="K114" s="85"/>
    </row>
    <row r="115" spans="5:11" x14ac:dyDescent="0.25">
      <c r="E115" s="85"/>
      <c r="F115" s="85"/>
      <c r="G115" s="85"/>
      <c r="H115" s="85"/>
      <c r="I115" s="85"/>
      <c r="J115" s="85"/>
      <c r="K115" s="85"/>
    </row>
    <row r="116" spans="5:11" x14ac:dyDescent="0.25">
      <c r="E116" s="85"/>
      <c r="F116" s="85"/>
      <c r="G116" s="85"/>
      <c r="H116" s="85"/>
      <c r="I116" s="85"/>
      <c r="J116" s="85"/>
      <c r="K116" s="85"/>
    </row>
    <row r="117" spans="5:11" x14ac:dyDescent="0.25">
      <c r="E117" s="85"/>
      <c r="F117" s="85"/>
      <c r="G117" s="85"/>
      <c r="H117" s="85"/>
      <c r="I117" s="85"/>
      <c r="J117" s="85"/>
      <c r="K117" s="85"/>
    </row>
    <row r="118" spans="5:11" x14ac:dyDescent="0.25">
      <c r="E118" s="85"/>
      <c r="F118" s="85"/>
      <c r="G118" s="85"/>
      <c r="H118" s="85"/>
      <c r="I118" s="85"/>
      <c r="J118" s="85"/>
      <c r="K118" s="85"/>
    </row>
    <row r="119" spans="5:11" x14ac:dyDescent="0.25">
      <c r="E119" s="85"/>
      <c r="F119" s="85"/>
      <c r="G119" s="85"/>
      <c r="H119" s="85"/>
      <c r="I119" s="85"/>
      <c r="J119" s="85"/>
      <c r="K119" s="85"/>
    </row>
    <row r="120" spans="5:11" x14ac:dyDescent="0.25">
      <c r="E120" s="85"/>
      <c r="F120" s="85"/>
      <c r="G120" s="85"/>
      <c r="H120" s="85"/>
      <c r="I120" s="85"/>
      <c r="J120" s="85"/>
      <c r="K120" s="85"/>
    </row>
    <row r="121" spans="5:11" x14ac:dyDescent="0.25">
      <c r="E121" s="85"/>
      <c r="F121" s="85"/>
      <c r="G121" s="85"/>
      <c r="H121" s="85"/>
      <c r="I121" s="85"/>
      <c r="J121" s="85"/>
      <c r="K121" s="85"/>
    </row>
    <row r="122" spans="5:11" x14ac:dyDescent="0.25">
      <c r="E122" s="85"/>
      <c r="F122" s="85"/>
      <c r="G122" s="85"/>
      <c r="H122" s="85"/>
      <c r="I122" s="85"/>
      <c r="J122" s="85"/>
      <c r="K122" s="85"/>
    </row>
    <row r="123" spans="5:11" x14ac:dyDescent="0.25">
      <c r="E123" s="85"/>
      <c r="F123" s="85"/>
      <c r="G123" s="85"/>
      <c r="H123" s="85"/>
      <c r="I123" s="85"/>
      <c r="J123" s="85"/>
      <c r="K123" s="85"/>
    </row>
    <row r="124" spans="5:11" x14ac:dyDescent="0.25">
      <c r="E124" s="85"/>
      <c r="F124" s="85"/>
      <c r="G124" s="85"/>
      <c r="H124" s="85"/>
      <c r="I124" s="85"/>
      <c r="J124" s="85"/>
      <c r="K124" s="85"/>
    </row>
    <row r="125" spans="5:11" x14ac:dyDescent="0.25">
      <c r="E125" s="85"/>
      <c r="F125" s="85"/>
      <c r="G125" s="85"/>
      <c r="H125" s="85"/>
      <c r="I125" s="85"/>
      <c r="J125" s="85"/>
      <c r="K125" s="85"/>
    </row>
    <row r="126" spans="5:11" x14ac:dyDescent="0.25">
      <c r="E126" s="85"/>
      <c r="F126" s="85"/>
      <c r="G126" s="85"/>
      <c r="H126" s="85"/>
      <c r="I126" s="85"/>
      <c r="J126" s="85"/>
      <c r="K126" s="85"/>
    </row>
    <row r="127" spans="5:11" x14ac:dyDescent="0.25">
      <c r="E127" s="85"/>
      <c r="F127" s="85"/>
      <c r="G127" s="85"/>
      <c r="H127" s="85"/>
      <c r="I127" s="85"/>
      <c r="J127" s="85"/>
      <c r="K127" s="85"/>
    </row>
    <row r="128" spans="5:11" x14ac:dyDescent="0.25">
      <c r="E128" s="85"/>
      <c r="F128" s="85"/>
      <c r="G128" s="85"/>
      <c r="H128" s="85"/>
      <c r="I128" s="85"/>
      <c r="J128" s="85"/>
      <c r="K128" s="85"/>
    </row>
    <row r="129" spans="5:11" x14ac:dyDescent="0.25">
      <c r="E129" s="85"/>
      <c r="F129" s="85"/>
      <c r="G129" s="85"/>
      <c r="H129" s="85"/>
      <c r="I129" s="85"/>
      <c r="J129" s="85"/>
      <c r="K129" s="85"/>
    </row>
    <row r="130" spans="5:11" x14ac:dyDescent="0.25">
      <c r="E130" s="85"/>
      <c r="F130" s="85"/>
      <c r="G130" s="85"/>
      <c r="H130" s="85"/>
      <c r="I130" s="85"/>
      <c r="J130" s="85"/>
      <c r="K130" s="85"/>
    </row>
    <row r="131" spans="5:11" x14ac:dyDescent="0.25">
      <c r="E131" s="85"/>
      <c r="F131" s="85"/>
      <c r="G131" s="85"/>
      <c r="H131" s="85"/>
      <c r="I131" s="85"/>
      <c r="J131" s="85"/>
      <c r="K131" s="85"/>
    </row>
    <row r="132" spans="5:11" x14ac:dyDescent="0.25">
      <c r="E132" s="85"/>
      <c r="F132" s="85"/>
      <c r="G132" s="85"/>
      <c r="H132" s="85"/>
      <c r="I132" s="85"/>
      <c r="J132" s="85"/>
      <c r="K132" s="85"/>
    </row>
    <row r="133" spans="5:11" x14ac:dyDescent="0.25">
      <c r="E133" s="85"/>
      <c r="F133" s="85"/>
      <c r="G133" s="85"/>
      <c r="H133" s="85"/>
      <c r="I133" s="85"/>
      <c r="J133" s="85"/>
      <c r="K133" s="85"/>
    </row>
    <row r="134" spans="5:11" x14ac:dyDescent="0.25">
      <c r="E134" s="85"/>
      <c r="F134" s="85"/>
      <c r="G134" s="85"/>
      <c r="H134" s="85"/>
      <c r="I134" s="85"/>
      <c r="J134" s="85"/>
      <c r="K134" s="85"/>
    </row>
    <row r="135" spans="5:11" x14ac:dyDescent="0.25">
      <c r="E135" s="85"/>
      <c r="F135" s="85"/>
      <c r="G135" s="85"/>
      <c r="H135" s="85"/>
      <c r="I135" s="85"/>
      <c r="J135" s="85"/>
      <c r="K135" s="85"/>
    </row>
    <row r="136" spans="5:11" x14ac:dyDescent="0.25">
      <c r="E136" s="85"/>
      <c r="F136" s="85"/>
      <c r="G136" s="85"/>
      <c r="H136" s="85"/>
      <c r="I136" s="85"/>
      <c r="J136" s="85"/>
      <c r="K136" s="85"/>
    </row>
    <row r="137" spans="5:11" x14ac:dyDescent="0.25">
      <c r="E137" s="85"/>
      <c r="F137" s="85"/>
      <c r="G137" s="85"/>
      <c r="H137" s="85"/>
      <c r="I137" s="85"/>
      <c r="J137" s="85"/>
      <c r="K137" s="85"/>
    </row>
    <row r="138" spans="5:11" x14ac:dyDescent="0.25">
      <c r="E138" s="85"/>
      <c r="F138" s="85"/>
      <c r="G138" s="85"/>
      <c r="H138" s="85"/>
      <c r="I138" s="85"/>
      <c r="J138" s="85"/>
      <c r="K138" s="85"/>
    </row>
    <row r="139" spans="5:11" x14ac:dyDescent="0.25">
      <c r="E139" s="85"/>
      <c r="F139" s="85"/>
      <c r="G139" s="85"/>
      <c r="H139" s="85"/>
      <c r="I139" s="85"/>
      <c r="J139" s="85"/>
      <c r="K139" s="85"/>
    </row>
    <row r="140" spans="5:11" x14ac:dyDescent="0.25">
      <c r="E140" s="85"/>
      <c r="F140" s="85"/>
      <c r="G140" s="85"/>
      <c r="H140" s="85"/>
      <c r="I140" s="85"/>
      <c r="J140" s="85"/>
      <c r="K140" s="85"/>
    </row>
    <row r="141" spans="5:11" x14ac:dyDescent="0.25">
      <c r="E141" s="85"/>
      <c r="F141" s="85"/>
      <c r="G141" s="85"/>
      <c r="H141" s="85"/>
      <c r="I141" s="85"/>
      <c r="J141" s="85"/>
      <c r="K141" s="85"/>
    </row>
    <row r="142" spans="5:11" x14ac:dyDescent="0.25">
      <c r="E142" s="85"/>
      <c r="F142" s="85"/>
      <c r="G142" s="85"/>
      <c r="H142" s="85"/>
      <c r="I142" s="85"/>
      <c r="J142" s="85"/>
      <c r="K142" s="85"/>
    </row>
    <row r="143" spans="5:11" x14ac:dyDescent="0.25">
      <c r="E143" s="85"/>
      <c r="F143" s="85"/>
      <c r="G143" s="85"/>
      <c r="H143" s="85"/>
      <c r="I143" s="85"/>
      <c r="J143" s="85"/>
      <c r="K143" s="85"/>
    </row>
    <row r="144" spans="5:11" x14ac:dyDescent="0.25">
      <c r="E144" s="85"/>
      <c r="F144" s="85"/>
      <c r="G144" s="85"/>
      <c r="H144" s="85"/>
      <c r="I144" s="85"/>
      <c r="J144" s="85"/>
      <c r="K144" s="85"/>
    </row>
    <row r="145" spans="5:11" x14ac:dyDescent="0.25">
      <c r="E145" s="85"/>
      <c r="F145" s="85"/>
      <c r="G145" s="85"/>
      <c r="H145" s="85"/>
      <c r="I145" s="85"/>
      <c r="J145" s="85"/>
      <c r="K145" s="85"/>
    </row>
    <row r="146" spans="5:11" x14ac:dyDescent="0.25">
      <c r="E146" s="85"/>
      <c r="F146" s="85"/>
      <c r="G146" s="85"/>
      <c r="H146" s="85"/>
      <c r="I146" s="85"/>
      <c r="J146" s="85"/>
      <c r="K146" s="85"/>
    </row>
    <row r="147" spans="5:11" x14ac:dyDescent="0.25">
      <c r="E147" s="85"/>
      <c r="F147" s="85"/>
      <c r="G147" s="85"/>
      <c r="H147" s="85"/>
      <c r="I147" s="85"/>
      <c r="J147" s="85"/>
      <c r="K147" s="85"/>
    </row>
    <row r="148" spans="5:11" x14ac:dyDescent="0.25">
      <c r="E148" s="85"/>
      <c r="F148" s="85"/>
      <c r="G148" s="85"/>
      <c r="H148" s="85"/>
      <c r="I148" s="85"/>
      <c r="J148" s="85"/>
      <c r="K148" s="85"/>
    </row>
    <row r="149" spans="5:11" x14ac:dyDescent="0.25">
      <c r="E149" s="85"/>
      <c r="F149" s="85"/>
      <c r="G149" s="85"/>
      <c r="H149" s="85"/>
      <c r="I149" s="85"/>
      <c r="J149" s="85"/>
      <c r="K149" s="85"/>
    </row>
    <row r="150" spans="5:11" x14ac:dyDescent="0.25">
      <c r="E150" s="85"/>
      <c r="F150" s="85"/>
      <c r="G150" s="85"/>
      <c r="H150" s="85"/>
      <c r="I150" s="85"/>
      <c r="J150" s="85"/>
      <c r="K150" s="85"/>
    </row>
    <row r="151" spans="5:11" x14ac:dyDescent="0.25">
      <c r="E151" s="85"/>
      <c r="F151" s="85"/>
      <c r="G151" s="85"/>
      <c r="H151" s="85"/>
      <c r="I151" s="85"/>
      <c r="J151" s="85"/>
      <c r="K151" s="85"/>
    </row>
    <row r="152" spans="5:11" x14ac:dyDescent="0.25">
      <c r="E152" s="85"/>
      <c r="F152" s="85"/>
      <c r="G152" s="85"/>
      <c r="H152" s="85"/>
      <c r="I152" s="85"/>
      <c r="J152" s="85"/>
      <c r="K152" s="85"/>
    </row>
    <row r="153" spans="5:11" x14ac:dyDescent="0.25">
      <c r="E153" s="85"/>
      <c r="F153" s="85"/>
      <c r="G153" s="85"/>
      <c r="H153" s="85"/>
      <c r="I153" s="85"/>
      <c r="J153" s="85"/>
      <c r="K153" s="85"/>
    </row>
    <row r="154" spans="5:11" x14ac:dyDescent="0.25">
      <c r="E154" s="85"/>
      <c r="F154" s="85"/>
      <c r="G154" s="85"/>
      <c r="H154" s="85"/>
      <c r="I154" s="85"/>
      <c r="J154" s="85"/>
      <c r="K154" s="85"/>
    </row>
    <row r="155" spans="5:11" x14ac:dyDescent="0.25">
      <c r="E155" s="85"/>
      <c r="F155" s="85"/>
      <c r="G155" s="85"/>
      <c r="H155" s="85"/>
      <c r="I155" s="85"/>
      <c r="J155" s="85"/>
      <c r="K155" s="85"/>
    </row>
    <row r="156" spans="5:11" x14ac:dyDescent="0.25">
      <c r="E156" s="85"/>
      <c r="F156" s="85"/>
      <c r="G156" s="85"/>
      <c r="H156" s="85"/>
      <c r="I156" s="85"/>
      <c r="J156" s="85"/>
      <c r="K156" s="85"/>
    </row>
    <row r="157" spans="5:11" x14ac:dyDescent="0.25">
      <c r="E157" s="85"/>
      <c r="F157" s="85"/>
      <c r="G157" s="85"/>
      <c r="H157" s="85"/>
      <c r="I157" s="85"/>
      <c r="J157" s="85"/>
      <c r="K157" s="85"/>
    </row>
    <row r="158" spans="5:11" x14ac:dyDescent="0.25">
      <c r="E158" s="85"/>
      <c r="F158" s="85"/>
      <c r="G158" s="85"/>
      <c r="H158" s="85"/>
      <c r="I158" s="85"/>
      <c r="J158" s="85"/>
      <c r="K158" s="85"/>
    </row>
    <row r="159" spans="5:11" x14ac:dyDescent="0.25">
      <c r="E159" s="85"/>
      <c r="F159" s="85"/>
      <c r="G159" s="85"/>
      <c r="H159" s="85"/>
      <c r="I159" s="85"/>
      <c r="J159" s="85"/>
      <c r="K159" s="85"/>
    </row>
  </sheetData>
  <autoFilter ref="C2:S40" xr:uid="{95DD8A8A-38D0-4D43-9EC5-CC97873FD7A5}"/>
  <pageMargins left="0.7" right="0.7" top="0.75" bottom="0.75" header="0.3" footer="0.3"/>
  <pageSetup paperSize="9" scale="50" orientation="portrait" r:id="rId1"/>
  <colBreaks count="1" manualBreakCount="1">
    <brk id="6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Capitalization 18-19</vt:lpstr>
      <vt:lpstr>Summary Sheet 18-19</vt:lpstr>
      <vt:lpstr>Capitalization 19-20</vt:lpstr>
      <vt:lpstr>Capitalization 20-21</vt:lpstr>
      <vt:lpstr>'Summary Sheet 18-19'!Print_Area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ABPS</dc:creator>
  <cp:lastModifiedBy>ABPS</cp:lastModifiedBy>
  <dcterms:created xsi:type="dcterms:W3CDTF">2019-11-12T02:57:09Z</dcterms:created>
  <dcterms:modified xsi:type="dcterms:W3CDTF">2019-11-15T04:22:40Z</dcterms:modified>
</cp:coreProperties>
</file>