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1. Working Folder\1. Completed Assignments\14. BSPTCL_Tariff\2. FY 2024-25\3. Data Prepared\"/>
    </mc:Choice>
  </mc:AlternateContent>
  <xr:revisionPtr revIDLastSave="0" documentId="13_ncr:1_{8768E992-03C3-4BA4-B7FB-5E380552B873}" xr6:coauthVersionLast="47" xr6:coauthVersionMax="47" xr10:uidLastSave="{00000000-0000-0000-0000-000000000000}"/>
  <bookViews>
    <workbookView xWindow="-108" yWindow="-108" windowWidth="23256" windowHeight="12456" activeTab="4" xr2:uid="{00000000-000D-0000-FFFF-FFFF00000000}"/>
  </bookViews>
  <sheets>
    <sheet name="Capex &amp; Capitalization_Final" sheetId="14" r:id="rId1"/>
    <sheet name="Capex &amp; Capitalization_Old" sheetId="13" state="hidden" r:id="rId2"/>
    <sheet name="Summary Sheet" sheetId="11" r:id="rId3"/>
    <sheet name="Capex &amp; Capitalization_P1" sheetId="15" r:id="rId4"/>
    <sheet name="Capex &amp; Capitalization_P2" sheetId="16" r:id="rId5"/>
  </sheets>
  <definedNames>
    <definedName name="_xlnm._FilterDatabase" localSheetId="0" hidden="1">'Capex &amp; Capitalization_Final'!$A$2:$AF$488</definedName>
    <definedName name="_xlnm._FilterDatabase" localSheetId="1" hidden="1">'Capex &amp; Capitalization_Old'!$A$2:$AF$491</definedName>
    <definedName name="_xlnm._FilterDatabase" localSheetId="3" hidden="1">'Capex &amp; Capitalization_P1'!$A$2:$AF$53</definedName>
    <definedName name="_xlnm._FilterDatabase" localSheetId="4" hidden="1">'Capex &amp; Capitalization_P2'!$A$2:$AF$49</definedName>
    <definedName name="_xlnm.Print_Area" localSheetId="0">'Capex &amp; Capitalization_Final'!$A$1:$AF$488</definedName>
    <definedName name="_xlnm.Print_Area" localSheetId="1">'Capex &amp; Capitalization_Old'!$A$1:$AF$491</definedName>
    <definedName name="_xlnm.Print_Area" localSheetId="3">'Capex &amp; Capitalization_P1'!$A$1:$AF$53</definedName>
    <definedName name="_xlnm.Print_Area" localSheetId="4">'Capex &amp; Capitalization_P2'!$A$1:$AF$49</definedName>
  </definedNames>
  <calcPr calcId="191029" iterate="1"/>
</workbook>
</file>

<file path=xl/calcChain.xml><?xml version="1.0" encoding="utf-8"?>
<calcChain xmlns="http://schemas.openxmlformats.org/spreadsheetml/2006/main">
  <c r="V52" i="15" l="1"/>
  <c r="U52" i="15"/>
  <c r="V487" i="14"/>
  <c r="U487" i="14"/>
  <c r="S305" i="14"/>
  <c r="S300" i="14"/>
  <c r="S299" i="14"/>
  <c r="S285" i="14"/>
  <c r="S284" i="14"/>
  <c r="S290" i="14"/>
  <c r="S294" i="14"/>
  <c r="S292" i="14"/>
  <c r="S310" i="14"/>
  <c r="S280" i="14"/>
  <c r="S311" i="14"/>
  <c r="S420" i="14"/>
  <c r="S287" i="14"/>
  <c r="S309" i="14"/>
  <c r="W52" i="15" l="1"/>
  <c r="X52" i="15" s="1"/>
  <c r="Z52" i="15" s="1"/>
  <c r="AE52" i="15" s="1"/>
  <c r="W487" i="14"/>
  <c r="X487" i="14" s="1"/>
  <c r="Z487" i="14" s="1"/>
  <c r="AE487" i="14" s="1"/>
  <c r="A4" i="16"/>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4" i="15"/>
  <c r="A5" i="15" s="1"/>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Q59" i="15"/>
  <c r="T59" i="15"/>
  <c r="T61" i="15" s="1"/>
  <c r="Y59" i="15"/>
  <c r="Y61" i="15" s="1"/>
  <c r="AD59" i="15"/>
  <c r="AD61" i="15" s="1"/>
  <c r="P59" i="15"/>
  <c r="V53" i="15"/>
  <c r="X53" i="15" s="1"/>
  <c r="U53" i="15"/>
  <c r="V38" i="15"/>
  <c r="X38" i="15" s="1"/>
  <c r="AA38" i="15" s="1"/>
  <c r="AF38" i="15" s="1"/>
  <c r="U38" i="15"/>
  <c r="V58" i="16"/>
  <c r="S56" i="16"/>
  <c r="AD55" i="16"/>
  <c r="AD57" i="16" s="1"/>
  <c r="Y55" i="16"/>
  <c r="Y57" i="16" s="1"/>
  <c r="T55" i="16"/>
  <c r="T57" i="16" s="1"/>
  <c r="Q55" i="16"/>
  <c r="Q57" i="16" s="1"/>
  <c r="P55" i="16"/>
  <c r="P57" i="16" s="1"/>
  <c r="V49" i="16"/>
  <c r="U49" i="16"/>
  <c r="V48" i="16"/>
  <c r="X48" i="16" s="1"/>
  <c r="U48" i="16"/>
  <c r="V47" i="16"/>
  <c r="X47" i="16" s="1"/>
  <c r="U47" i="16"/>
  <c r="V46" i="16"/>
  <c r="X46" i="16" s="1"/>
  <c r="U46" i="16"/>
  <c r="W45" i="16"/>
  <c r="X45" i="16" s="1"/>
  <c r="V45" i="16"/>
  <c r="U45" i="16"/>
  <c r="W44" i="16"/>
  <c r="V44" i="16"/>
  <c r="U44" i="16"/>
  <c r="Z44" i="16" s="1"/>
  <c r="V43" i="16"/>
  <c r="U43" i="16"/>
  <c r="W42" i="16"/>
  <c r="S42" i="16"/>
  <c r="U42" i="16" s="1"/>
  <c r="W41" i="16"/>
  <c r="V41" i="16"/>
  <c r="AA41" i="16" s="1"/>
  <c r="U41" i="16"/>
  <c r="Z41" i="16" s="1"/>
  <c r="W40" i="16"/>
  <c r="V40" i="16"/>
  <c r="U40" i="16"/>
  <c r="Z40" i="16" s="1"/>
  <c r="W39" i="16"/>
  <c r="U39" i="16"/>
  <c r="Z39" i="16" s="1"/>
  <c r="R39" i="16"/>
  <c r="V39" i="16" s="1"/>
  <c r="W38" i="16"/>
  <c r="V38" i="16"/>
  <c r="AA38" i="16" s="1"/>
  <c r="U38" i="16"/>
  <c r="Z38" i="16" s="1"/>
  <c r="V37" i="16"/>
  <c r="AA37" i="16" s="1"/>
  <c r="AB37" i="16" s="1"/>
  <c r="U37" i="16"/>
  <c r="Z37" i="16" s="1"/>
  <c r="U36" i="16"/>
  <c r="R36" i="16"/>
  <c r="V36" i="16" s="1"/>
  <c r="W36" i="16" s="1"/>
  <c r="V35" i="16"/>
  <c r="U35" i="16"/>
  <c r="V34" i="16"/>
  <c r="U34" i="16"/>
  <c r="V33" i="16"/>
  <c r="W33" i="16" s="1"/>
  <c r="X33" i="16" s="1"/>
  <c r="U33" i="16"/>
  <c r="S32" i="16"/>
  <c r="V31" i="16"/>
  <c r="AA31" i="16" s="1"/>
  <c r="U31" i="16"/>
  <c r="Z31" i="16" s="1"/>
  <c r="V30" i="16"/>
  <c r="U30" i="16"/>
  <c r="U29" i="16"/>
  <c r="R29" i="16"/>
  <c r="V29" i="16" s="1"/>
  <c r="V28" i="16"/>
  <c r="U28" i="16"/>
  <c r="W27" i="16"/>
  <c r="U27" i="16"/>
  <c r="R27" i="16"/>
  <c r="V27" i="16" s="1"/>
  <c r="V26" i="16"/>
  <c r="U26" i="16"/>
  <c r="W25" i="16"/>
  <c r="V25" i="16"/>
  <c r="U25" i="16"/>
  <c r="S25" i="16"/>
  <c r="V24" i="16"/>
  <c r="U24" i="16"/>
  <c r="V23" i="16"/>
  <c r="U23" i="16"/>
  <c r="V22" i="16"/>
  <c r="U22" i="16"/>
  <c r="V21" i="16"/>
  <c r="U21" i="16"/>
  <c r="W20" i="16"/>
  <c r="V20" i="16"/>
  <c r="X20" i="16" s="1"/>
  <c r="AA20" i="16" s="1"/>
  <c r="AF20" i="16" s="1"/>
  <c r="U20" i="16"/>
  <c r="V19" i="16"/>
  <c r="W19" i="16" s="1"/>
  <c r="U19" i="16"/>
  <c r="V18" i="16"/>
  <c r="W18" i="16" s="1"/>
  <c r="U18" i="16"/>
  <c r="V17" i="16"/>
  <c r="AA17" i="16" s="1"/>
  <c r="U17" i="16"/>
  <c r="Z17" i="16" s="1"/>
  <c r="V16" i="16"/>
  <c r="U16" i="16"/>
  <c r="V15" i="16"/>
  <c r="U15" i="16"/>
  <c r="W14" i="16"/>
  <c r="X14" i="16" s="1"/>
  <c r="S14" i="16"/>
  <c r="V14" i="16" s="1"/>
  <c r="W13" i="16"/>
  <c r="X13" i="16" s="1"/>
  <c r="S13" i="16"/>
  <c r="V13" i="16" s="1"/>
  <c r="W12" i="16"/>
  <c r="X12" i="16" s="1"/>
  <c r="V12" i="16"/>
  <c r="S12" i="16"/>
  <c r="U12" i="16" s="1"/>
  <c r="V11" i="16"/>
  <c r="U11" i="16"/>
  <c r="W10" i="16"/>
  <c r="X10" i="16" s="1"/>
  <c r="V10" i="16"/>
  <c r="U10" i="16"/>
  <c r="V9" i="16"/>
  <c r="AA9" i="16" s="1"/>
  <c r="AF9" i="16" s="1"/>
  <c r="S9" i="16"/>
  <c r="U9" i="16" s="1"/>
  <c r="Z9" i="16" s="1"/>
  <c r="AE9" i="16" s="1"/>
  <c r="X8" i="16"/>
  <c r="S8" i="16"/>
  <c r="V8" i="16" s="1"/>
  <c r="V7" i="16"/>
  <c r="W7" i="16" s="1"/>
  <c r="X7" i="16" s="1"/>
  <c r="U7" i="16"/>
  <c r="W6" i="16"/>
  <c r="V6" i="16"/>
  <c r="X6" i="16" s="1"/>
  <c r="U6" i="16"/>
  <c r="W5" i="16"/>
  <c r="S5" i="16"/>
  <c r="W4" i="16"/>
  <c r="V4" i="16"/>
  <c r="U4" i="16"/>
  <c r="Z4" i="16" s="1"/>
  <c r="AE4" i="16" s="1"/>
  <c r="V3" i="16"/>
  <c r="AA3" i="16" s="1"/>
  <c r="AF3" i="16" s="1"/>
  <c r="U3" i="16"/>
  <c r="Z3" i="16" s="1"/>
  <c r="AE3" i="16" s="1"/>
  <c r="V62" i="15"/>
  <c r="S60" i="15"/>
  <c r="Q61" i="15"/>
  <c r="P61" i="15"/>
  <c r="V51" i="15"/>
  <c r="AA51" i="15" s="1"/>
  <c r="U51" i="15"/>
  <c r="Z51" i="15" s="1"/>
  <c r="W50" i="15"/>
  <c r="V50" i="15"/>
  <c r="U50" i="15"/>
  <c r="Z50" i="15" s="1"/>
  <c r="V49" i="15"/>
  <c r="AA49" i="15" s="1"/>
  <c r="U49" i="15"/>
  <c r="Z49" i="15" s="1"/>
  <c r="AC48" i="15"/>
  <c r="W48" i="15"/>
  <c r="V48" i="15"/>
  <c r="U48" i="15"/>
  <c r="Z48" i="15" s="1"/>
  <c r="V47" i="15"/>
  <c r="AA47" i="15" s="1"/>
  <c r="U47" i="15"/>
  <c r="Z47" i="15" s="1"/>
  <c r="W46" i="15"/>
  <c r="X46" i="15" s="1"/>
  <c r="V46" i="15"/>
  <c r="U46" i="15"/>
  <c r="W45" i="15"/>
  <c r="S45" i="15"/>
  <c r="V45" i="15" s="1"/>
  <c r="V44" i="15"/>
  <c r="W44" i="15" s="1"/>
  <c r="X44" i="15" s="1"/>
  <c r="U44" i="15"/>
  <c r="V43" i="15"/>
  <c r="AA43" i="15" s="1"/>
  <c r="AB43" i="15" s="1"/>
  <c r="U43" i="15"/>
  <c r="Z43" i="15" s="1"/>
  <c r="W42" i="15"/>
  <c r="U42" i="15"/>
  <c r="Z42" i="15" s="1"/>
  <c r="R42" i="15"/>
  <c r="V42" i="15" s="1"/>
  <c r="W41" i="15"/>
  <c r="V41" i="15"/>
  <c r="U41" i="15"/>
  <c r="Z41" i="15" s="1"/>
  <c r="V40" i="15"/>
  <c r="U40" i="15"/>
  <c r="W39" i="15"/>
  <c r="V39" i="15"/>
  <c r="U39" i="15"/>
  <c r="V37" i="15"/>
  <c r="W37" i="15" s="1"/>
  <c r="X37" i="15" s="1"/>
  <c r="U37" i="15"/>
  <c r="V36" i="15"/>
  <c r="W36" i="15" s="1"/>
  <c r="U36" i="15"/>
  <c r="V35" i="15"/>
  <c r="W35" i="15" s="1"/>
  <c r="X35" i="15" s="1"/>
  <c r="U35" i="15"/>
  <c r="V34" i="15"/>
  <c r="X34" i="15" s="1"/>
  <c r="U34" i="15"/>
  <c r="V33" i="15"/>
  <c r="U33" i="15"/>
  <c r="Z33" i="15" s="1"/>
  <c r="V32" i="15"/>
  <c r="U32" i="15"/>
  <c r="V31" i="15"/>
  <c r="AA31" i="15" s="1"/>
  <c r="AF31" i="15" s="1"/>
  <c r="U31" i="15"/>
  <c r="Z31" i="15" s="1"/>
  <c r="AE31" i="15" s="1"/>
  <c r="V30" i="15"/>
  <c r="U30" i="15"/>
  <c r="V29" i="15"/>
  <c r="U29" i="15"/>
  <c r="V28" i="15"/>
  <c r="AA28" i="15" s="1"/>
  <c r="AF28" i="15" s="1"/>
  <c r="U28" i="15"/>
  <c r="Z28" i="15" s="1"/>
  <c r="AE28" i="15" s="1"/>
  <c r="V27" i="15"/>
  <c r="U27" i="15"/>
  <c r="S26" i="15"/>
  <c r="U26" i="15" s="1"/>
  <c r="Z26" i="15" s="1"/>
  <c r="AE26" i="15" s="1"/>
  <c r="S25" i="15"/>
  <c r="V24" i="15"/>
  <c r="U24" i="15"/>
  <c r="V23" i="15"/>
  <c r="U23" i="15"/>
  <c r="V22" i="15"/>
  <c r="U22" i="15"/>
  <c r="V21" i="15"/>
  <c r="W21" i="15" s="1"/>
  <c r="X21" i="15" s="1"/>
  <c r="U21" i="15"/>
  <c r="W20" i="15"/>
  <c r="V20" i="15"/>
  <c r="U20" i="15"/>
  <c r="Z20" i="15" s="1"/>
  <c r="W19" i="15"/>
  <c r="V19" i="15"/>
  <c r="U19" i="15"/>
  <c r="Z19" i="15" s="1"/>
  <c r="W18" i="15"/>
  <c r="V18" i="15"/>
  <c r="U18" i="15"/>
  <c r="V17" i="15"/>
  <c r="U17" i="15"/>
  <c r="V16" i="15"/>
  <c r="U16" i="15"/>
  <c r="V15" i="15"/>
  <c r="W15" i="15" s="1"/>
  <c r="X15" i="15" s="1"/>
  <c r="U15" i="15"/>
  <c r="S14" i="15"/>
  <c r="V13" i="15"/>
  <c r="U13" i="15"/>
  <c r="Z13" i="15" s="1"/>
  <c r="V12" i="15"/>
  <c r="U12" i="15"/>
  <c r="V11" i="15"/>
  <c r="W11" i="15" s="1"/>
  <c r="U11" i="15"/>
  <c r="W10" i="15"/>
  <c r="S10" i="15"/>
  <c r="V9" i="15"/>
  <c r="U9" i="15"/>
  <c r="S8" i="15"/>
  <c r="U8" i="15" s="1"/>
  <c r="V7" i="15"/>
  <c r="X7" i="15" s="1"/>
  <c r="U7" i="15"/>
  <c r="V6" i="15"/>
  <c r="W6" i="15" s="1"/>
  <c r="X6" i="15" s="1"/>
  <c r="U6" i="15"/>
  <c r="V5" i="15"/>
  <c r="U5" i="15"/>
  <c r="W4" i="15"/>
  <c r="V4" i="15"/>
  <c r="U4" i="15"/>
  <c r="Z4" i="15" s="1"/>
  <c r="AE4" i="15" s="1"/>
  <c r="V3" i="15"/>
  <c r="AA3" i="15" s="1"/>
  <c r="AF3" i="15" s="1"/>
  <c r="U3" i="15"/>
  <c r="Z3" i="15" s="1"/>
  <c r="AE3" i="15" s="1"/>
  <c r="W470" i="14"/>
  <c r="W458" i="14"/>
  <c r="W457" i="14"/>
  <c r="W452" i="14"/>
  <c r="W451" i="14"/>
  <c r="W448" i="14"/>
  <c r="W314" i="14"/>
  <c r="W459" i="14"/>
  <c r="X285" i="14"/>
  <c r="W282" i="14"/>
  <c r="W308" i="14"/>
  <c r="W294" i="14"/>
  <c r="W473" i="14"/>
  <c r="W456" i="14"/>
  <c r="X456" i="14" s="1"/>
  <c r="W455" i="14"/>
  <c r="W450" i="14"/>
  <c r="AD494" i="14"/>
  <c r="AD496" i="14" s="1"/>
  <c r="Y494" i="14"/>
  <c r="Y496" i="14" s="1"/>
  <c r="T494" i="14"/>
  <c r="T496" i="14" s="1"/>
  <c r="Q494" i="14"/>
  <c r="Q496" i="14" s="1"/>
  <c r="P494" i="14"/>
  <c r="P496" i="14" s="1"/>
  <c r="V488" i="14"/>
  <c r="U488" i="14"/>
  <c r="V486" i="14"/>
  <c r="AA486" i="14" s="1"/>
  <c r="AF486" i="14" s="1"/>
  <c r="U486" i="14"/>
  <c r="Z486" i="14" s="1"/>
  <c r="AE486" i="14" s="1"/>
  <c r="V485" i="14"/>
  <c r="AA485" i="14" s="1"/>
  <c r="AF485" i="14" s="1"/>
  <c r="U485" i="14"/>
  <c r="Z485" i="14" s="1"/>
  <c r="AE485" i="14" s="1"/>
  <c r="V484" i="14"/>
  <c r="AA484" i="14" s="1"/>
  <c r="AF484" i="14" s="1"/>
  <c r="U484" i="14"/>
  <c r="Z484" i="14" s="1"/>
  <c r="AE484" i="14" s="1"/>
  <c r="V483" i="14"/>
  <c r="X483" i="14" s="1"/>
  <c r="U483" i="14"/>
  <c r="V482" i="14"/>
  <c r="X482" i="14" s="1"/>
  <c r="U482" i="14"/>
  <c r="V481" i="14"/>
  <c r="X481" i="14" s="1"/>
  <c r="AA481" i="14" s="1"/>
  <c r="AF481" i="14" s="1"/>
  <c r="U481" i="14"/>
  <c r="V480" i="14"/>
  <c r="U480" i="14"/>
  <c r="W479" i="14"/>
  <c r="X479" i="14" s="1"/>
  <c r="V479" i="14"/>
  <c r="U479" i="14"/>
  <c r="V478" i="14"/>
  <c r="AA478" i="14" s="1"/>
  <c r="AF478" i="14" s="1"/>
  <c r="U478" i="14"/>
  <c r="Z478" i="14" s="1"/>
  <c r="AE478" i="14" s="1"/>
  <c r="W477" i="14"/>
  <c r="V477" i="14"/>
  <c r="U477" i="14"/>
  <c r="Z477" i="14" s="1"/>
  <c r="V476" i="14"/>
  <c r="AA476" i="14" s="1"/>
  <c r="AF476" i="14" s="1"/>
  <c r="U476" i="14"/>
  <c r="Z476" i="14" s="1"/>
  <c r="AE476" i="14" s="1"/>
  <c r="V475" i="14"/>
  <c r="AA475" i="14" s="1"/>
  <c r="AF475" i="14" s="1"/>
  <c r="U475" i="14"/>
  <c r="Z475" i="14" s="1"/>
  <c r="AE475" i="14" s="1"/>
  <c r="V474" i="14"/>
  <c r="AA474" i="14" s="1"/>
  <c r="U474" i="14"/>
  <c r="Z474" i="14" s="1"/>
  <c r="V473" i="14"/>
  <c r="U473" i="14"/>
  <c r="Z473" i="14" s="1"/>
  <c r="V472" i="14"/>
  <c r="AA472" i="14" s="1"/>
  <c r="U472" i="14"/>
  <c r="Z472" i="14" s="1"/>
  <c r="V471" i="14"/>
  <c r="AA471" i="14" s="1"/>
  <c r="AF471" i="14" s="1"/>
  <c r="U471" i="14"/>
  <c r="Z471" i="14" s="1"/>
  <c r="AE471" i="14" s="1"/>
  <c r="AC470" i="14"/>
  <c r="V470" i="14"/>
  <c r="U470" i="14"/>
  <c r="Z470" i="14" s="1"/>
  <c r="V469" i="14"/>
  <c r="AA469" i="14" s="1"/>
  <c r="U469" i="14"/>
  <c r="Z469" i="14" s="1"/>
  <c r="V468" i="14"/>
  <c r="AA468" i="14" s="1"/>
  <c r="AF468" i="14" s="1"/>
  <c r="U468" i="14"/>
  <c r="Z468" i="14" s="1"/>
  <c r="AE468" i="14" s="1"/>
  <c r="V467" i="14"/>
  <c r="AA467" i="14" s="1"/>
  <c r="AF467" i="14" s="1"/>
  <c r="U467" i="14"/>
  <c r="Z467" i="14" s="1"/>
  <c r="AE467" i="14" s="1"/>
  <c r="V466" i="14"/>
  <c r="AA466" i="14" s="1"/>
  <c r="AF466" i="14" s="1"/>
  <c r="U466" i="14"/>
  <c r="Z466" i="14" s="1"/>
  <c r="AE466" i="14" s="1"/>
  <c r="V465" i="14"/>
  <c r="X465" i="14" s="1"/>
  <c r="U465" i="14"/>
  <c r="V464" i="14"/>
  <c r="AA464" i="14" s="1"/>
  <c r="AF464" i="14" s="1"/>
  <c r="U464" i="14"/>
  <c r="Z464" i="14" s="1"/>
  <c r="AE464" i="14" s="1"/>
  <c r="V463" i="14"/>
  <c r="AA463" i="14" s="1"/>
  <c r="AF463" i="14" s="1"/>
  <c r="U463" i="14"/>
  <c r="Z463" i="14" s="1"/>
  <c r="AE463" i="14" s="1"/>
  <c r="S462" i="14"/>
  <c r="U462" i="14" s="1"/>
  <c r="Z462" i="14" s="1"/>
  <c r="AE462" i="14" s="1"/>
  <c r="V461" i="14"/>
  <c r="AA461" i="14" s="1"/>
  <c r="AF461" i="14" s="1"/>
  <c r="U461" i="14"/>
  <c r="Z461" i="14" s="1"/>
  <c r="AE461" i="14" s="1"/>
  <c r="V460" i="14"/>
  <c r="AA460" i="14" s="1"/>
  <c r="AF460" i="14" s="1"/>
  <c r="U460" i="14"/>
  <c r="Z460" i="14" s="1"/>
  <c r="AE460" i="14" s="1"/>
  <c r="S459" i="14"/>
  <c r="U459" i="14" s="1"/>
  <c r="V458" i="14"/>
  <c r="U458" i="14"/>
  <c r="Z458" i="14" s="1"/>
  <c r="V457" i="14"/>
  <c r="U457" i="14"/>
  <c r="Z457" i="14" s="1"/>
  <c r="V456" i="14"/>
  <c r="U456" i="14"/>
  <c r="S455" i="14"/>
  <c r="V455" i="14" s="1"/>
  <c r="V454" i="14"/>
  <c r="W454" i="14" s="1"/>
  <c r="U454" i="14"/>
  <c r="V453" i="14"/>
  <c r="AA453" i="14" s="1"/>
  <c r="AB453" i="14" s="1"/>
  <c r="U453" i="14"/>
  <c r="Z453" i="14" s="1"/>
  <c r="U452" i="14"/>
  <c r="R452" i="14"/>
  <c r="V452" i="14" s="1"/>
  <c r="U451" i="14"/>
  <c r="Z451" i="14" s="1"/>
  <c r="R451" i="14"/>
  <c r="V451" i="14" s="1"/>
  <c r="V450" i="14"/>
  <c r="U450" i="14"/>
  <c r="Z450" i="14" s="1"/>
  <c r="V449" i="14"/>
  <c r="AA449" i="14" s="1"/>
  <c r="AF449" i="14" s="1"/>
  <c r="U449" i="14"/>
  <c r="Z449" i="14" s="1"/>
  <c r="AE449" i="14" s="1"/>
  <c r="V448" i="14"/>
  <c r="U448" i="14"/>
  <c r="Z448" i="14" s="1"/>
  <c r="V447" i="14"/>
  <c r="AA447" i="14" s="1"/>
  <c r="AF447" i="14" s="1"/>
  <c r="U447" i="14"/>
  <c r="Z447" i="14" s="1"/>
  <c r="AE447" i="14" s="1"/>
  <c r="V446" i="14"/>
  <c r="AA446" i="14" s="1"/>
  <c r="AF446" i="14" s="1"/>
  <c r="U446" i="14"/>
  <c r="Z446" i="14" s="1"/>
  <c r="AE446" i="14" s="1"/>
  <c r="V445" i="14"/>
  <c r="AA445" i="14" s="1"/>
  <c r="AF445" i="14" s="1"/>
  <c r="U445" i="14"/>
  <c r="Z445" i="14" s="1"/>
  <c r="AE445" i="14" s="1"/>
  <c r="V444" i="14"/>
  <c r="AA444" i="14" s="1"/>
  <c r="AF444" i="14" s="1"/>
  <c r="U444" i="14"/>
  <c r="Z444" i="14" s="1"/>
  <c r="AE444" i="14" s="1"/>
  <c r="V443" i="14"/>
  <c r="AA443" i="14" s="1"/>
  <c r="AF443" i="14" s="1"/>
  <c r="U443" i="14"/>
  <c r="Z443" i="14" s="1"/>
  <c r="AE443" i="14" s="1"/>
  <c r="S442" i="14"/>
  <c r="V441" i="14"/>
  <c r="AA441" i="14" s="1"/>
  <c r="AF441" i="14" s="1"/>
  <c r="U441" i="14"/>
  <c r="Z441" i="14" s="1"/>
  <c r="AE441" i="14" s="1"/>
  <c r="V440" i="14"/>
  <c r="AA440" i="14" s="1"/>
  <c r="AF440" i="14" s="1"/>
  <c r="U440" i="14"/>
  <c r="Z440" i="14" s="1"/>
  <c r="AE440" i="14" s="1"/>
  <c r="V439" i="14"/>
  <c r="AA439" i="14" s="1"/>
  <c r="AF439" i="14" s="1"/>
  <c r="U439" i="14"/>
  <c r="Z439" i="14" s="1"/>
  <c r="AE439" i="14" s="1"/>
  <c r="V438" i="14"/>
  <c r="AA438" i="14" s="1"/>
  <c r="AF438" i="14" s="1"/>
  <c r="U438" i="14"/>
  <c r="Z438" i="14" s="1"/>
  <c r="AE438" i="14" s="1"/>
  <c r="V437" i="14"/>
  <c r="AA437" i="14" s="1"/>
  <c r="AF437" i="14" s="1"/>
  <c r="U437" i="14"/>
  <c r="Z437" i="14" s="1"/>
  <c r="AE437" i="14" s="1"/>
  <c r="V436" i="14"/>
  <c r="AA436" i="14" s="1"/>
  <c r="AF436" i="14" s="1"/>
  <c r="U436" i="14"/>
  <c r="Z436" i="14" s="1"/>
  <c r="AE436" i="14" s="1"/>
  <c r="V435" i="14"/>
  <c r="AA435" i="14" s="1"/>
  <c r="AF435" i="14" s="1"/>
  <c r="U435" i="14"/>
  <c r="Z435" i="14" s="1"/>
  <c r="AE435" i="14" s="1"/>
  <c r="V434" i="14"/>
  <c r="AA434" i="14" s="1"/>
  <c r="AF434" i="14" s="1"/>
  <c r="U434" i="14"/>
  <c r="Z434" i="14" s="1"/>
  <c r="AE434" i="14" s="1"/>
  <c r="V433" i="14"/>
  <c r="AA433" i="14" s="1"/>
  <c r="AB433" i="14" s="1"/>
  <c r="U433" i="14"/>
  <c r="Z433" i="14" s="1"/>
  <c r="V432" i="14"/>
  <c r="U432" i="14"/>
  <c r="V431" i="14"/>
  <c r="AA431" i="14" s="1"/>
  <c r="AF431" i="14" s="1"/>
  <c r="U431" i="14"/>
  <c r="Z431" i="14" s="1"/>
  <c r="AE431" i="14" s="1"/>
  <c r="W430" i="14"/>
  <c r="V430" i="14"/>
  <c r="U430" i="14"/>
  <c r="V429" i="14"/>
  <c r="X429" i="14" s="1"/>
  <c r="U429" i="14"/>
  <c r="U428" i="14"/>
  <c r="R428" i="14"/>
  <c r="V428" i="14" s="1"/>
  <c r="V427" i="14"/>
  <c r="U427" i="14"/>
  <c r="V426" i="14"/>
  <c r="X426" i="14" s="1"/>
  <c r="U426" i="14"/>
  <c r="V425" i="14"/>
  <c r="AA425" i="14" s="1"/>
  <c r="AF425" i="14" s="1"/>
  <c r="U425" i="14"/>
  <c r="Z425" i="14" s="1"/>
  <c r="AE425" i="14" s="1"/>
  <c r="V424" i="14"/>
  <c r="AA424" i="14" s="1"/>
  <c r="AF424" i="14" s="1"/>
  <c r="U424" i="14"/>
  <c r="Z424" i="14" s="1"/>
  <c r="AE424" i="14" s="1"/>
  <c r="V423" i="14"/>
  <c r="W423" i="14" s="1"/>
  <c r="U423" i="14"/>
  <c r="V422" i="14"/>
  <c r="AA422" i="14" s="1"/>
  <c r="AF422" i="14" s="1"/>
  <c r="U422" i="14"/>
  <c r="Z422" i="14" s="1"/>
  <c r="AE422" i="14" s="1"/>
  <c r="V421" i="14"/>
  <c r="W421" i="14" s="1"/>
  <c r="U421" i="14"/>
  <c r="V420" i="14"/>
  <c r="S419" i="14"/>
  <c r="V418" i="14"/>
  <c r="AA418" i="14" s="1"/>
  <c r="AF418" i="14" s="1"/>
  <c r="U418" i="14"/>
  <c r="Z418" i="14" s="1"/>
  <c r="AE418" i="14" s="1"/>
  <c r="V417" i="14"/>
  <c r="AA417" i="14" s="1"/>
  <c r="U417" i="14"/>
  <c r="Z417" i="14" s="1"/>
  <c r="V416" i="14"/>
  <c r="U416" i="14"/>
  <c r="V415" i="14"/>
  <c r="W415" i="14" s="1"/>
  <c r="X415" i="14" s="1"/>
  <c r="U415" i="14"/>
  <c r="U414" i="14"/>
  <c r="R414" i="14"/>
  <c r="V414" i="14" s="1"/>
  <c r="V413" i="14"/>
  <c r="X413" i="14" s="1"/>
  <c r="AA413" i="14" s="1"/>
  <c r="AF413" i="14" s="1"/>
  <c r="U413" i="14"/>
  <c r="V412" i="14"/>
  <c r="U412" i="14"/>
  <c r="V411" i="14"/>
  <c r="X411" i="14" s="1"/>
  <c r="U411" i="14"/>
  <c r="S410" i="14"/>
  <c r="V410" i="14" s="1"/>
  <c r="AA410" i="14" s="1"/>
  <c r="AF410" i="14" s="1"/>
  <c r="V409" i="14"/>
  <c r="W409" i="14" s="1"/>
  <c r="U409" i="14"/>
  <c r="Z409" i="14" s="1"/>
  <c r="V408" i="14"/>
  <c r="U408" i="14"/>
  <c r="W407" i="14"/>
  <c r="U407" i="14"/>
  <c r="R407" i="14"/>
  <c r="V407" i="14" s="1"/>
  <c r="V406" i="14"/>
  <c r="AA406" i="14" s="1"/>
  <c r="AF406" i="14" s="1"/>
  <c r="U406" i="14"/>
  <c r="Z406" i="14" s="1"/>
  <c r="AE406" i="14" s="1"/>
  <c r="V405" i="14"/>
  <c r="AA405" i="14" s="1"/>
  <c r="AF405" i="14" s="1"/>
  <c r="U405" i="14"/>
  <c r="Z405" i="14" s="1"/>
  <c r="AE405" i="14" s="1"/>
  <c r="V404" i="14"/>
  <c r="AA404" i="14" s="1"/>
  <c r="AF404" i="14" s="1"/>
  <c r="U404" i="14"/>
  <c r="Z404" i="14" s="1"/>
  <c r="AE404" i="14" s="1"/>
  <c r="V403" i="14"/>
  <c r="U403" i="14"/>
  <c r="V402" i="14"/>
  <c r="U402" i="14"/>
  <c r="V401" i="14"/>
  <c r="W401" i="14" s="1"/>
  <c r="X401" i="14" s="1"/>
  <c r="U401" i="14"/>
  <c r="W400" i="14"/>
  <c r="S400" i="14"/>
  <c r="U400" i="14" s="1"/>
  <c r="V399" i="14"/>
  <c r="AA399" i="14" s="1"/>
  <c r="AF399" i="14" s="1"/>
  <c r="U399" i="14"/>
  <c r="Z399" i="14" s="1"/>
  <c r="AE399" i="14" s="1"/>
  <c r="V398" i="14"/>
  <c r="AA398" i="14" s="1"/>
  <c r="AF398" i="14" s="1"/>
  <c r="U398" i="14"/>
  <c r="Z398" i="14" s="1"/>
  <c r="AE398" i="14" s="1"/>
  <c r="V397" i="14"/>
  <c r="AA397" i="14" s="1"/>
  <c r="AF397" i="14" s="1"/>
  <c r="U397" i="14"/>
  <c r="Z397" i="14" s="1"/>
  <c r="AE397" i="14" s="1"/>
  <c r="V396" i="14"/>
  <c r="AA396" i="14" s="1"/>
  <c r="AF396" i="14" s="1"/>
  <c r="U396" i="14"/>
  <c r="Z396" i="14" s="1"/>
  <c r="AE396" i="14" s="1"/>
  <c r="V395" i="14"/>
  <c r="AA395" i="14" s="1"/>
  <c r="AF395" i="14" s="1"/>
  <c r="U395" i="14"/>
  <c r="Z395" i="14" s="1"/>
  <c r="AE395" i="14" s="1"/>
  <c r="S394" i="14"/>
  <c r="U394" i="14" s="1"/>
  <c r="Z394" i="14" s="1"/>
  <c r="AE394" i="14" s="1"/>
  <c r="R394" i="14"/>
  <c r="V393" i="14"/>
  <c r="AA393" i="14" s="1"/>
  <c r="AF393" i="14" s="1"/>
  <c r="U393" i="14"/>
  <c r="Z393" i="14" s="1"/>
  <c r="AE393" i="14" s="1"/>
  <c r="V392" i="14"/>
  <c r="AA392" i="14" s="1"/>
  <c r="AF392" i="14" s="1"/>
  <c r="U392" i="14"/>
  <c r="Z392" i="14" s="1"/>
  <c r="AE392" i="14" s="1"/>
  <c r="V391" i="14"/>
  <c r="AA391" i="14" s="1"/>
  <c r="AF391" i="14" s="1"/>
  <c r="U391" i="14"/>
  <c r="Z391" i="14" s="1"/>
  <c r="AE391" i="14" s="1"/>
  <c r="V390" i="14"/>
  <c r="U390" i="14"/>
  <c r="V389" i="14"/>
  <c r="AA389" i="14" s="1"/>
  <c r="AF389" i="14" s="1"/>
  <c r="U389" i="14"/>
  <c r="Z389" i="14" s="1"/>
  <c r="AE389" i="14" s="1"/>
  <c r="V388" i="14"/>
  <c r="AA388" i="14" s="1"/>
  <c r="AF388" i="14" s="1"/>
  <c r="U388" i="14"/>
  <c r="Z388" i="14" s="1"/>
  <c r="AE388" i="14" s="1"/>
  <c r="V387" i="14"/>
  <c r="AA387" i="14" s="1"/>
  <c r="AF387" i="14" s="1"/>
  <c r="U387" i="14"/>
  <c r="Z387" i="14" s="1"/>
  <c r="AE387" i="14" s="1"/>
  <c r="V386" i="14"/>
  <c r="AA386" i="14" s="1"/>
  <c r="AF386" i="14" s="1"/>
  <c r="U386" i="14"/>
  <c r="Z386" i="14" s="1"/>
  <c r="AE386" i="14" s="1"/>
  <c r="V385" i="14"/>
  <c r="AA385" i="14" s="1"/>
  <c r="AF385" i="14" s="1"/>
  <c r="U385" i="14"/>
  <c r="Z385" i="14" s="1"/>
  <c r="AE385" i="14" s="1"/>
  <c r="S384" i="14"/>
  <c r="U384" i="14" s="1"/>
  <c r="Z384" i="14" s="1"/>
  <c r="AE384" i="14" s="1"/>
  <c r="V383" i="14"/>
  <c r="AA383" i="14" s="1"/>
  <c r="AF383" i="14" s="1"/>
  <c r="U383" i="14"/>
  <c r="Z383" i="14" s="1"/>
  <c r="AE383" i="14" s="1"/>
  <c r="S382" i="14"/>
  <c r="U382" i="14" s="1"/>
  <c r="V381" i="14"/>
  <c r="AA381" i="14" s="1"/>
  <c r="AF381" i="14" s="1"/>
  <c r="U381" i="14"/>
  <c r="Z381" i="14" s="1"/>
  <c r="AE381" i="14" s="1"/>
  <c r="S380" i="14"/>
  <c r="U380" i="14" s="1"/>
  <c r="Z380" i="14" s="1"/>
  <c r="AE380" i="14" s="1"/>
  <c r="R380" i="14"/>
  <c r="V379" i="14"/>
  <c r="AA379" i="14" s="1"/>
  <c r="AF379" i="14" s="1"/>
  <c r="U379" i="14"/>
  <c r="Z379" i="14" s="1"/>
  <c r="AE379" i="14" s="1"/>
  <c r="V378" i="14"/>
  <c r="AA378" i="14" s="1"/>
  <c r="AF378" i="14" s="1"/>
  <c r="U378" i="14"/>
  <c r="Z378" i="14" s="1"/>
  <c r="AE378" i="14" s="1"/>
  <c r="V377" i="14"/>
  <c r="AA377" i="14" s="1"/>
  <c r="AF377" i="14" s="1"/>
  <c r="U377" i="14"/>
  <c r="Z377" i="14" s="1"/>
  <c r="AE377" i="14" s="1"/>
  <c r="V376" i="14"/>
  <c r="AA376" i="14" s="1"/>
  <c r="AF376" i="14" s="1"/>
  <c r="U376" i="14"/>
  <c r="Z376" i="14" s="1"/>
  <c r="AE376" i="14" s="1"/>
  <c r="V375" i="14"/>
  <c r="AA375" i="14" s="1"/>
  <c r="AF375" i="14" s="1"/>
  <c r="U375" i="14"/>
  <c r="Z375" i="14" s="1"/>
  <c r="AE375" i="14" s="1"/>
  <c r="V374" i="14"/>
  <c r="AA374" i="14" s="1"/>
  <c r="AF374" i="14" s="1"/>
  <c r="U374" i="14"/>
  <c r="Z374" i="14" s="1"/>
  <c r="AE374" i="14" s="1"/>
  <c r="S373" i="14"/>
  <c r="V372" i="14"/>
  <c r="AA372" i="14" s="1"/>
  <c r="AF372" i="14" s="1"/>
  <c r="U372" i="14"/>
  <c r="Z372" i="14" s="1"/>
  <c r="AE372" i="14" s="1"/>
  <c r="V371" i="14"/>
  <c r="AA371" i="14" s="1"/>
  <c r="AF371" i="14" s="1"/>
  <c r="U371" i="14"/>
  <c r="Z371" i="14" s="1"/>
  <c r="AE371" i="14" s="1"/>
  <c r="V370" i="14"/>
  <c r="AA370" i="14" s="1"/>
  <c r="AF370" i="14" s="1"/>
  <c r="U370" i="14"/>
  <c r="Z370" i="14" s="1"/>
  <c r="AE370" i="14" s="1"/>
  <c r="V369" i="14"/>
  <c r="AA369" i="14" s="1"/>
  <c r="AF369" i="14" s="1"/>
  <c r="U369" i="14"/>
  <c r="Z369" i="14" s="1"/>
  <c r="AE369" i="14" s="1"/>
  <c r="V368" i="14"/>
  <c r="AA368" i="14" s="1"/>
  <c r="AF368" i="14" s="1"/>
  <c r="U368" i="14"/>
  <c r="Z368" i="14" s="1"/>
  <c r="AE368" i="14" s="1"/>
  <c r="V367" i="14"/>
  <c r="U367" i="14"/>
  <c r="Z367" i="14" s="1"/>
  <c r="AE367" i="14" s="1"/>
  <c r="V366" i="14"/>
  <c r="AA366" i="14" s="1"/>
  <c r="AF366" i="14" s="1"/>
  <c r="U366" i="14"/>
  <c r="Z366" i="14" s="1"/>
  <c r="AE366" i="14" s="1"/>
  <c r="V365" i="14"/>
  <c r="AA365" i="14" s="1"/>
  <c r="AF365" i="14" s="1"/>
  <c r="U365" i="14"/>
  <c r="Z365" i="14" s="1"/>
  <c r="AE365" i="14" s="1"/>
  <c r="V364" i="14"/>
  <c r="AA364" i="14" s="1"/>
  <c r="AF364" i="14" s="1"/>
  <c r="U364" i="14"/>
  <c r="Z364" i="14" s="1"/>
  <c r="AE364" i="14" s="1"/>
  <c r="V363" i="14"/>
  <c r="AA363" i="14" s="1"/>
  <c r="AF363" i="14" s="1"/>
  <c r="U363" i="14"/>
  <c r="Z363" i="14" s="1"/>
  <c r="AE363" i="14" s="1"/>
  <c r="V362" i="14"/>
  <c r="AA362" i="14" s="1"/>
  <c r="AF362" i="14" s="1"/>
  <c r="U362" i="14"/>
  <c r="Z362" i="14" s="1"/>
  <c r="AE362" i="14" s="1"/>
  <c r="V361" i="14"/>
  <c r="AA361" i="14" s="1"/>
  <c r="AF361" i="14" s="1"/>
  <c r="U361" i="14"/>
  <c r="Z361" i="14" s="1"/>
  <c r="AE361" i="14" s="1"/>
  <c r="V360" i="14"/>
  <c r="AA360" i="14" s="1"/>
  <c r="AF360" i="14" s="1"/>
  <c r="U360" i="14"/>
  <c r="Z360" i="14" s="1"/>
  <c r="AE360" i="14" s="1"/>
  <c r="V359" i="14"/>
  <c r="AA359" i="14" s="1"/>
  <c r="AF359" i="14" s="1"/>
  <c r="U359" i="14"/>
  <c r="Z359" i="14" s="1"/>
  <c r="AE359" i="14" s="1"/>
  <c r="V358" i="14"/>
  <c r="AA358" i="14" s="1"/>
  <c r="AF358" i="14" s="1"/>
  <c r="U358" i="14"/>
  <c r="Z358" i="14" s="1"/>
  <c r="AE358" i="14" s="1"/>
  <c r="V357" i="14"/>
  <c r="AA357" i="14" s="1"/>
  <c r="AF357" i="14" s="1"/>
  <c r="U357" i="14"/>
  <c r="Z357" i="14" s="1"/>
  <c r="AE357" i="14" s="1"/>
  <c r="V356" i="14"/>
  <c r="AA356" i="14" s="1"/>
  <c r="AF356" i="14" s="1"/>
  <c r="U356" i="14"/>
  <c r="Z356" i="14" s="1"/>
  <c r="AE356" i="14" s="1"/>
  <c r="V355" i="14"/>
  <c r="AA355" i="14" s="1"/>
  <c r="AF355" i="14" s="1"/>
  <c r="U355" i="14"/>
  <c r="Z355" i="14" s="1"/>
  <c r="AE355" i="14" s="1"/>
  <c r="V354" i="14"/>
  <c r="AA354" i="14" s="1"/>
  <c r="AF354" i="14" s="1"/>
  <c r="U354" i="14"/>
  <c r="Z354" i="14" s="1"/>
  <c r="AE354" i="14" s="1"/>
  <c r="V353" i="14"/>
  <c r="AA353" i="14" s="1"/>
  <c r="AF353" i="14" s="1"/>
  <c r="U353" i="14"/>
  <c r="Z353" i="14" s="1"/>
  <c r="AE353" i="14" s="1"/>
  <c r="V352" i="14"/>
  <c r="X352" i="14" s="1"/>
  <c r="U352" i="14"/>
  <c r="V351" i="14"/>
  <c r="AA351" i="14" s="1"/>
  <c r="AF351" i="14" s="1"/>
  <c r="U351" i="14"/>
  <c r="Z351" i="14" s="1"/>
  <c r="AE351" i="14" s="1"/>
  <c r="V350" i="14"/>
  <c r="AA350" i="14" s="1"/>
  <c r="AF350" i="14" s="1"/>
  <c r="U350" i="14"/>
  <c r="Z350" i="14" s="1"/>
  <c r="AE350" i="14" s="1"/>
  <c r="V349" i="14"/>
  <c r="AA349" i="14" s="1"/>
  <c r="AF349" i="14" s="1"/>
  <c r="U349" i="14"/>
  <c r="Z349" i="14" s="1"/>
  <c r="AE349" i="14" s="1"/>
  <c r="V348" i="14"/>
  <c r="AA348" i="14" s="1"/>
  <c r="AF348" i="14" s="1"/>
  <c r="U348" i="14"/>
  <c r="Z348" i="14" s="1"/>
  <c r="AE348" i="14" s="1"/>
  <c r="V347" i="14"/>
  <c r="AA347" i="14" s="1"/>
  <c r="AF347" i="14" s="1"/>
  <c r="U347" i="14"/>
  <c r="Z347" i="14" s="1"/>
  <c r="AE347" i="14" s="1"/>
  <c r="V346" i="14"/>
  <c r="AA346" i="14" s="1"/>
  <c r="AF346" i="14" s="1"/>
  <c r="U346" i="14"/>
  <c r="Z346" i="14" s="1"/>
  <c r="AE346" i="14" s="1"/>
  <c r="V345" i="14"/>
  <c r="AA345" i="14" s="1"/>
  <c r="AF345" i="14" s="1"/>
  <c r="U345" i="14"/>
  <c r="Z345" i="14" s="1"/>
  <c r="AE345" i="14" s="1"/>
  <c r="V344" i="14"/>
  <c r="AA344" i="14" s="1"/>
  <c r="AF344" i="14" s="1"/>
  <c r="U344" i="14"/>
  <c r="Z344" i="14" s="1"/>
  <c r="AE344" i="14" s="1"/>
  <c r="V343" i="14"/>
  <c r="AA343" i="14" s="1"/>
  <c r="AF343" i="14" s="1"/>
  <c r="U343" i="14"/>
  <c r="Z343" i="14" s="1"/>
  <c r="AE343" i="14" s="1"/>
  <c r="V342" i="14"/>
  <c r="AA342" i="14" s="1"/>
  <c r="AF342" i="14" s="1"/>
  <c r="U342" i="14"/>
  <c r="Z342" i="14" s="1"/>
  <c r="AE342" i="14" s="1"/>
  <c r="V341" i="14"/>
  <c r="AA341" i="14" s="1"/>
  <c r="AF341" i="14" s="1"/>
  <c r="U341" i="14"/>
  <c r="Z341" i="14" s="1"/>
  <c r="AE341" i="14" s="1"/>
  <c r="V340" i="14"/>
  <c r="AA340" i="14" s="1"/>
  <c r="AF340" i="14" s="1"/>
  <c r="U340" i="14"/>
  <c r="Z340" i="14" s="1"/>
  <c r="AE340" i="14" s="1"/>
  <c r="V339" i="14"/>
  <c r="AA339" i="14" s="1"/>
  <c r="AF339" i="14" s="1"/>
  <c r="U339" i="14"/>
  <c r="Z339" i="14" s="1"/>
  <c r="AE339" i="14" s="1"/>
  <c r="V338" i="14"/>
  <c r="AA338" i="14" s="1"/>
  <c r="AF338" i="14" s="1"/>
  <c r="U338" i="14"/>
  <c r="Z338" i="14" s="1"/>
  <c r="AE338" i="14" s="1"/>
  <c r="V337" i="14"/>
  <c r="AA337" i="14" s="1"/>
  <c r="AF337" i="14" s="1"/>
  <c r="U337" i="14"/>
  <c r="Z337" i="14" s="1"/>
  <c r="AE337" i="14" s="1"/>
  <c r="V336" i="14"/>
  <c r="AA336" i="14" s="1"/>
  <c r="AF336" i="14" s="1"/>
  <c r="U336" i="14"/>
  <c r="Z336" i="14" s="1"/>
  <c r="AE336" i="14" s="1"/>
  <c r="V335" i="14"/>
  <c r="AA335" i="14" s="1"/>
  <c r="AF335" i="14" s="1"/>
  <c r="U335" i="14"/>
  <c r="Z335" i="14" s="1"/>
  <c r="AE335" i="14" s="1"/>
  <c r="S334" i="14"/>
  <c r="V333" i="14"/>
  <c r="X333" i="14" s="1"/>
  <c r="U333" i="14"/>
  <c r="V332" i="14"/>
  <c r="AA332" i="14" s="1"/>
  <c r="AF332" i="14" s="1"/>
  <c r="U332" i="14"/>
  <c r="Z332" i="14" s="1"/>
  <c r="AE332" i="14" s="1"/>
  <c r="S331" i="14"/>
  <c r="U331" i="14" s="1"/>
  <c r="Z331" i="14" s="1"/>
  <c r="AE331" i="14" s="1"/>
  <c r="V330" i="14"/>
  <c r="AA330" i="14" s="1"/>
  <c r="AF330" i="14" s="1"/>
  <c r="U330" i="14"/>
  <c r="Z330" i="14" s="1"/>
  <c r="AE330" i="14" s="1"/>
  <c r="V329" i="14"/>
  <c r="W329" i="14" s="1"/>
  <c r="U329" i="14"/>
  <c r="V328" i="14"/>
  <c r="AA328" i="14" s="1"/>
  <c r="AF328" i="14" s="1"/>
  <c r="U328" i="14"/>
  <c r="Z328" i="14" s="1"/>
  <c r="AE328" i="14" s="1"/>
  <c r="V327" i="14"/>
  <c r="U327" i="14"/>
  <c r="W326" i="14"/>
  <c r="V326" i="14"/>
  <c r="U326" i="14"/>
  <c r="V325" i="14"/>
  <c r="U325" i="14"/>
  <c r="V324" i="14"/>
  <c r="W324" i="14" s="1"/>
  <c r="U324" i="14"/>
  <c r="V323" i="14"/>
  <c r="AA323" i="14" s="1"/>
  <c r="U323" i="14"/>
  <c r="Z323" i="14" s="1"/>
  <c r="V322" i="14"/>
  <c r="W322" i="14" s="1"/>
  <c r="X322" i="14" s="1"/>
  <c r="U322" i="14"/>
  <c r="V321" i="14"/>
  <c r="W321" i="14" s="1"/>
  <c r="X321" i="14" s="1"/>
  <c r="U321" i="14"/>
  <c r="S320" i="14"/>
  <c r="U320" i="14" s="1"/>
  <c r="Z320" i="14" s="1"/>
  <c r="AE320" i="14" s="1"/>
  <c r="V319" i="14"/>
  <c r="AA319" i="14" s="1"/>
  <c r="AF319" i="14" s="1"/>
  <c r="U319" i="14"/>
  <c r="Z319" i="14" s="1"/>
  <c r="AE319" i="14" s="1"/>
  <c r="V318" i="14"/>
  <c r="U318" i="14"/>
  <c r="V317" i="14"/>
  <c r="U317" i="14"/>
  <c r="V316" i="14"/>
  <c r="W316" i="14" s="1"/>
  <c r="X316" i="14" s="1"/>
  <c r="U316" i="14"/>
  <c r="W315" i="14"/>
  <c r="V315" i="14"/>
  <c r="U315" i="14"/>
  <c r="Z315" i="14" s="1"/>
  <c r="V314" i="14"/>
  <c r="U314" i="14"/>
  <c r="V313" i="14"/>
  <c r="W313" i="14" s="1"/>
  <c r="X313" i="14" s="1"/>
  <c r="U313" i="14"/>
  <c r="V312" i="14"/>
  <c r="AA312" i="14" s="1"/>
  <c r="AF312" i="14" s="1"/>
  <c r="U312" i="14"/>
  <c r="Z312" i="14" s="1"/>
  <c r="AE312" i="14" s="1"/>
  <c r="W311" i="14"/>
  <c r="X311" i="14" s="1"/>
  <c r="U311" i="14"/>
  <c r="W310" i="14"/>
  <c r="X310" i="14" s="1"/>
  <c r="U310" i="14"/>
  <c r="W309" i="14"/>
  <c r="X309" i="14" s="1"/>
  <c r="U309" i="14"/>
  <c r="V308" i="14"/>
  <c r="U308" i="14"/>
  <c r="V307" i="14"/>
  <c r="U307" i="14"/>
  <c r="W306" i="14"/>
  <c r="X306" i="14" s="1"/>
  <c r="V306" i="14"/>
  <c r="U306" i="14"/>
  <c r="V305" i="14"/>
  <c r="AA305" i="14" s="1"/>
  <c r="AF305" i="14" s="1"/>
  <c r="V304" i="14"/>
  <c r="W304" i="14" s="1"/>
  <c r="X304" i="14" s="1"/>
  <c r="U304" i="14"/>
  <c r="V303" i="14"/>
  <c r="U303" i="14"/>
  <c r="V302" i="14"/>
  <c r="W302" i="14" s="1"/>
  <c r="U302" i="14"/>
  <c r="V301" i="14"/>
  <c r="AA301" i="14" s="1"/>
  <c r="AF301" i="14" s="1"/>
  <c r="U301" i="14"/>
  <c r="Z301" i="14" s="1"/>
  <c r="AE301" i="14" s="1"/>
  <c r="V300" i="14"/>
  <c r="AA300" i="14" s="1"/>
  <c r="AF300" i="14" s="1"/>
  <c r="U299" i="14"/>
  <c r="V298" i="14"/>
  <c r="W298" i="14" s="1"/>
  <c r="U298" i="14"/>
  <c r="Z298" i="14" s="1"/>
  <c r="V297" i="14"/>
  <c r="AA297" i="14" s="1"/>
  <c r="AF297" i="14" s="1"/>
  <c r="U297" i="14"/>
  <c r="Z297" i="14" s="1"/>
  <c r="AE297" i="14" s="1"/>
  <c r="V296" i="14"/>
  <c r="X296" i="14" s="1"/>
  <c r="AA296" i="14" s="1"/>
  <c r="AF296" i="14" s="1"/>
  <c r="U296" i="14"/>
  <c r="V295" i="14"/>
  <c r="U295" i="14"/>
  <c r="V294" i="14"/>
  <c r="V293" i="14"/>
  <c r="U293" i="14"/>
  <c r="V292" i="14"/>
  <c r="V291" i="14"/>
  <c r="X291" i="14" s="1"/>
  <c r="U291" i="14"/>
  <c r="V290" i="14"/>
  <c r="AA290" i="14" s="1"/>
  <c r="AF290" i="14" s="1"/>
  <c r="V289" i="14"/>
  <c r="U289" i="14"/>
  <c r="V288" i="14"/>
  <c r="AA288" i="14" s="1"/>
  <c r="AF288" i="14" s="1"/>
  <c r="U288" i="14"/>
  <c r="Z288" i="14" s="1"/>
  <c r="AE288" i="14" s="1"/>
  <c r="V287" i="14"/>
  <c r="AA287" i="14" s="1"/>
  <c r="AF287" i="14" s="1"/>
  <c r="V286" i="14"/>
  <c r="AA286" i="14" s="1"/>
  <c r="AF286" i="14" s="1"/>
  <c r="U286" i="14"/>
  <c r="Z286" i="14" s="1"/>
  <c r="AE286" i="14" s="1"/>
  <c r="V285" i="14"/>
  <c r="V284" i="14"/>
  <c r="AA284" i="14" s="1"/>
  <c r="AF284" i="14" s="1"/>
  <c r="V283" i="14"/>
  <c r="U283" i="14"/>
  <c r="V282" i="14"/>
  <c r="U282" i="14"/>
  <c r="V281" i="14"/>
  <c r="W281" i="14" s="1"/>
  <c r="U281" i="14"/>
  <c r="U280" i="14"/>
  <c r="Z280" i="14" s="1"/>
  <c r="AE280" i="14" s="1"/>
  <c r="V279" i="14"/>
  <c r="AA279" i="14" s="1"/>
  <c r="AF279" i="14" s="1"/>
  <c r="U279" i="14"/>
  <c r="Z279" i="14" s="1"/>
  <c r="AE279" i="14" s="1"/>
  <c r="V278" i="14"/>
  <c r="AA278" i="14" s="1"/>
  <c r="AF278" i="14" s="1"/>
  <c r="U278" i="14"/>
  <c r="Z278" i="14" s="1"/>
  <c r="AE278" i="14" s="1"/>
  <c r="V277" i="14"/>
  <c r="AA277" i="14" s="1"/>
  <c r="AF277" i="14" s="1"/>
  <c r="U277" i="14"/>
  <c r="Z277" i="14" s="1"/>
  <c r="AE277" i="14" s="1"/>
  <c r="V276" i="14"/>
  <c r="AA276" i="14" s="1"/>
  <c r="AF276" i="14" s="1"/>
  <c r="U276" i="14"/>
  <c r="Z276" i="14" s="1"/>
  <c r="AE276" i="14" s="1"/>
  <c r="V275" i="14"/>
  <c r="AA275" i="14" s="1"/>
  <c r="AF275" i="14" s="1"/>
  <c r="U275" i="14"/>
  <c r="Z275" i="14" s="1"/>
  <c r="AE275" i="14" s="1"/>
  <c r="V274" i="14"/>
  <c r="AA274" i="14" s="1"/>
  <c r="AF274" i="14" s="1"/>
  <c r="U274" i="14"/>
  <c r="Z274" i="14" s="1"/>
  <c r="AE274" i="14" s="1"/>
  <c r="V273" i="14"/>
  <c r="AA273" i="14" s="1"/>
  <c r="AF273" i="14" s="1"/>
  <c r="U273" i="14"/>
  <c r="Z273" i="14" s="1"/>
  <c r="AE273" i="14" s="1"/>
  <c r="V272" i="14"/>
  <c r="AA272" i="14" s="1"/>
  <c r="AF272" i="14" s="1"/>
  <c r="U272" i="14"/>
  <c r="Z272" i="14" s="1"/>
  <c r="AE272" i="14" s="1"/>
  <c r="V271" i="14"/>
  <c r="AA271" i="14" s="1"/>
  <c r="AF271" i="14" s="1"/>
  <c r="U271" i="14"/>
  <c r="Z271" i="14" s="1"/>
  <c r="AE271" i="14" s="1"/>
  <c r="V270" i="14"/>
  <c r="AA270" i="14" s="1"/>
  <c r="AF270" i="14" s="1"/>
  <c r="U270" i="14"/>
  <c r="Z270" i="14" s="1"/>
  <c r="AE270" i="14" s="1"/>
  <c r="V269" i="14"/>
  <c r="AA269" i="14" s="1"/>
  <c r="AF269" i="14" s="1"/>
  <c r="U269" i="14"/>
  <c r="Z269" i="14" s="1"/>
  <c r="AE269" i="14" s="1"/>
  <c r="V268" i="14"/>
  <c r="AA268" i="14" s="1"/>
  <c r="AF268" i="14" s="1"/>
  <c r="U268" i="14"/>
  <c r="Z268" i="14" s="1"/>
  <c r="AE268" i="14" s="1"/>
  <c r="V267" i="14"/>
  <c r="AA267" i="14" s="1"/>
  <c r="AF267" i="14" s="1"/>
  <c r="U267" i="14"/>
  <c r="Z267" i="14" s="1"/>
  <c r="AE267" i="14" s="1"/>
  <c r="V266" i="14"/>
  <c r="AA266" i="14" s="1"/>
  <c r="AF266" i="14" s="1"/>
  <c r="U266" i="14"/>
  <c r="Z266" i="14" s="1"/>
  <c r="AE266" i="14" s="1"/>
  <c r="V265" i="14"/>
  <c r="AA265" i="14" s="1"/>
  <c r="AF265" i="14" s="1"/>
  <c r="U265" i="14"/>
  <c r="Z265" i="14" s="1"/>
  <c r="AE265" i="14" s="1"/>
  <c r="V264" i="14"/>
  <c r="AA264" i="14" s="1"/>
  <c r="AF264" i="14" s="1"/>
  <c r="U264" i="14"/>
  <c r="Z264" i="14" s="1"/>
  <c r="AE264" i="14" s="1"/>
  <c r="V263" i="14"/>
  <c r="AA263" i="14" s="1"/>
  <c r="AF263" i="14" s="1"/>
  <c r="U263" i="14"/>
  <c r="Z263" i="14" s="1"/>
  <c r="AE263" i="14" s="1"/>
  <c r="V262" i="14"/>
  <c r="AA262" i="14" s="1"/>
  <c r="AF262" i="14" s="1"/>
  <c r="U262" i="14"/>
  <c r="Z262" i="14" s="1"/>
  <c r="AE262" i="14" s="1"/>
  <c r="V261" i="14"/>
  <c r="AA261" i="14" s="1"/>
  <c r="AF261" i="14" s="1"/>
  <c r="U261" i="14"/>
  <c r="Z261" i="14" s="1"/>
  <c r="AE261" i="14" s="1"/>
  <c r="V260" i="14"/>
  <c r="AA260" i="14" s="1"/>
  <c r="AF260" i="14" s="1"/>
  <c r="U260" i="14"/>
  <c r="Z260" i="14" s="1"/>
  <c r="AE260" i="14" s="1"/>
  <c r="V259" i="14"/>
  <c r="AA259" i="14" s="1"/>
  <c r="AF259" i="14" s="1"/>
  <c r="U259" i="14"/>
  <c r="Z259" i="14" s="1"/>
  <c r="AE259" i="14" s="1"/>
  <c r="V258" i="14"/>
  <c r="AA258" i="14" s="1"/>
  <c r="AF258" i="14" s="1"/>
  <c r="U258" i="14"/>
  <c r="Z258" i="14" s="1"/>
  <c r="AE258" i="14" s="1"/>
  <c r="V257" i="14"/>
  <c r="AA257" i="14" s="1"/>
  <c r="AF257" i="14" s="1"/>
  <c r="U257" i="14"/>
  <c r="Z257" i="14" s="1"/>
  <c r="AE257" i="14" s="1"/>
  <c r="V256" i="14"/>
  <c r="AA256" i="14" s="1"/>
  <c r="AF256" i="14" s="1"/>
  <c r="U256" i="14"/>
  <c r="Z256" i="14" s="1"/>
  <c r="AE256" i="14" s="1"/>
  <c r="V255" i="14"/>
  <c r="AA255" i="14" s="1"/>
  <c r="AF255" i="14" s="1"/>
  <c r="U255" i="14"/>
  <c r="Z255" i="14" s="1"/>
  <c r="AE255" i="14" s="1"/>
  <c r="V254" i="14"/>
  <c r="AA254" i="14" s="1"/>
  <c r="AF254" i="14" s="1"/>
  <c r="U254" i="14"/>
  <c r="Z254" i="14" s="1"/>
  <c r="AE254" i="14" s="1"/>
  <c r="V253" i="14"/>
  <c r="AA253" i="14" s="1"/>
  <c r="AF253" i="14" s="1"/>
  <c r="U253" i="14"/>
  <c r="Z253" i="14" s="1"/>
  <c r="AE253" i="14" s="1"/>
  <c r="V252" i="14"/>
  <c r="AA252" i="14" s="1"/>
  <c r="AF252" i="14" s="1"/>
  <c r="U252" i="14"/>
  <c r="Z252" i="14" s="1"/>
  <c r="AE252" i="14" s="1"/>
  <c r="V251" i="14"/>
  <c r="AA251" i="14" s="1"/>
  <c r="AF251" i="14" s="1"/>
  <c r="U251" i="14"/>
  <c r="Z251" i="14" s="1"/>
  <c r="AE251" i="14" s="1"/>
  <c r="V250" i="14"/>
  <c r="AA250" i="14" s="1"/>
  <c r="AF250" i="14" s="1"/>
  <c r="U250" i="14"/>
  <c r="Z250" i="14" s="1"/>
  <c r="AE250" i="14" s="1"/>
  <c r="V249" i="14"/>
  <c r="AA249" i="14" s="1"/>
  <c r="AF249" i="14" s="1"/>
  <c r="U249" i="14"/>
  <c r="Z249" i="14" s="1"/>
  <c r="AE249" i="14" s="1"/>
  <c r="V248" i="14"/>
  <c r="AA248" i="14" s="1"/>
  <c r="AF248" i="14" s="1"/>
  <c r="U248" i="14"/>
  <c r="Z248" i="14" s="1"/>
  <c r="AE248" i="14" s="1"/>
  <c r="V247" i="14"/>
  <c r="AA247" i="14" s="1"/>
  <c r="AF247" i="14" s="1"/>
  <c r="U247" i="14"/>
  <c r="Z247" i="14" s="1"/>
  <c r="AE247" i="14" s="1"/>
  <c r="V246" i="14"/>
  <c r="AA246" i="14" s="1"/>
  <c r="AF246" i="14" s="1"/>
  <c r="U246" i="14"/>
  <c r="Z246" i="14" s="1"/>
  <c r="AE246" i="14" s="1"/>
  <c r="V245" i="14"/>
  <c r="AA245" i="14" s="1"/>
  <c r="AF245" i="14" s="1"/>
  <c r="U245" i="14"/>
  <c r="Z245" i="14" s="1"/>
  <c r="AE245" i="14" s="1"/>
  <c r="V244" i="14"/>
  <c r="AA244" i="14" s="1"/>
  <c r="AF244" i="14" s="1"/>
  <c r="U244" i="14"/>
  <c r="Z244" i="14" s="1"/>
  <c r="AE244" i="14" s="1"/>
  <c r="V243" i="14"/>
  <c r="AA243" i="14" s="1"/>
  <c r="AF243" i="14" s="1"/>
  <c r="U243" i="14"/>
  <c r="Z243" i="14" s="1"/>
  <c r="AE243" i="14" s="1"/>
  <c r="V242" i="14"/>
  <c r="AA242" i="14" s="1"/>
  <c r="AF242" i="14" s="1"/>
  <c r="U242" i="14"/>
  <c r="Z242" i="14" s="1"/>
  <c r="AE242" i="14" s="1"/>
  <c r="V241" i="14"/>
  <c r="AA241" i="14" s="1"/>
  <c r="AF241" i="14" s="1"/>
  <c r="U241" i="14"/>
  <c r="Z241" i="14" s="1"/>
  <c r="AE241" i="14" s="1"/>
  <c r="V240" i="14"/>
  <c r="AA240" i="14" s="1"/>
  <c r="AF240" i="14" s="1"/>
  <c r="U240" i="14"/>
  <c r="Z240" i="14" s="1"/>
  <c r="AE240" i="14" s="1"/>
  <c r="V239" i="14"/>
  <c r="AA239" i="14" s="1"/>
  <c r="AF239" i="14" s="1"/>
  <c r="U239" i="14"/>
  <c r="Z239" i="14" s="1"/>
  <c r="AE239" i="14" s="1"/>
  <c r="V238" i="14"/>
  <c r="AA238" i="14" s="1"/>
  <c r="AF238" i="14" s="1"/>
  <c r="U238" i="14"/>
  <c r="Z238" i="14" s="1"/>
  <c r="AE238" i="14" s="1"/>
  <c r="V237" i="14"/>
  <c r="AA237" i="14" s="1"/>
  <c r="AF237" i="14" s="1"/>
  <c r="U237" i="14"/>
  <c r="Z237" i="14" s="1"/>
  <c r="AE237" i="14" s="1"/>
  <c r="V236" i="14"/>
  <c r="AA236" i="14" s="1"/>
  <c r="AF236" i="14" s="1"/>
  <c r="U236" i="14"/>
  <c r="Z236" i="14" s="1"/>
  <c r="AE236" i="14" s="1"/>
  <c r="V235" i="14"/>
  <c r="AA235" i="14" s="1"/>
  <c r="AF235" i="14" s="1"/>
  <c r="U235" i="14"/>
  <c r="Z235" i="14" s="1"/>
  <c r="AE235" i="14" s="1"/>
  <c r="V234" i="14"/>
  <c r="AA234" i="14" s="1"/>
  <c r="AF234" i="14" s="1"/>
  <c r="U234" i="14"/>
  <c r="Z234" i="14" s="1"/>
  <c r="AE234" i="14" s="1"/>
  <c r="V233" i="14"/>
  <c r="AA233" i="14" s="1"/>
  <c r="AF233" i="14" s="1"/>
  <c r="U233" i="14"/>
  <c r="Z233" i="14" s="1"/>
  <c r="AE233" i="14" s="1"/>
  <c r="V232" i="14"/>
  <c r="AA232" i="14" s="1"/>
  <c r="AF232" i="14" s="1"/>
  <c r="U232" i="14"/>
  <c r="Z232" i="14" s="1"/>
  <c r="AE232" i="14" s="1"/>
  <c r="V231" i="14"/>
  <c r="AA231" i="14" s="1"/>
  <c r="AF231" i="14" s="1"/>
  <c r="U231" i="14"/>
  <c r="Z231" i="14" s="1"/>
  <c r="AE231" i="14" s="1"/>
  <c r="V230" i="14"/>
  <c r="AA230" i="14" s="1"/>
  <c r="AF230" i="14" s="1"/>
  <c r="U230" i="14"/>
  <c r="Z230" i="14" s="1"/>
  <c r="AE230" i="14" s="1"/>
  <c r="V229" i="14"/>
  <c r="AA229" i="14" s="1"/>
  <c r="AF229" i="14" s="1"/>
  <c r="U229" i="14"/>
  <c r="Z229" i="14" s="1"/>
  <c r="AE229" i="14" s="1"/>
  <c r="V228" i="14"/>
  <c r="AA228" i="14" s="1"/>
  <c r="AF228" i="14" s="1"/>
  <c r="U228" i="14"/>
  <c r="Z228" i="14" s="1"/>
  <c r="AE228" i="14" s="1"/>
  <c r="V227" i="14"/>
  <c r="AA227" i="14" s="1"/>
  <c r="AF227" i="14" s="1"/>
  <c r="U227" i="14"/>
  <c r="Z227" i="14" s="1"/>
  <c r="AE227" i="14" s="1"/>
  <c r="V226" i="14"/>
  <c r="AA226" i="14" s="1"/>
  <c r="AF226" i="14" s="1"/>
  <c r="U226" i="14"/>
  <c r="Z226" i="14" s="1"/>
  <c r="AE226" i="14" s="1"/>
  <c r="V225" i="14"/>
  <c r="AA225" i="14" s="1"/>
  <c r="AF225" i="14" s="1"/>
  <c r="U225" i="14"/>
  <c r="Z225" i="14" s="1"/>
  <c r="AE225" i="14" s="1"/>
  <c r="V224" i="14"/>
  <c r="AA224" i="14" s="1"/>
  <c r="AF224" i="14" s="1"/>
  <c r="U224" i="14"/>
  <c r="Z224" i="14" s="1"/>
  <c r="AE224" i="14" s="1"/>
  <c r="V223" i="14"/>
  <c r="AA223" i="14" s="1"/>
  <c r="AF223" i="14" s="1"/>
  <c r="U223" i="14"/>
  <c r="Z223" i="14" s="1"/>
  <c r="AE223" i="14" s="1"/>
  <c r="V222" i="14"/>
  <c r="AA222" i="14" s="1"/>
  <c r="AF222" i="14" s="1"/>
  <c r="U222" i="14"/>
  <c r="Z222" i="14" s="1"/>
  <c r="AE222" i="14" s="1"/>
  <c r="V221" i="14"/>
  <c r="AA221" i="14" s="1"/>
  <c r="AF221" i="14" s="1"/>
  <c r="U221" i="14"/>
  <c r="Z221" i="14" s="1"/>
  <c r="AE221" i="14" s="1"/>
  <c r="V220" i="14"/>
  <c r="AA220" i="14" s="1"/>
  <c r="AF220" i="14" s="1"/>
  <c r="U220" i="14"/>
  <c r="Z220" i="14" s="1"/>
  <c r="AE220" i="14" s="1"/>
  <c r="V219" i="14"/>
  <c r="AA219" i="14" s="1"/>
  <c r="AF219" i="14" s="1"/>
  <c r="U219" i="14"/>
  <c r="Z219" i="14" s="1"/>
  <c r="AE219" i="14" s="1"/>
  <c r="V218" i="14"/>
  <c r="AA218" i="14" s="1"/>
  <c r="AF218" i="14" s="1"/>
  <c r="U218" i="14"/>
  <c r="Z218" i="14" s="1"/>
  <c r="AE218" i="14" s="1"/>
  <c r="V217" i="14"/>
  <c r="AA217" i="14" s="1"/>
  <c r="AF217" i="14" s="1"/>
  <c r="U217" i="14"/>
  <c r="Z217" i="14" s="1"/>
  <c r="AE217" i="14" s="1"/>
  <c r="V216" i="14"/>
  <c r="AA216" i="14" s="1"/>
  <c r="AF216" i="14" s="1"/>
  <c r="U216" i="14"/>
  <c r="Z216" i="14" s="1"/>
  <c r="AE216" i="14" s="1"/>
  <c r="V215" i="14"/>
  <c r="AA215" i="14" s="1"/>
  <c r="AF215" i="14" s="1"/>
  <c r="U215" i="14"/>
  <c r="Z215" i="14" s="1"/>
  <c r="AE215" i="14" s="1"/>
  <c r="V214" i="14"/>
  <c r="AA214" i="14" s="1"/>
  <c r="AF214" i="14" s="1"/>
  <c r="U214" i="14"/>
  <c r="Z214" i="14" s="1"/>
  <c r="AE214" i="14" s="1"/>
  <c r="V213" i="14"/>
  <c r="AA213" i="14" s="1"/>
  <c r="AF213" i="14" s="1"/>
  <c r="U213" i="14"/>
  <c r="Z213" i="14" s="1"/>
  <c r="AE213" i="14" s="1"/>
  <c r="V212" i="14"/>
  <c r="AA212" i="14" s="1"/>
  <c r="AF212" i="14" s="1"/>
  <c r="U212" i="14"/>
  <c r="Z212" i="14" s="1"/>
  <c r="AE212" i="14" s="1"/>
  <c r="V211" i="14"/>
  <c r="AA211" i="14" s="1"/>
  <c r="AF211" i="14" s="1"/>
  <c r="U211" i="14"/>
  <c r="Z211" i="14" s="1"/>
  <c r="AE211" i="14" s="1"/>
  <c r="V210" i="14"/>
  <c r="AA210" i="14" s="1"/>
  <c r="AF210" i="14" s="1"/>
  <c r="U210" i="14"/>
  <c r="Z210" i="14" s="1"/>
  <c r="AE210" i="14" s="1"/>
  <c r="V209" i="14"/>
  <c r="AA209" i="14" s="1"/>
  <c r="AF209" i="14" s="1"/>
  <c r="U209" i="14"/>
  <c r="Z209" i="14" s="1"/>
  <c r="AE209" i="14" s="1"/>
  <c r="V208" i="14"/>
  <c r="AA208" i="14" s="1"/>
  <c r="AF208" i="14" s="1"/>
  <c r="U208" i="14"/>
  <c r="Z208" i="14" s="1"/>
  <c r="AE208" i="14" s="1"/>
  <c r="V207" i="14"/>
  <c r="AA207" i="14" s="1"/>
  <c r="AF207" i="14" s="1"/>
  <c r="U207" i="14"/>
  <c r="Z207" i="14" s="1"/>
  <c r="AE207" i="14" s="1"/>
  <c r="V206" i="14"/>
  <c r="AA206" i="14" s="1"/>
  <c r="AF206" i="14" s="1"/>
  <c r="U206" i="14"/>
  <c r="Z206" i="14" s="1"/>
  <c r="AE206" i="14" s="1"/>
  <c r="V205" i="14"/>
  <c r="AA205" i="14" s="1"/>
  <c r="AF205" i="14" s="1"/>
  <c r="U205" i="14"/>
  <c r="Z205" i="14" s="1"/>
  <c r="AE205" i="14" s="1"/>
  <c r="V204" i="14"/>
  <c r="AA204" i="14" s="1"/>
  <c r="AF204" i="14" s="1"/>
  <c r="U204" i="14"/>
  <c r="Z204" i="14" s="1"/>
  <c r="AE204" i="14" s="1"/>
  <c r="V203" i="14"/>
  <c r="AA203" i="14" s="1"/>
  <c r="AF203" i="14" s="1"/>
  <c r="U203" i="14"/>
  <c r="Z203" i="14" s="1"/>
  <c r="AE203" i="14" s="1"/>
  <c r="V202" i="14"/>
  <c r="AA202" i="14" s="1"/>
  <c r="AF202" i="14" s="1"/>
  <c r="U202" i="14"/>
  <c r="Z202" i="14" s="1"/>
  <c r="AE202" i="14" s="1"/>
  <c r="V201" i="14"/>
  <c r="AA201" i="14" s="1"/>
  <c r="AF201" i="14" s="1"/>
  <c r="U201" i="14"/>
  <c r="Z201" i="14" s="1"/>
  <c r="AE201" i="14" s="1"/>
  <c r="V200" i="14"/>
  <c r="AA200" i="14" s="1"/>
  <c r="AF200" i="14" s="1"/>
  <c r="U200" i="14"/>
  <c r="Z200" i="14" s="1"/>
  <c r="AE200" i="14" s="1"/>
  <c r="V199" i="14"/>
  <c r="AA199" i="14" s="1"/>
  <c r="AF199" i="14" s="1"/>
  <c r="U199" i="14"/>
  <c r="Z199" i="14" s="1"/>
  <c r="AE199" i="14" s="1"/>
  <c r="V198" i="14"/>
  <c r="AA198" i="14" s="1"/>
  <c r="AF198" i="14" s="1"/>
  <c r="U198" i="14"/>
  <c r="Z198" i="14" s="1"/>
  <c r="AE198" i="14" s="1"/>
  <c r="V197" i="14"/>
  <c r="AA197" i="14" s="1"/>
  <c r="AF197" i="14" s="1"/>
  <c r="U197" i="14"/>
  <c r="Z197" i="14" s="1"/>
  <c r="AE197" i="14" s="1"/>
  <c r="V196" i="14"/>
  <c r="AA196" i="14" s="1"/>
  <c r="AF196" i="14" s="1"/>
  <c r="U196" i="14"/>
  <c r="Z196" i="14" s="1"/>
  <c r="AE196" i="14" s="1"/>
  <c r="V195" i="14"/>
  <c r="AA195" i="14" s="1"/>
  <c r="AF195" i="14" s="1"/>
  <c r="U195" i="14"/>
  <c r="Z195" i="14" s="1"/>
  <c r="AE195" i="14" s="1"/>
  <c r="V194" i="14"/>
  <c r="AA194" i="14" s="1"/>
  <c r="AF194" i="14" s="1"/>
  <c r="U194" i="14"/>
  <c r="Z194" i="14" s="1"/>
  <c r="AE194" i="14" s="1"/>
  <c r="V193" i="14"/>
  <c r="AA193" i="14" s="1"/>
  <c r="AF193" i="14" s="1"/>
  <c r="U193" i="14"/>
  <c r="Z193" i="14" s="1"/>
  <c r="AE193" i="14" s="1"/>
  <c r="V192" i="14"/>
  <c r="AA192" i="14" s="1"/>
  <c r="AF192" i="14" s="1"/>
  <c r="U192" i="14"/>
  <c r="Z192" i="14" s="1"/>
  <c r="AE192" i="14" s="1"/>
  <c r="V191" i="14"/>
  <c r="AA191" i="14" s="1"/>
  <c r="AF191" i="14" s="1"/>
  <c r="U191" i="14"/>
  <c r="Z191" i="14" s="1"/>
  <c r="AE191" i="14" s="1"/>
  <c r="V190" i="14"/>
  <c r="AA190" i="14" s="1"/>
  <c r="AF190" i="14" s="1"/>
  <c r="U190" i="14"/>
  <c r="Z190" i="14" s="1"/>
  <c r="AE190" i="14" s="1"/>
  <c r="V189" i="14"/>
  <c r="AA189" i="14" s="1"/>
  <c r="AF189" i="14" s="1"/>
  <c r="U189" i="14"/>
  <c r="Z189" i="14" s="1"/>
  <c r="AE189" i="14" s="1"/>
  <c r="V188" i="14"/>
  <c r="AA188" i="14" s="1"/>
  <c r="AF188" i="14" s="1"/>
  <c r="U188" i="14"/>
  <c r="Z188" i="14" s="1"/>
  <c r="AE188" i="14" s="1"/>
  <c r="V187" i="14"/>
  <c r="AA187" i="14" s="1"/>
  <c r="AF187" i="14" s="1"/>
  <c r="U187" i="14"/>
  <c r="Z187" i="14" s="1"/>
  <c r="AE187" i="14" s="1"/>
  <c r="V186" i="14"/>
  <c r="AA186" i="14" s="1"/>
  <c r="AF186" i="14" s="1"/>
  <c r="U186" i="14"/>
  <c r="Z186" i="14" s="1"/>
  <c r="AE186" i="14" s="1"/>
  <c r="V185" i="14"/>
  <c r="AA185" i="14" s="1"/>
  <c r="AF185" i="14" s="1"/>
  <c r="U185" i="14"/>
  <c r="Z185" i="14" s="1"/>
  <c r="AE185" i="14" s="1"/>
  <c r="V184" i="14"/>
  <c r="AA184" i="14" s="1"/>
  <c r="AF184" i="14" s="1"/>
  <c r="U184" i="14"/>
  <c r="Z184" i="14" s="1"/>
  <c r="AE184" i="14" s="1"/>
  <c r="V183" i="14"/>
  <c r="AA183" i="14" s="1"/>
  <c r="AF183" i="14" s="1"/>
  <c r="U183" i="14"/>
  <c r="Z183" i="14" s="1"/>
  <c r="AE183" i="14" s="1"/>
  <c r="V182" i="14"/>
  <c r="AA182" i="14" s="1"/>
  <c r="AF182" i="14" s="1"/>
  <c r="U182" i="14"/>
  <c r="Z182" i="14" s="1"/>
  <c r="AE182" i="14" s="1"/>
  <c r="V181" i="14"/>
  <c r="AA181" i="14" s="1"/>
  <c r="AF181" i="14" s="1"/>
  <c r="U181" i="14"/>
  <c r="Z181" i="14" s="1"/>
  <c r="AE181" i="14" s="1"/>
  <c r="V180" i="14"/>
  <c r="AA180" i="14" s="1"/>
  <c r="AF180" i="14" s="1"/>
  <c r="U180" i="14"/>
  <c r="Z180" i="14" s="1"/>
  <c r="AE180" i="14" s="1"/>
  <c r="V179" i="14"/>
  <c r="AA179" i="14" s="1"/>
  <c r="AF179" i="14" s="1"/>
  <c r="U179" i="14"/>
  <c r="Z179" i="14" s="1"/>
  <c r="AE179" i="14" s="1"/>
  <c r="V178" i="14"/>
  <c r="AA178" i="14" s="1"/>
  <c r="AF178" i="14" s="1"/>
  <c r="U178" i="14"/>
  <c r="Z178" i="14" s="1"/>
  <c r="AE178" i="14" s="1"/>
  <c r="V177" i="14"/>
  <c r="AA177" i="14" s="1"/>
  <c r="AF177" i="14" s="1"/>
  <c r="U177" i="14"/>
  <c r="Z177" i="14" s="1"/>
  <c r="AE177" i="14" s="1"/>
  <c r="V176" i="14"/>
  <c r="AA176" i="14" s="1"/>
  <c r="AF176" i="14" s="1"/>
  <c r="U176" i="14"/>
  <c r="Z176" i="14" s="1"/>
  <c r="AE176" i="14" s="1"/>
  <c r="V175" i="14"/>
  <c r="AA175" i="14" s="1"/>
  <c r="AF175" i="14" s="1"/>
  <c r="U175" i="14"/>
  <c r="Z175" i="14" s="1"/>
  <c r="AE175" i="14" s="1"/>
  <c r="W174" i="14"/>
  <c r="S174" i="14"/>
  <c r="W173" i="14"/>
  <c r="V173" i="14"/>
  <c r="U173" i="14"/>
  <c r="Z173" i="14" s="1"/>
  <c r="AE173" i="14" s="1"/>
  <c r="V172" i="14"/>
  <c r="AA172" i="14" s="1"/>
  <c r="AF172" i="14" s="1"/>
  <c r="U172" i="14"/>
  <c r="Z172" i="14" s="1"/>
  <c r="AE172" i="14" s="1"/>
  <c r="V171" i="14"/>
  <c r="AA171" i="14" s="1"/>
  <c r="AF171" i="14" s="1"/>
  <c r="U171" i="14"/>
  <c r="Z171" i="14" s="1"/>
  <c r="AE171" i="14" s="1"/>
  <c r="V170" i="14"/>
  <c r="AA170" i="14" s="1"/>
  <c r="AF170" i="14" s="1"/>
  <c r="U170" i="14"/>
  <c r="Z170" i="14" s="1"/>
  <c r="AE170" i="14" s="1"/>
  <c r="V169" i="14"/>
  <c r="AA169" i="14" s="1"/>
  <c r="AF169" i="14" s="1"/>
  <c r="U169" i="14"/>
  <c r="Z169" i="14" s="1"/>
  <c r="AE169" i="14" s="1"/>
  <c r="V168" i="14"/>
  <c r="AA168" i="14" s="1"/>
  <c r="AF168" i="14" s="1"/>
  <c r="U168" i="14"/>
  <c r="Z168" i="14" s="1"/>
  <c r="AE168" i="14" s="1"/>
  <c r="V167" i="14"/>
  <c r="AA167" i="14" s="1"/>
  <c r="AF167" i="14" s="1"/>
  <c r="U167" i="14"/>
  <c r="Z167" i="14" s="1"/>
  <c r="AE167" i="14" s="1"/>
  <c r="V166" i="14"/>
  <c r="AA166" i="14" s="1"/>
  <c r="AF166" i="14" s="1"/>
  <c r="U166" i="14"/>
  <c r="Z166" i="14" s="1"/>
  <c r="AE166" i="14" s="1"/>
  <c r="V165" i="14"/>
  <c r="AA165" i="14" s="1"/>
  <c r="AF165" i="14" s="1"/>
  <c r="U165" i="14"/>
  <c r="Z165" i="14" s="1"/>
  <c r="AE165" i="14" s="1"/>
  <c r="V164" i="14"/>
  <c r="AA164" i="14" s="1"/>
  <c r="AF164" i="14" s="1"/>
  <c r="U164" i="14"/>
  <c r="Z164" i="14" s="1"/>
  <c r="AE164" i="14" s="1"/>
  <c r="V163" i="14"/>
  <c r="AA163" i="14" s="1"/>
  <c r="AF163" i="14" s="1"/>
  <c r="U163" i="14"/>
  <c r="Z163" i="14" s="1"/>
  <c r="AE163" i="14" s="1"/>
  <c r="V162" i="14"/>
  <c r="AA162" i="14" s="1"/>
  <c r="AF162" i="14" s="1"/>
  <c r="U162" i="14"/>
  <c r="Z162" i="14" s="1"/>
  <c r="AE162" i="14" s="1"/>
  <c r="V161" i="14"/>
  <c r="AA161" i="14" s="1"/>
  <c r="AF161" i="14" s="1"/>
  <c r="U161" i="14"/>
  <c r="Z161" i="14" s="1"/>
  <c r="AE161" i="14" s="1"/>
  <c r="V160" i="14"/>
  <c r="AA160" i="14" s="1"/>
  <c r="AF160" i="14" s="1"/>
  <c r="U160" i="14"/>
  <c r="Z160" i="14" s="1"/>
  <c r="AE160" i="14" s="1"/>
  <c r="V159" i="14"/>
  <c r="AA159" i="14" s="1"/>
  <c r="AF159" i="14" s="1"/>
  <c r="U159" i="14"/>
  <c r="Z159" i="14" s="1"/>
  <c r="AE159" i="14" s="1"/>
  <c r="V158" i="14"/>
  <c r="AA158" i="14" s="1"/>
  <c r="AF158" i="14" s="1"/>
  <c r="U158" i="14"/>
  <c r="Z158" i="14" s="1"/>
  <c r="AE158" i="14" s="1"/>
  <c r="V157" i="14"/>
  <c r="AA157" i="14" s="1"/>
  <c r="AF157" i="14" s="1"/>
  <c r="U157" i="14"/>
  <c r="Z157" i="14" s="1"/>
  <c r="AE157" i="14" s="1"/>
  <c r="V156" i="14"/>
  <c r="AA156" i="14" s="1"/>
  <c r="AF156" i="14" s="1"/>
  <c r="U156" i="14"/>
  <c r="Z156" i="14" s="1"/>
  <c r="AE156" i="14" s="1"/>
  <c r="V155" i="14"/>
  <c r="AA155" i="14" s="1"/>
  <c r="AF155" i="14" s="1"/>
  <c r="U155" i="14"/>
  <c r="Z155" i="14" s="1"/>
  <c r="AE155" i="14" s="1"/>
  <c r="V154" i="14"/>
  <c r="AA154" i="14" s="1"/>
  <c r="AF154" i="14" s="1"/>
  <c r="U154" i="14"/>
  <c r="Z154" i="14" s="1"/>
  <c r="AE154" i="14" s="1"/>
  <c r="V153" i="14"/>
  <c r="AA153" i="14" s="1"/>
  <c r="AF153" i="14" s="1"/>
  <c r="U153" i="14"/>
  <c r="Z153" i="14" s="1"/>
  <c r="AE153" i="14" s="1"/>
  <c r="V152" i="14"/>
  <c r="AA152" i="14" s="1"/>
  <c r="AF152" i="14" s="1"/>
  <c r="U152" i="14"/>
  <c r="Z152" i="14" s="1"/>
  <c r="AE152" i="14" s="1"/>
  <c r="V151" i="14"/>
  <c r="AA151" i="14" s="1"/>
  <c r="AF151" i="14" s="1"/>
  <c r="U151" i="14"/>
  <c r="Z151" i="14" s="1"/>
  <c r="AE151" i="14" s="1"/>
  <c r="V150" i="14"/>
  <c r="AA150" i="14" s="1"/>
  <c r="AF150" i="14" s="1"/>
  <c r="U150" i="14"/>
  <c r="Z150" i="14" s="1"/>
  <c r="AE150" i="14" s="1"/>
  <c r="V149" i="14"/>
  <c r="AA149" i="14" s="1"/>
  <c r="AF149" i="14" s="1"/>
  <c r="U149" i="14"/>
  <c r="Z149" i="14" s="1"/>
  <c r="AE149" i="14" s="1"/>
  <c r="V148" i="14"/>
  <c r="AA148" i="14" s="1"/>
  <c r="AF148" i="14" s="1"/>
  <c r="U148" i="14"/>
  <c r="Z148" i="14" s="1"/>
  <c r="AE148" i="14" s="1"/>
  <c r="V147" i="14"/>
  <c r="AA147" i="14" s="1"/>
  <c r="AF147" i="14" s="1"/>
  <c r="U147" i="14"/>
  <c r="Z147" i="14" s="1"/>
  <c r="AE147" i="14" s="1"/>
  <c r="V146" i="14"/>
  <c r="AA146" i="14" s="1"/>
  <c r="AF146" i="14" s="1"/>
  <c r="U146" i="14"/>
  <c r="Z146" i="14" s="1"/>
  <c r="AE146" i="14" s="1"/>
  <c r="V145" i="14"/>
  <c r="AA145" i="14" s="1"/>
  <c r="AF145" i="14" s="1"/>
  <c r="U145" i="14"/>
  <c r="Z145" i="14" s="1"/>
  <c r="AE145" i="14" s="1"/>
  <c r="V144" i="14"/>
  <c r="AA144" i="14" s="1"/>
  <c r="AF144" i="14" s="1"/>
  <c r="U144" i="14"/>
  <c r="Z144" i="14" s="1"/>
  <c r="AE144" i="14" s="1"/>
  <c r="S143" i="14"/>
  <c r="V143" i="14" s="1"/>
  <c r="AA143" i="14" s="1"/>
  <c r="AF143" i="14" s="1"/>
  <c r="V142" i="14"/>
  <c r="AA142" i="14" s="1"/>
  <c r="AF142" i="14" s="1"/>
  <c r="U142" i="14"/>
  <c r="Z142" i="14" s="1"/>
  <c r="AE142" i="14" s="1"/>
  <c r="V141" i="14"/>
  <c r="AA141" i="14" s="1"/>
  <c r="AF141" i="14" s="1"/>
  <c r="U141" i="14"/>
  <c r="Z141" i="14" s="1"/>
  <c r="AE141" i="14" s="1"/>
  <c r="V140" i="14"/>
  <c r="AA140" i="14" s="1"/>
  <c r="AF140" i="14" s="1"/>
  <c r="U140" i="14"/>
  <c r="Z140" i="14" s="1"/>
  <c r="AE140" i="14" s="1"/>
  <c r="V139" i="14"/>
  <c r="AA139" i="14" s="1"/>
  <c r="AF139" i="14" s="1"/>
  <c r="U139" i="14"/>
  <c r="Z139" i="14" s="1"/>
  <c r="AE139" i="14" s="1"/>
  <c r="V138" i="14"/>
  <c r="AA138" i="14" s="1"/>
  <c r="AF138" i="14" s="1"/>
  <c r="U138" i="14"/>
  <c r="Z138" i="14" s="1"/>
  <c r="AE138" i="14" s="1"/>
  <c r="V137" i="14"/>
  <c r="AA137" i="14" s="1"/>
  <c r="AF137" i="14" s="1"/>
  <c r="U137" i="14"/>
  <c r="Z137" i="14" s="1"/>
  <c r="AE137" i="14" s="1"/>
  <c r="V136" i="14"/>
  <c r="AA136" i="14" s="1"/>
  <c r="AF136" i="14" s="1"/>
  <c r="U136" i="14"/>
  <c r="Z136" i="14" s="1"/>
  <c r="AE136" i="14" s="1"/>
  <c r="V135" i="14"/>
  <c r="AA135" i="14" s="1"/>
  <c r="AF135" i="14" s="1"/>
  <c r="U135" i="14"/>
  <c r="Z135" i="14" s="1"/>
  <c r="AE135" i="14" s="1"/>
  <c r="V134" i="14"/>
  <c r="AA134" i="14" s="1"/>
  <c r="AF134" i="14" s="1"/>
  <c r="U134" i="14"/>
  <c r="Z134" i="14" s="1"/>
  <c r="AE134" i="14" s="1"/>
  <c r="V133" i="14"/>
  <c r="AA133" i="14" s="1"/>
  <c r="AF133" i="14" s="1"/>
  <c r="U133" i="14"/>
  <c r="Z133" i="14" s="1"/>
  <c r="AE133" i="14" s="1"/>
  <c r="V132" i="14"/>
  <c r="AA132" i="14" s="1"/>
  <c r="AF132" i="14" s="1"/>
  <c r="U132" i="14"/>
  <c r="Z132" i="14" s="1"/>
  <c r="AE132" i="14" s="1"/>
  <c r="V131" i="14"/>
  <c r="AA131" i="14" s="1"/>
  <c r="AF131" i="14" s="1"/>
  <c r="U131" i="14"/>
  <c r="Z131" i="14" s="1"/>
  <c r="AE131" i="14" s="1"/>
  <c r="V130" i="14"/>
  <c r="AA130" i="14" s="1"/>
  <c r="AF130" i="14" s="1"/>
  <c r="U130" i="14"/>
  <c r="Z130" i="14" s="1"/>
  <c r="AE130" i="14" s="1"/>
  <c r="V129" i="14"/>
  <c r="AA129" i="14" s="1"/>
  <c r="AF129" i="14" s="1"/>
  <c r="U129" i="14"/>
  <c r="Z129" i="14" s="1"/>
  <c r="AE129" i="14" s="1"/>
  <c r="V128" i="14"/>
  <c r="AA128" i="14" s="1"/>
  <c r="AF128" i="14" s="1"/>
  <c r="U128" i="14"/>
  <c r="Z128" i="14" s="1"/>
  <c r="AE128" i="14" s="1"/>
  <c r="V127" i="14"/>
  <c r="AA127" i="14" s="1"/>
  <c r="AF127" i="14" s="1"/>
  <c r="U127" i="14"/>
  <c r="Z127" i="14" s="1"/>
  <c r="AE127" i="14" s="1"/>
  <c r="V126" i="14"/>
  <c r="AA126" i="14" s="1"/>
  <c r="AF126" i="14" s="1"/>
  <c r="U126" i="14"/>
  <c r="Z126" i="14" s="1"/>
  <c r="AE126" i="14" s="1"/>
  <c r="V125" i="14"/>
  <c r="AA125" i="14" s="1"/>
  <c r="AF125" i="14" s="1"/>
  <c r="U125" i="14"/>
  <c r="Z125" i="14" s="1"/>
  <c r="AE125" i="14" s="1"/>
  <c r="V124" i="14"/>
  <c r="AA124" i="14" s="1"/>
  <c r="AF124" i="14" s="1"/>
  <c r="U124" i="14"/>
  <c r="Z124" i="14" s="1"/>
  <c r="AE124" i="14" s="1"/>
  <c r="V123" i="14"/>
  <c r="AA123" i="14" s="1"/>
  <c r="AF123" i="14" s="1"/>
  <c r="U123" i="14"/>
  <c r="Z123" i="14" s="1"/>
  <c r="AE123" i="14" s="1"/>
  <c r="V122" i="14"/>
  <c r="AA122" i="14" s="1"/>
  <c r="AF122" i="14" s="1"/>
  <c r="U122" i="14"/>
  <c r="Z122" i="14" s="1"/>
  <c r="AE122" i="14" s="1"/>
  <c r="V121" i="14"/>
  <c r="AA121" i="14" s="1"/>
  <c r="AF121" i="14" s="1"/>
  <c r="U121" i="14"/>
  <c r="Z121" i="14" s="1"/>
  <c r="AE121" i="14" s="1"/>
  <c r="V120" i="14"/>
  <c r="AA120" i="14" s="1"/>
  <c r="AF120" i="14" s="1"/>
  <c r="U120" i="14"/>
  <c r="Z120" i="14" s="1"/>
  <c r="AE120" i="14" s="1"/>
  <c r="V119" i="14"/>
  <c r="AA119" i="14" s="1"/>
  <c r="AF119" i="14" s="1"/>
  <c r="U119" i="14"/>
  <c r="Z119" i="14" s="1"/>
  <c r="AE119" i="14" s="1"/>
  <c r="V118" i="14"/>
  <c r="AA118" i="14" s="1"/>
  <c r="AF118" i="14" s="1"/>
  <c r="U118" i="14"/>
  <c r="Z118" i="14" s="1"/>
  <c r="AE118" i="14" s="1"/>
  <c r="V117" i="14"/>
  <c r="AA117" i="14" s="1"/>
  <c r="AF117" i="14" s="1"/>
  <c r="U117" i="14"/>
  <c r="Z117" i="14" s="1"/>
  <c r="AE117" i="14" s="1"/>
  <c r="V116" i="14"/>
  <c r="AA116" i="14" s="1"/>
  <c r="AF116" i="14" s="1"/>
  <c r="U116" i="14"/>
  <c r="Z116" i="14" s="1"/>
  <c r="AE116" i="14" s="1"/>
  <c r="V115" i="14"/>
  <c r="AA115" i="14" s="1"/>
  <c r="AF115" i="14" s="1"/>
  <c r="U115" i="14"/>
  <c r="Z115" i="14" s="1"/>
  <c r="AE115" i="14" s="1"/>
  <c r="V114" i="14"/>
  <c r="AA114" i="14" s="1"/>
  <c r="AF114" i="14" s="1"/>
  <c r="U114" i="14"/>
  <c r="Z114" i="14" s="1"/>
  <c r="AE114" i="14" s="1"/>
  <c r="V113" i="14"/>
  <c r="AA113" i="14" s="1"/>
  <c r="AF113" i="14" s="1"/>
  <c r="U113" i="14"/>
  <c r="Z113" i="14" s="1"/>
  <c r="AE113" i="14" s="1"/>
  <c r="V112" i="14"/>
  <c r="AA112" i="14" s="1"/>
  <c r="AF112" i="14" s="1"/>
  <c r="U112" i="14"/>
  <c r="Z112" i="14" s="1"/>
  <c r="AE112" i="14" s="1"/>
  <c r="V111" i="14"/>
  <c r="AA111" i="14" s="1"/>
  <c r="AF111" i="14" s="1"/>
  <c r="U111" i="14"/>
  <c r="Z111" i="14" s="1"/>
  <c r="AE111" i="14" s="1"/>
  <c r="V110" i="14"/>
  <c r="AA110" i="14" s="1"/>
  <c r="AF110" i="14" s="1"/>
  <c r="U110" i="14"/>
  <c r="Z110" i="14" s="1"/>
  <c r="AE110" i="14" s="1"/>
  <c r="V109" i="14"/>
  <c r="AA109" i="14" s="1"/>
  <c r="AF109" i="14" s="1"/>
  <c r="U109" i="14"/>
  <c r="Z109" i="14" s="1"/>
  <c r="AE109" i="14" s="1"/>
  <c r="V108" i="14"/>
  <c r="AA108" i="14" s="1"/>
  <c r="AF108" i="14" s="1"/>
  <c r="U108" i="14"/>
  <c r="Z108" i="14" s="1"/>
  <c r="AE108" i="14" s="1"/>
  <c r="V107" i="14"/>
  <c r="AA107" i="14" s="1"/>
  <c r="AF107" i="14" s="1"/>
  <c r="U107" i="14"/>
  <c r="Z107" i="14" s="1"/>
  <c r="AE107" i="14" s="1"/>
  <c r="V106" i="14"/>
  <c r="AA106" i="14" s="1"/>
  <c r="AF106" i="14" s="1"/>
  <c r="U106" i="14"/>
  <c r="Z106" i="14" s="1"/>
  <c r="AE106" i="14" s="1"/>
  <c r="V105" i="14"/>
  <c r="AA105" i="14" s="1"/>
  <c r="AF105" i="14" s="1"/>
  <c r="U105" i="14"/>
  <c r="Z105" i="14" s="1"/>
  <c r="AE105" i="14" s="1"/>
  <c r="V104" i="14"/>
  <c r="AA104" i="14" s="1"/>
  <c r="AF104" i="14" s="1"/>
  <c r="U104" i="14"/>
  <c r="Z104" i="14" s="1"/>
  <c r="AE104" i="14" s="1"/>
  <c r="V103" i="14"/>
  <c r="AA103" i="14" s="1"/>
  <c r="AF103" i="14" s="1"/>
  <c r="U103" i="14"/>
  <c r="Z103" i="14" s="1"/>
  <c r="AE103" i="14" s="1"/>
  <c r="V102" i="14"/>
  <c r="AA102" i="14" s="1"/>
  <c r="AF102" i="14" s="1"/>
  <c r="U102" i="14"/>
  <c r="Z102" i="14" s="1"/>
  <c r="AE102" i="14" s="1"/>
  <c r="V101" i="14"/>
  <c r="AA101" i="14" s="1"/>
  <c r="AF101" i="14" s="1"/>
  <c r="U101" i="14"/>
  <c r="Z101" i="14" s="1"/>
  <c r="AE101" i="14" s="1"/>
  <c r="W100" i="14"/>
  <c r="V100" i="14"/>
  <c r="U100" i="14"/>
  <c r="Z100" i="14" s="1"/>
  <c r="AE100" i="14" s="1"/>
  <c r="V99" i="14"/>
  <c r="AA99" i="14" s="1"/>
  <c r="AF99" i="14" s="1"/>
  <c r="U99" i="14"/>
  <c r="Z99" i="14" s="1"/>
  <c r="AE99" i="14" s="1"/>
  <c r="V98" i="14"/>
  <c r="AA98" i="14" s="1"/>
  <c r="AF98" i="14" s="1"/>
  <c r="U98" i="14"/>
  <c r="Z98" i="14" s="1"/>
  <c r="AE98" i="14" s="1"/>
  <c r="V97" i="14"/>
  <c r="AA97" i="14" s="1"/>
  <c r="AF97" i="14" s="1"/>
  <c r="U97" i="14"/>
  <c r="Z97" i="14" s="1"/>
  <c r="AE97" i="14" s="1"/>
  <c r="V96" i="14"/>
  <c r="AA96" i="14" s="1"/>
  <c r="AF96" i="14" s="1"/>
  <c r="U96" i="14"/>
  <c r="Z96" i="14" s="1"/>
  <c r="AE96" i="14" s="1"/>
  <c r="V95" i="14"/>
  <c r="AA95" i="14" s="1"/>
  <c r="AF95" i="14" s="1"/>
  <c r="U95" i="14"/>
  <c r="Z95" i="14" s="1"/>
  <c r="AE95" i="14" s="1"/>
  <c r="V94" i="14"/>
  <c r="AA94" i="14" s="1"/>
  <c r="AF94" i="14" s="1"/>
  <c r="U94" i="14"/>
  <c r="Z94" i="14" s="1"/>
  <c r="AE94" i="14" s="1"/>
  <c r="V93" i="14"/>
  <c r="AA93" i="14" s="1"/>
  <c r="AF93" i="14" s="1"/>
  <c r="U93" i="14"/>
  <c r="Z93" i="14" s="1"/>
  <c r="AE93" i="14" s="1"/>
  <c r="V92" i="14"/>
  <c r="AA92" i="14" s="1"/>
  <c r="AF92" i="14" s="1"/>
  <c r="U92" i="14"/>
  <c r="Z92" i="14" s="1"/>
  <c r="AE92" i="14" s="1"/>
  <c r="V91" i="14"/>
  <c r="AA91" i="14" s="1"/>
  <c r="AF91" i="14" s="1"/>
  <c r="U91" i="14"/>
  <c r="Z91" i="14" s="1"/>
  <c r="AE91" i="14" s="1"/>
  <c r="V90" i="14"/>
  <c r="AA90" i="14" s="1"/>
  <c r="AF90" i="14" s="1"/>
  <c r="U90" i="14"/>
  <c r="Z90" i="14" s="1"/>
  <c r="AE90" i="14" s="1"/>
  <c r="V89" i="14"/>
  <c r="AA89" i="14" s="1"/>
  <c r="AF89" i="14" s="1"/>
  <c r="U89" i="14"/>
  <c r="Z89" i="14" s="1"/>
  <c r="AE89" i="14" s="1"/>
  <c r="V88" i="14"/>
  <c r="AA88" i="14" s="1"/>
  <c r="AF88" i="14" s="1"/>
  <c r="U88" i="14"/>
  <c r="Z88" i="14" s="1"/>
  <c r="AE88" i="14" s="1"/>
  <c r="V87" i="14"/>
  <c r="AA87" i="14" s="1"/>
  <c r="AF87" i="14" s="1"/>
  <c r="U87" i="14"/>
  <c r="Z87" i="14" s="1"/>
  <c r="AE87" i="14" s="1"/>
  <c r="V86" i="14"/>
  <c r="AA86" i="14" s="1"/>
  <c r="AF86" i="14" s="1"/>
  <c r="U86" i="14"/>
  <c r="Z86" i="14" s="1"/>
  <c r="AE86" i="14" s="1"/>
  <c r="V85" i="14"/>
  <c r="AA85" i="14" s="1"/>
  <c r="AF85" i="14" s="1"/>
  <c r="U85" i="14"/>
  <c r="Z85" i="14" s="1"/>
  <c r="AE85" i="14" s="1"/>
  <c r="V84" i="14"/>
  <c r="AA84" i="14" s="1"/>
  <c r="AF84" i="14" s="1"/>
  <c r="U84" i="14"/>
  <c r="Z84" i="14" s="1"/>
  <c r="AE84" i="14" s="1"/>
  <c r="V83" i="14"/>
  <c r="AA83" i="14" s="1"/>
  <c r="AF83" i="14" s="1"/>
  <c r="U83" i="14"/>
  <c r="Z83" i="14" s="1"/>
  <c r="AE83" i="14" s="1"/>
  <c r="V82" i="14"/>
  <c r="AA82" i="14" s="1"/>
  <c r="AF82" i="14" s="1"/>
  <c r="U82" i="14"/>
  <c r="Z82" i="14" s="1"/>
  <c r="AE82" i="14" s="1"/>
  <c r="V81" i="14"/>
  <c r="AA81" i="14" s="1"/>
  <c r="AF81" i="14" s="1"/>
  <c r="U81" i="14"/>
  <c r="Z81" i="14" s="1"/>
  <c r="AE81" i="14" s="1"/>
  <c r="V80" i="14"/>
  <c r="AA80" i="14" s="1"/>
  <c r="AF80" i="14" s="1"/>
  <c r="U80" i="14"/>
  <c r="Z80" i="14" s="1"/>
  <c r="AE80" i="14" s="1"/>
  <c r="V79" i="14"/>
  <c r="AA79" i="14" s="1"/>
  <c r="AF79" i="14" s="1"/>
  <c r="U79" i="14"/>
  <c r="Z79" i="14" s="1"/>
  <c r="AE79" i="14" s="1"/>
  <c r="V78" i="14"/>
  <c r="AA78" i="14" s="1"/>
  <c r="AF78" i="14" s="1"/>
  <c r="U78" i="14"/>
  <c r="Z78" i="14" s="1"/>
  <c r="AE78" i="14" s="1"/>
  <c r="V77" i="14"/>
  <c r="AA77" i="14" s="1"/>
  <c r="AF77" i="14" s="1"/>
  <c r="U77" i="14"/>
  <c r="Z77" i="14" s="1"/>
  <c r="AE77" i="14" s="1"/>
  <c r="V76" i="14"/>
  <c r="AA76" i="14" s="1"/>
  <c r="AF76" i="14" s="1"/>
  <c r="U76" i="14"/>
  <c r="Z76" i="14" s="1"/>
  <c r="AE76" i="14" s="1"/>
  <c r="V75" i="14"/>
  <c r="AA75" i="14" s="1"/>
  <c r="AF75" i="14" s="1"/>
  <c r="U75" i="14"/>
  <c r="Z75" i="14" s="1"/>
  <c r="AE75" i="14" s="1"/>
  <c r="V74" i="14"/>
  <c r="AA74" i="14" s="1"/>
  <c r="AF74" i="14" s="1"/>
  <c r="U74" i="14"/>
  <c r="Z74" i="14" s="1"/>
  <c r="AE74" i="14" s="1"/>
  <c r="V73" i="14"/>
  <c r="AA73" i="14" s="1"/>
  <c r="AF73" i="14" s="1"/>
  <c r="U73" i="14"/>
  <c r="Z73" i="14" s="1"/>
  <c r="AE73" i="14" s="1"/>
  <c r="V72" i="14"/>
  <c r="AA72" i="14" s="1"/>
  <c r="AF72" i="14" s="1"/>
  <c r="U72" i="14"/>
  <c r="Z72" i="14" s="1"/>
  <c r="AE72" i="14" s="1"/>
  <c r="V71" i="14"/>
  <c r="AA71" i="14" s="1"/>
  <c r="AF71" i="14" s="1"/>
  <c r="U71" i="14"/>
  <c r="Z71" i="14" s="1"/>
  <c r="AE71" i="14" s="1"/>
  <c r="V70" i="14"/>
  <c r="AA70" i="14" s="1"/>
  <c r="AF70" i="14" s="1"/>
  <c r="U70" i="14"/>
  <c r="Z70" i="14" s="1"/>
  <c r="AE70" i="14" s="1"/>
  <c r="V69" i="14"/>
  <c r="AA69" i="14" s="1"/>
  <c r="AF69" i="14" s="1"/>
  <c r="U69" i="14"/>
  <c r="Z69" i="14" s="1"/>
  <c r="AE69" i="14" s="1"/>
  <c r="V68" i="14"/>
  <c r="AA68" i="14" s="1"/>
  <c r="AF68" i="14" s="1"/>
  <c r="U68" i="14"/>
  <c r="Z68" i="14" s="1"/>
  <c r="AE68" i="14" s="1"/>
  <c r="V67" i="14"/>
  <c r="AA67" i="14" s="1"/>
  <c r="AF67" i="14" s="1"/>
  <c r="U67" i="14"/>
  <c r="Z67" i="14" s="1"/>
  <c r="AE67" i="14" s="1"/>
  <c r="V66" i="14"/>
  <c r="AA66" i="14" s="1"/>
  <c r="AF66" i="14" s="1"/>
  <c r="U66" i="14"/>
  <c r="Z66" i="14" s="1"/>
  <c r="AE66" i="14" s="1"/>
  <c r="V65" i="14"/>
  <c r="AA65" i="14" s="1"/>
  <c r="AF65" i="14" s="1"/>
  <c r="U65" i="14"/>
  <c r="Z65" i="14" s="1"/>
  <c r="AE65" i="14" s="1"/>
  <c r="V64" i="14"/>
  <c r="AA64" i="14" s="1"/>
  <c r="AF64" i="14" s="1"/>
  <c r="U64" i="14"/>
  <c r="Z64" i="14" s="1"/>
  <c r="AE64" i="14" s="1"/>
  <c r="V63" i="14"/>
  <c r="AA63" i="14" s="1"/>
  <c r="AF63" i="14" s="1"/>
  <c r="U63" i="14"/>
  <c r="Z63" i="14" s="1"/>
  <c r="AE63" i="14" s="1"/>
  <c r="V62" i="14"/>
  <c r="AA62" i="14" s="1"/>
  <c r="AF62" i="14" s="1"/>
  <c r="U62" i="14"/>
  <c r="Z62" i="14" s="1"/>
  <c r="AE62" i="14" s="1"/>
  <c r="V61" i="14"/>
  <c r="AA61" i="14" s="1"/>
  <c r="AF61" i="14" s="1"/>
  <c r="U61" i="14"/>
  <c r="Z61" i="14" s="1"/>
  <c r="AE61" i="14" s="1"/>
  <c r="V60" i="14"/>
  <c r="AA60" i="14" s="1"/>
  <c r="AF60" i="14" s="1"/>
  <c r="U60" i="14"/>
  <c r="Z60" i="14" s="1"/>
  <c r="AE60" i="14" s="1"/>
  <c r="V59" i="14"/>
  <c r="AA59" i="14" s="1"/>
  <c r="AF59" i="14" s="1"/>
  <c r="U59" i="14"/>
  <c r="Z59" i="14" s="1"/>
  <c r="AE59" i="14" s="1"/>
  <c r="V58" i="14"/>
  <c r="AA58" i="14" s="1"/>
  <c r="AF58" i="14" s="1"/>
  <c r="U58" i="14"/>
  <c r="Z58" i="14" s="1"/>
  <c r="AE58" i="14" s="1"/>
  <c r="V57" i="14"/>
  <c r="AA57" i="14" s="1"/>
  <c r="AF57" i="14" s="1"/>
  <c r="U57" i="14"/>
  <c r="Z57" i="14" s="1"/>
  <c r="AE57" i="14" s="1"/>
  <c r="V56" i="14"/>
  <c r="AA56" i="14" s="1"/>
  <c r="AF56" i="14" s="1"/>
  <c r="U56" i="14"/>
  <c r="Z56" i="14" s="1"/>
  <c r="AE56" i="14" s="1"/>
  <c r="V55" i="14"/>
  <c r="AA55" i="14" s="1"/>
  <c r="AF55" i="14" s="1"/>
  <c r="U55" i="14"/>
  <c r="Z55" i="14" s="1"/>
  <c r="AE55" i="14" s="1"/>
  <c r="V54" i="14"/>
  <c r="AA54" i="14" s="1"/>
  <c r="AF54" i="14" s="1"/>
  <c r="U54" i="14"/>
  <c r="Z54" i="14" s="1"/>
  <c r="AE54" i="14" s="1"/>
  <c r="V53" i="14"/>
  <c r="AA53" i="14" s="1"/>
  <c r="AF53" i="14" s="1"/>
  <c r="U53" i="14"/>
  <c r="Z53" i="14" s="1"/>
  <c r="AE53" i="14" s="1"/>
  <c r="V52" i="14"/>
  <c r="AA52" i="14" s="1"/>
  <c r="AF52" i="14" s="1"/>
  <c r="U52" i="14"/>
  <c r="Z52" i="14" s="1"/>
  <c r="AE52" i="14" s="1"/>
  <c r="V51" i="14"/>
  <c r="AA51" i="14" s="1"/>
  <c r="AF51" i="14" s="1"/>
  <c r="U51" i="14"/>
  <c r="Z51" i="14" s="1"/>
  <c r="AE51" i="14" s="1"/>
  <c r="V50" i="14"/>
  <c r="AA50" i="14" s="1"/>
  <c r="AF50" i="14" s="1"/>
  <c r="U50" i="14"/>
  <c r="Z50" i="14" s="1"/>
  <c r="AE50" i="14" s="1"/>
  <c r="V49" i="14"/>
  <c r="AA49" i="14" s="1"/>
  <c r="AF49" i="14" s="1"/>
  <c r="U49" i="14"/>
  <c r="Z49" i="14" s="1"/>
  <c r="AE49" i="14" s="1"/>
  <c r="V48" i="14"/>
  <c r="AA48" i="14" s="1"/>
  <c r="AF48" i="14" s="1"/>
  <c r="U48" i="14"/>
  <c r="Z48" i="14" s="1"/>
  <c r="AE48" i="14" s="1"/>
  <c r="V47" i="14"/>
  <c r="AA47" i="14" s="1"/>
  <c r="AF47" i="14" s="1"/>
  <c r="U47" i="14"/>
  <c r="Z47" i="14" s="1"/>
  <c r="AE47" i="14" s="1"/>
  <c r="V46" i="14"/>
  <c r="AA46" i="14" s="1"/>
  <c r="AF46" i="14" s="1"/>
  <c r="U46" i="14"/>
  <c r="Z46" i="14" s="1"/>
  <c r="AE46" i="14" s="1"/>
  <c r="V45" i="14"/>
  <c r="AA45" i="14" s="1"/>
  <c r="AF45" i="14" s="1"/>
  <c r="U45" i="14"/>
  <c r="Z45" i="14" s="1"/>
  <c r="AE45" i="14" s="1"/>
  <c r="V44" i="14"/>
  <c r="AA44" i="14" s="1"/>
  <c r="AF44" i="14" s="1"/>
  <c r="U44" i="14"/>
  <c r="Z44" i="14" s="1"/>
  <c r="AE44" i="14" s="1"/>
  <c r="V43" i="14"/>
  <c r="AA43" i="14" s="1"/>
  <c r="AF43" i="14" s="1"/>
  <c r="U43" i="14"/>
  <c r="Z43" i="14" s="1"/>
  <c r="AE43" i="14" s="1"/>
  <c r="V42" i="14"/>
  <c r="AA42" i="14" s="1"/>
  <c r="AF42" i="14" s="1"/>
  <c r="U42" i="14"/>
  <c r="Z42" i="14" s="1"/>
  <c r="AE42" i="14" s="1"/>
  <c r="V41" i="14"/>
  <c r="AA41" i="14" s="1"/>
  <c r="AF41" i="14" s="1"/>
  <c r="U41" i="14"/>
  <c r="Z41" i="14" s="1"/>
  <c r="AE41" i="14" s="1"/>
  <c r="V40" i="14"/>
  <c r="AA40" i="14" s="1"/>
  <c r="AF40" i="14" s="1"/>
  <c r="U40" i="14"/>
  <c r="Z40" i="14" s="1"/>
  <c r="AE40" i="14" s="1"/>
  <c r="V39" i="14"/>
  <c r="AA39" i="14" s="1"/>
  <c r="AF39" i="14" s="1"/>
  <c r="U39" i="14"/>
  <c r="Z39" i="14" s="1"/>
  <c r="AE39" i="14" s="1"/>
  <c r="V38" i="14"/>
  <c r="AA38" i="14" s="1"/>
  <c r="AF38" i="14" s="1"/>
  <c r="U38" i="14"/>
  <c r="Z38" i="14" s="1"/>
  <c r="AE38" i="14" s="1"/>
  <c r="V37" i="14"/>
  <c r="AA37" i="14" s="1"/>
  <c r="AF37" i="14" s="1"/>
  <c r="U37" i="14"/>
  <c r="Z37" i="14" s="1"/>
  <c r="AE37" i="14" s="1"/>
  <c r="V36" i="14"/>
  <c r="AA36" i="14" s="1"/>
  <c r="AF36" i="14" s="1"/>
  <c r="U36" i="14"/>
  <c r="Z36" i="14" s="1"/>
  <c r="AE36" i="14" s="1"/>
  <c r="V35" i="14"/>
  <c r="AA35" i="14" s="1"/>
  <c r="AF35" i="14" s="1"/>
  <c r="U35" i="14"/>
  <c r="Z35" i="14" s="1"/>
  <c r="AE35" i="14" s="1"/>
  <c r="V34" i="14"/>
  <c r="AA34" i="14" s="1"/>
  <c r="AF34" i="14" s="1"/>
  <c r="U34" i="14"/>
  <c r="Z34" i="14" s="1"/>
  <c r="AE34" i="14" s="1"/>
  <c r="V33" i="14"/>
  <c r="AA33" i="14" s="1"/>
  <c r="AF33" i="14" s="1"/>
  <c r="U33" i="14"/>
  <c r="Z33" i="14" s="1"/>
  <c r="AE33" i="14" s="1"/>
  <c r="V32" i="14"/>
  <c r="AA32" i="14" s="1"/>
  <c r="AF32" i="14" s="1"/>
  <c r="U32" i="14"/>
  <c r="Z32" i="14" s="1"/>
  <c r="AE32" i="14" s="1"/>
  <c r="V31" i="14"/>
  <c r="AA31" i="14" s="1"/>
  <c r="AF31" i="14" s="1"/>
  <c r="U31" i="14"/>
  <c r="Z31" i="14" s="1"/>
  <c r="AE31" i="14" s="1"/>
  <c r="V30" i="14"/>
  <c r="AA30" i="14" s="1"/>
  <c r="AF30" i="14" s="1"/>
  <c r="U30" i="14"/>
  <c r="Z30" i="14" s="1"/>
  <c r="AE30" i="14" s="1"/>
  <c r="V29" i="14"/>
  <c r="AA29" i="14" s="1"/>
  <c r="AF29" i="14" s="1"/>
  <c r="U29" i="14"/>
  <c r="Z29" i="14" s="1"/>
  <c r="AE29" i="14" s="1"/>
  <c r="V28" i="14"/>
  <c r="AA28" i="14" s="1"/>
  <c r="AF28" i="14" s="1"/>
  <c r="U28" i="14"/>
  <c r="Z28" i="14" s="1"/>
  <c r="AE28" i="14" s="1"/>
  <c r="V27" i="14"/>
  <c r="AA27" i="14" s="1"/>
  <c r="AF27" i="14" s="1"/>
  <c r="U27" i="14"/>
  <c r="Z27" i="14" s="1"/>
  <c r="AE27" i="14" s="1"/>
  <c r="V26" i="14"/>
  <c r="AA26" i="14" s="1"/>
  <c r="AF26" i="14" s="1"/>
  <c r="U26" i="14"/>
  <c r="Z26" i="14" s="1"/>
  <c r="AE26" i="14" s="1"/>
  <c r="V25" i="14"/>
  <c r="AA25" i="14" s="1"/>
  <c r="AF25" i="14" s="1"/>
  <c r="U25" i="14"/>
  <c r="Z25" i="14" s="1"/>
  <c r="AE25" i="14" s="1"/>
  <c r="V24" i="14"/>
  <c r="AA24" i="14" s="1"/>
  <c r="AF24" i="14" s="1"/>
  <c r="U24" i="14"/>
  <c r="Z24" i="14" s="1"/>
  <c r="AE24" i="14" s="1"/>
  <c r="V23" i="14"/>
  <c r="AA23" i="14" s="1"/>
  <c r="AF23" i="14" s="1"/>
  <c r="U23" i="14"/>
  <c r="Z23" i="14" s="1"/>
  <c r="AE23" i="14" s="1"/>
  <c r="V22" i="14"/>
  <c r="AA22" i="14" s="1"/>
  <c r="AF22" i="14" s="1"/>
  <c r="U22" i="14"/>
  <c r="Z22" i="14" s="1"/>
  <c r="AE22" i="14" s="1"/>
  <c r="V21" i="14"/>
  <c r="AA21" i="14" s="1"/>
  <c r="AF21" i="14" s="1"/>
  <c r="U21" i="14"/>
  <c r="Z21" i="14" s="1"/>
  <c r="AE21" i="14" s="1"/>
  <c r="V20" i="14"/>
  <c r="AA20" i="14" s="1"/>
  <c r="AF20" i="14" s="1"/>
  <c r="U20" i="14"/>
  <c r="Z20" i="14" s="1"/>
  <c r="AE20" i="14" s="1"/>
  <c r="V19" i="14"/>
  <c r="AA19" i="14" s="1"/>
  <c r="AF19" i="14" s="1"/>
  <c r="U19" i="14"/>
  <c r="Z19" i="14" s="1"/>
  <c r="AE19" i="14" s="1"/>
  <c r="V18" i="14"/>
  <c r="AA18" i="14" s="1"/>
  <c r="AF18" i="14" s="1"/>
  <c r="U18" i="14"/>
  <c r="Z18" i="14" s="1"/>
  <c r="AE18" i="14" s="1"/>
  <c r="V17" i="14"/>
  <c r="AA17" i="14" s="1"/>
  <c r="AF17" i="14" s="1"/>
  <c r="U17" i="14"/>
  <c r="Z17" i="14" s="1"/>
  <c r="AE17" i="14" s="1"/>
  <c r="V16" i="14"/>
  <c r="AA16" i="14" s="1"/>
  <c r="AF16" i="14" s="1"/>
  <c r="U16" i="14"/>
  <c r="Z16" i="14" s="1"/>
  <c r="AE16" i="14" s="1"/>
  <c r="V15" i="14"/>
  <c r="AA15" i="14" s="1"/>
  <c r="AF15" i="14" s="1"/>
  <c r="U15" i="14"/>
  <c r="Z15" i="14" s="1"/>
  <c r="AE15" i="14" s="1"/>
  <c r="V14" i="14"/>
  <c r="AA14" i="14" s="1"/>
  <c r="AF14" i="14" s="1"/>
  <c r="U14" i="14"/>
  <c r="Z14" i="14" s="1"/>
  <c r="AE14" i="14" s="1"/>
  <c r="V13" i="14"/>
  <c r="AA13" i="14" s="1"/>
  <c r="AF13" i="14" s="1"/>
  <c r="U13" i="14"/>
  <c r="Z13" i="14" s="1"/>
  <c r="AE13" i="14" s="1"/>
  <c r="V12" i="14"/>
  <c r="AA12" i="14" s="1"/>
  <c r="AF12" i="14" s="1"/>
  <c r="U12" i="14"/>
  <c r="Z12" i="14" s="1"/>
  <c r="AE12" i="14" s="1"/>
  <c r="V11" i="14"/>
  <c r="AA11" i="14" s="1"/>
  <c r="AF11" i="14" s="1"/>
  <c r="U11" i="14"/>
  <c r="Z11" i="14" s="1"/>
  <c r="AE11" i="14" s="1"/>
  <c r="V10" i="14"/>
  <c r="AA10" i="14" s="1"/>
  <c r="AF10" i="14" s="1"/>
  <c r="U10" i="14"/>
  <c r="Z10" i="14" s="1"/>
  <c r="AE10" i="14" s="1"/>
  <c r="V9" i="14"/>
  <c r="AA9" i="14" s="1"/>
  <c r="AF9" i="14" s="1"/>
  <c r="U9" i="14"/>
  <c r="Z9" i="14" s="1"/>
  <c r="AE9" i="14" s="1"/>
  <c r="V8" i="14"/>
  <c r="AA8" i="14" s="1"/>
  <c r="AF8" i="14" s="1"/>
  <c r="U8" i="14"/>
  <c r="Z8" i="14" s="1"/>
  <c r="AE8" i="14" s="1"/>
  <c r="V7" i="14"/>
  <c r="AA7" i="14" s="1"/>
  <c r="AF7" i="14" s="1"/>
  <c r="U7" i="14"/>
  <c r="Z7" i="14" s="1"/>
  <c r="AE7" i="14" s="1"/>
  <c r="V6" i="14"/>
  <c r="AA6" i="14" s="1"/>
  <c r="AF6" i="14" s="1"/>
  <c r="U6" i="14"/>
  <c r="Z6" i="14" s="1"/>
  <c r="AE6" i="14" s="1"/>
  <c r="V5" i="14"/>
  <c r="AA5" i="14" s="1"/>
  <c r="AF5" i="14" s="1"/>
  <c r="U5" i="14"/>
  <c r="Z5" i="14" s="1"/>
  <c r="AE5" i="14" s="1"/>
  <c r="V4" i="14"/>
  <c r="AA4" i="14" s="1"/>
  <c r="AF4" i="14" s="1"/>
  <c r="U4" i="14"/>
  <c r="Z4" i="14" s="1"/>
  <c r="AE4" i="14" s="1"/>
  <c r="A4" i="14"/>
  <c r="A5" i="14" s="1"/>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237" i="14" s="1"/>
  <c r="A238" i="14" s="1"/>
  <c r="A239" i="14" s="1"/>
  <c r="A240" i="14" s="1"/>
  <c r="A241" i="14" s="1"/>
  <c r="A242" i="14" s="1"/>
  <c r="A243" i="14" s="1"/>
  <c r="A244" i="14" s="1"/>
  <c r="A245" i="14" s="1"/>
  <c r="A246" i="14" s="1"/>
  <c r="A247" i="14" s="1"/>
  <c r="A248" i="14" s="1"/>
  <c r="A249" i="14" s="1"/>
  <c r="A250" i="14" s="1"/>
  <c r="A251" i="14" s="1"/>
  <c r="A252" i="14" s="1"/>
  <c r="A253" i="14" s="1"/>
  <c r="A254" i="14" s="1"/>
  <c r="A255" i="14" s="1"/>
  <c r="A256" i="14" s="1"/>
  <c r="A257" i="14" s="1"/>
  <c r="A258" i="14" s="1"/>
  <c r="A259" i="14" s="1"/>
  <c r="A260" i="14" s="1"/>
  <c r="A261" i="14" s="1"/>
  <c r="A262" i="14" s="1"/>
  <c r="A263" i="14" s="1"/>
  <c r="A264" i="14" s="1"/>
  <c r="A265" i="14" s="1"/>
  <c r="A266" i="14" s="1"/>
  <c r="A267" i="14" s="1"/>
  <c r="A268" i="14" s="1"/>
  <c r="A269" i="14" s="1"/>
  <c r="A270" i="14" s="1"/>
  <c r="A271" i="14" s="1"/>
  <c r="A272" i="14" s="1"/>
  <c r="A273" i="14" s="1"/>
  <c r="A274" i="14" s="1"/>
  <c r="A275" i="14" s="1"/>
  <c r="A276" i="14" s="1"/>
  <c r="A277" i="14" s="1"/>
  <c r="A278" i="14" s="1"/>
  <c r="A279" i="14" s="1"/>
  <c r="A280" i="14" s="1"/>
  <c r="A281" i="14" s="1"/>
  <c r="A282" i="14" s="1"/>
  <c r="A283" i="14" s="1"/>
  <c r="A284" i="14" s="1"/>
  <c r="A285" i="14" s="1"/>
  <c r="A286" i="14" s="1"/>
  <c r="A287" i="14" s="1"/>
  <c r="A288" i="14" s="1"/>
  <c r="A289" i="14" s="1"/>
  <c r="A290" i="14" s="1"/>
  <c r="A291" i="14" s="1"/>
  <c r="A292" i="14" s="1"/>
  <c r="A293" i="14" s="1"/>
  <c r="A294" i="14" s="1"/>
  <c r="A295" i="14" s="1"/>
  <c r="A296" i="14" s="1"/>
  <c r="A297" i="14" s="1"/>
  <c r="A298" i="14" s="1"/>
  <c r="A299" i="14" s="1"/>
  <c r="A300" i="14" s="1"/>
  <c r="A301" i="14" s="1"/>
  <c r="A302" i="14" s="1"/>
  <c r="A303" i="14" s="1"/>
  <c r="A304" i="14" s="1"/>
  <c r="A305" i="14" s="1"/>
  <c r="A306" i="14" s="1"/>
  <c r="A307" i="14" s="1"/>
  <c r="A308" i="14" s="1"/>
  <c r="A309" i="14" s="1"/>
  <c r="A310" i="14" s="1"/>
  <c r="A311" i="14" s="1"/>
  <c r="A312" i="14" s="1"/>
  <c r="A313" i="14" s="1"/>
  <c r="A314" i="14" s="1"/>
  <c r="A315" i="14" s="1"/>
  <c r="A316" i="14" s="1"/>
  <c r="A317" i="14" s="1"/>
  <c r="A318" i="14" s="1"/>
  <c r="A319" i="14" s="1"/>
  <c r="A320" i="14" s="1"/>
  <c r="A321" i="14" s="1"/>
  <c r="A322" i="14" s="1"/>
  <c r="A323" i="14" s="1"/>
  <c r="A324" i="14" s="1"/>
  <c r="A325" i="14" s="1"/>
  <c r="A326" i="14" s="1"/>
  <c r="A327" i="14" s="1"/>
  <c r="A328" i="14" s="1"/>
  <c r="A329" i="14" s="1"/>
  <c r="A330" i="14" s="1"/>
  <c r="A331" i="14" s="1"/>
  <c r="A332" i="14" s="1"/>
  <c r="A333" i="14" s="1"/>
  <c r="A334" i="14" s="1"/>
  <c r="A335" i="14" s="1"/>
  <c r="A336" i="14" s="1"/>
  <c r="A337" i="14" s="1"/>
  <c r="A338" i="14" s="1"/>
  <c r="A339" i="14" s="1"/>
  <c r="A340" i="14" s="1"/>
  <c r="A341" i="14" s="1"/>
  <c r="A342" i="14" s="1"/>
  <c r="A343" i="14" s="1"/>
  <c r="A344" i="14" s="1"/>
  <c r="A345" i="14" s="1"/>
  <c r="A346" i="14" s="1"/>
  <c r="A347" i="14" s="1"/>
  <c r="A348" i="14" s="1"/>
  <c r="A349" i="14" s="1"/>
  <c r="A350" i="14" s="1"/>
  <c r="A351" i="14" s="1"/>
  <c r="A352" i="14" s="1"/>
  <c r="A353" i="14" s="1"/>
  <c r="A354" i="14" s="1"/>
  <c r="A355" i="14" s="1"/>
  <c r="A356" i="14" s="1"/>
  <c r="A357" i="14" s="1"/>
  <c r="A358" i="14" s="1"/>
  <c r="A359" i="14" s="1"/>
  <c r="A360" i="14" s="1"/>
  <c r="A361" i="14" s="1"/>
  <c r="A362" i="14" s="1"/>
  <c r="A363" i="14" s="1"/>
  <c r="A364" i="14" s="1"/>
  <c r="A365" i="14" s="1"/>
  <c r="A366" i="14" s="1"/>
  <c r="A367" i="14" s="1"/>
  <c r="A368" i="14" s="1"/>
  <c r="A369" i="14" s="1"/>
  <c r="A370" i="14" s="1"/>
  <c r="A371" i="14" s="1"/>
  <c r="A372" i="14" s="1"/>
  <c r="A373" i="14" s="1"/>
  <c r="A374" i="14" s="1"/>
  <c r="A375" i="14" s="1"/>
  <c r="A376" i="14" s="1"/>
  <c r="A377" i="14" s="1"/>
  <c r="A378" i="14" s="1"/>
  <c r="A379" i="14" s="1"/>
  <c r="A380" i="14" s="1"/>
  <c r="A381" i="14" s="1"/>
  <c r="A382" i="14" s="1"/>
  <c r="A383" i="14" s="1"/>
  <c r="A384" i="14" s="1"/>
  <c r="A385" i="14" s="1"/>
  <c r="A386" i="14" s="1"/>
  <c r="A387" i="14" s="1"/>
  <c r="A388" i="14" s="1"/>
  <c r="A389" i="14" s="1"/>
  <c r="A390" i="14" s="1"/>
  <c r="A391" i="14" s="1"/>
  <c r="A392" i="14" s="1"/>
  <c r="A393" i="14" s="1"/>
  <c r="A394" i="14" s="1"/>
  <c r="A395" i="14" s="1"/>
  <c r="A396" i="14" s="1"/>
  <c r="A397" i="14" s="1"/>
  <c r="A398" i="14" s="1"/>
  <c r="A399" i="14" s="1"/>
  <c r="A400" i="14" s="1"/>
  <c r="A401" i="14" s="1"/>
  <c r="A402" i="14" s="1"/>
  <c r="A403" i="14" s="1"/>
  <c r="A404" i="14" s="1"/>
  <c r="A405" i="14" s="1"/>
  <c r="A406" i="14" s="1"/>
  <c r="A407" i="14" s="1"/>
  <c r="A408" i="14" s="1"/>
  <c r="A409" i="14" s="1"/>
  <c r="A410" i="14" s="1"/>
  <c r="A411" i="14" s="1"/>
  <c r="A412" i="14" s="1"/>
  <c r="A413" i="14" s="1"/>
  <c r="A414" i="14" s="1"/>
  <c r="A415" i="14" s="1"/>
  <c r="A416" i="14" s="1"/>
  <c r="A417" i="14" s="1"/>
  <c r="A418" i="14" s="1"/>
  <c r="A419" i="14" s="1"/>
  <c r="A420" i="14" s="1"/>
  <c r="A421" i="14" s="1"/>
  <c r="A422" i="14" s="1"/>
  <c r="A423" i="14" s="1"/>
  <c r="A424" i="14" s="1"/>
  <c r="A425" i="14" s="1"/>
  <c r="A426" i="14" s="1"/>
  <c r="A427" i="14" s="1"/>
  <c r="A428" i="14" s="1"/>
  <c r="A429" i="14" s="1"/>
  <c r="A430" i="14" s="1"/>
  <c r="A431" i="14" s="1"/>
  <c r="A432" i="14" s="1"/>
  <c r="A433" i="14" s="1"/>
  <c r="A434" i="14" s="1"/>
  <c r="A435" i="14" s="1"/>
  <c r="A436" i="14" s="1"/>
  <c r="A437" i="14" s="1"/>
  <c r="A438" i="14" s="1"/>
  <c r="A439" i="14" s="1"/>
  <c r="A440" i="14" s="1"/>
  <c r="A441" i="14" s="1"/>
  <c r="A442" i="14" s="1"/>
  <c r="A443" i="14" s="1"/>
  <c r="A444" i="14" s="1"/>
  <c r="A445" i="14" s="1"/>
  <c r="A446" i="14" s="1"/>
  <c r="A447" i="14" s="1"/>
  <c r="A448" i="14" s="1"/>
  <c r="A449" i="14" s="1"/>
  <c r="A450" i="14" s="1"/>
  <c r="A451" i="14" s="1"/>
  <c r="A452" i="14" s="1"/>
  <c r="A453" i="14" s="1"/>
  <c r="A454" i="14" s="1"/>
  <c r="A455" i="14" s="1"/>
  <c r="A456" i="14" s="1"/>
  <c r="A457" i="14" s="1"/>
  <c r="A458" i="14" s="1"/>
  <c r="A459" i="14" s="1"/>
  <c r="A460" i="14" s="1"/>
  <c r="A461" i="14" s="1"/>
  <c r="A462" i="14" s="1"/>
  <c r="A463" i="14" s="1"/>
  <c r="A464" i="14" s="1"/>
  <c r="A465" i="14" s="1"/>
  <c r="A466" i="14" s="1"/>
  <c r="A467" i="14" s="1"/>
  <c r="A468" i="14" s="1"/>
  <c r="A469" i="14" s="1"/>
  <c r="A470" i="14" s="1"/>
  <c r="A471" i="14" s="1"/>
  <c r="A472" i="14" s="1"/>
  <c r="A473" i="14" s="1"/>
  <c r="A474" i="14" s="1"/>
  <c r="A475" i="14" s="1"/>
  <c r="A476" i="14" s="1"/>
  <c r="A477" i="14" s="1"/>
  <c r="A478" i="14" s="1"/>
  <c r="A479" i="14" s="1"/>
  <c r="A480" i="14" s="1"/>
  <c r="A481" i="14" s="1"/>
  <c r="A482" i="14" s="1"/>
  <c r="A483" i="14" s="1"/>
  <c r="A484" i="14" s="1"/>
  <c r="A485" i="14" s="1"/>
  <c r="V3" i="14"/>
  <c r="AA3" i="14" s="1"/>
  <c r="U3" i="14"/>
  <c r="Z3" i="14" s="1"/>
  <c r="X499" i="13"/>
  <c r="AC481" i="13"/>
  <c r="AB481" i="13"/>
  <c r="W481" i="13"/>
  <c r="W491" i="13"/>
  <c r="X491" i="13" s="1"/>
  <c r="X487" i="13"/>
  <c r="X485" i="13"/>
  <c r="X484" i="13"/>
  <c r="X483" i="13"/>
  <c r="W483" i="13"/>
  <c r="W458" i="13"/>
  <c r="W459" i="13"/>
  <c r="W452" i="13"/>
  <c r="W449" i="13"/>
  <c r="X352" i="13"/>
  <c r="X333" i="13"/>
  <c r="X285" i="13"/>
  <c r="V500" i="13"/>
  <c r="AC478" i="13"/>
  <c r="AC477" i="13"/>
  <c r="AC476" i="13"/>
  <c r="AC474" i="13"/>
  <c r="AC473" i="13"/>
  <c r="AC454" i="13"/>
  <c r="AC453" i="13"/>
  <c r="AC451" i="13"/>
  <c r="AC382" i="13"/>
  <c r="X308" i="13"/>
  <c r="W473" i="13"/>
  <c r="W474" i="13"/>
  <c r="AA315" i="14" l="1"/>
  <c r="AB315" i="14" s="1"/>
  <c r="S59" i="15"/>
  <c r="AA52" i="15"/>
  <c r="AF52" i="15" s="1"/>
  <c r="Z53" i="15"/>
  <c r="AE53" i="15" s="1"/>
  <c r="R59" i="15"/>
  <c r="R61" i="15" s="1"/>
  <c r="AA470" i="14"/>
  <c r="AB470" i="14" s="1"/>
  <c r="AA487" i="14"/>
  <c r="AF487" i="14" s="1"/>
  <c r="A486" i="14"/>
  <c r="AA53" i="15"/>
  <c r="AF53" i="15" s="1"/>
  <c r="AA42" i="15"/>
  <c r="AB42" i="15" s="1"/>
  <c r="AA4" i="15"/>
  <c r="AF4" i="15" s="1"/>
  <c r="Z38" i="15"/>
  <c r="AE38" i="15" s="1"/>
  <c r="V26" i="15"/>
  <c r="AA26" i="15" s="1"/>
  <c r="AF26" i="15" s="1"/>
  <c r="U14" i="16"/>
  <c r="Z14" i="16" s="1"/>
  <c r="AE14" i="16" s="1"/>
  <c r="R55" i="16"/>
  <c r="R57" i="16" s="1"/>
  <c r="AA39" i="16"/>
  <c r="AB39" i="16" s="1"/>
  <c r="AC39" i="16" s="1"/>
  <c r="AE39" i="16" s="1"/>
  <c r="U13" i="16"/>
  <c r="Z13" i="16" s="1"/>
  <c r="AE13" i="16" s="1"/>
  <c r="AA4" i="16"/>
  <c r="AF4" i="16" s="1"/>
  <c r="Z10" i="16"/>
  <c r="AE10" i="16" s="1"/>
  <c r="AA12" i="16"/>
  <c r="AF12" i="16" s="1"/>
  <c r="V8" i="15"/>
  <c r="W8" i="15" s="1"/>
  <c r="X8" i="15" s="1"/>
  <c r="Z8" i="15" s="1"/>
  <c r="AE8" i="15" s="1"/>
  <c r="U45" i="15"/>
  <c r="AA10" i="16"/>
  <c r="AF10" i="16" s="1"/>
  <c r="Z48" i="16"/>
  <c r="AE48" i="16" s="1"/>
  <c r="AA14" i="16"/>
  <c r="AF14" i="16" s="1"/>
  <c r="U8" i="16"/>
  <c r="Z8" i="16" s="1"/>
  <c r="AE8" i="16" s="1"/>
  <c r="V42" i="16"/>
  <c r="X42" i="16" s="1"/>
  <c r="AA42" i="16" s="1"/>
  <c r="AF42" i="16" s="1"/>
  <c r="AA44" i="16"/>
  <c r="AB44" i="16" s="1"/>
  <c r="AC44" i="16" s="1"/>
  <c r="AE44" i="16" s="1"/>
  <c r="X25" i="16"/>
  <c r="Z25" i="16" s="1"/>
  <c r="AE25" i="16" s="1"/>
  <c r="AA40" i="16"/>
  <c r="AB40" i="16" s="1"/>
  <c r="Z46" i="16"/>
  <c r="AE46" i="16" s="1"/>
  <c r="AA8" i="16"/>
  <c r="AF8" i="16" s="1"/>
  <c r="X18" i="16"/>
  <c r="AA18" i="16" s="1"/>
  <c r="AF18" i="16" s="1"/>
  <c r="X24" i="16"/>
  <c r="AA24" i="16" s="1"/>
  <c r="AF24" i="16" s="1"/>
  <c r="X43" i="16"/>
  <c r="AA43" i="16" s="1"/>
  <c r="AF43" i="16" s="1"/>
  <c r="X19" i="16"/>
  <c r="Z19" i="16" s="1"/>
  <c r="AE19" i="16" s="1"/>
  <c r="X28" i="16"/>
  <c r="Z28" i="16" s="1"/>
  <c r="AE28" i="16" s="1"/>
  <c r="Z47" i="16"/>
  <c r="AE47" i="16" s="1"/>
  <c r="Z6" i="16"/>
  <c r="AE6" i="16" s="1"/>
  <c r="Z12" i="16"/>
  <c r="AE12" i="16" s="1"/>
  <c r="AA6" i="16"/>
  <c r="AF6" i="16" s="1"/>
  <c r="Z33" i="16"/>
  <c r="AE33" i="16" s="1"/>
  <c r="W29" i="15"/>
  <c r="X29" i="15" s="1"/>
  <c r="Z29" i="15" s="1"/>
  <c r="AE29" i="15" s="1"/>
  <c r="AA19" i="15"/>
  <c r="AC19" i="15" s="1"/>
  <c r="AF19" i="15" s="1"/>
  <c r="W27" i="15"/>
  <c r="X27" i="15" s="1"/>
  <c r="AA50" i="15"/>
  <c r="AB50" i="15" s="1"/>
  <c r="AC50" i="15" s="1"/>
  <c r="AF50" i="15" s="1"/>
  <c r="AA20" i="15"/>
  <c r="AB20" i="15" s="1"/>
  <c r="AA41" i="15"/>
  <c r="AB41" i="15" s="1"/>
  <c r="AC41" i="15" s="1"/>
  <c r="AE48" i="15"/>
  <c r="Z34" i="15"/>
  <c r="AE34" i="15" s="1"/>
  <c r="Z21" i="15"/>
  <c r="AE21" i="15" s="1"/>
  <c r="X36" i="15"/>
  <c r="Z36" i="15" s="1"/>
  <c r="AE36" i="15" s="1"/>
  <c r="Z37" i="15"/>
  <c r="AE37" i="15" s="1"/>
  <c r="W33" i="15"/>
  <c r="AA33" i="15" s="1"/>
  <c r="AB33" i="15" s="1"/>
  <c r="AC33" i="15" s="1"/>
  <c r="AE33" i="15" s="1"/>
  <c r="AA7" i="15"/>
  <c r="AF7" i="15" s="1"/>
  <c r="Z7" i="15"/>
  <c r="AE7" i="15" s="1"/>
  <c r="Z46" i="15"/>
  <c r="AE46" i="15" s="1"/>
  <c r="Z44" i="15"/>
  <c r="AE44" i="15" s="1"/>
  <c r="AA37" i="15"/>
  <c r="AF37" i="15" s="1"/>
  <c r="AA46" i="15"/>
  <c r="AF46" i="15" s="1"/>
  <c r="Z6" i="15"/>
  <c r="AE6" i="15" s="1"/>
  <c r="X39" i="15"/>
  <c r="AA39" i="15" s="1"/>
  <c r="AF39" i="15" s="1"/>
  <c r="AA48" i="15"/>
  <c r="AB48" i="15" s="1"/>
  <c r="AF48" i="15" s="1"/>
  <c r="W16" i="16"/>
  <c r="X16" i="16" s="1"/>
  <c r="V5" i="16"/>
  <c r="AA5" i="16" s="1"/>
  <c r="AF5" i="16" s="1"/>
  <c r="U5" i="16"/>
  <c r="Z5" i="16" s="1"/>
  <c r="AE5" i="16" s="1"/>
  <c r="AA7" i="16"/>
  <c r="AF7" i="16" s="1"/>
  <c r="W11" i="16"/>
  <c r="X11" i="16" s="1"/>
  <c r="X23" i="16"/>
  <c r="Z23" i="16" s="1"/>
  <c r="AE23" i="16" s="1"/>
  <c r="S55" i="16"/>
  <c r="S57" i="16" s="1"/>
  <c r="W15" i="16"/>
  <c r="X15" i="16" s="1"/>
  <c r="Z20" i="16"/>
  <c r="AE20" i="16" s="1"/>
  <c r="Z7" i="16"/>
  <c r="AE7" i="16" s="1"/>
  <c r="AB17" i="16"/>
  <c r="V32" i="16"/>
  <c r="U32" i="16"/>
  <c r="AA13" i="16"/>
  <c r="AF13" i="16" s="1"/>
  <c r="W21" i="16"/>
  <c r="X21" i="16" s="1"/>
  <c r="Z21" i="16" s="1"/>
  <c r="AE21" i="16" s="1"/>
  <c r="W22" i="16"/>
  <c r="X22" i="16" s="1"/>
  <c r="Z22" i="16" s="1"/>
  <c r="AE22" i="16" s="1"/>
  <c r="W26" i="16"/>
  <c r="X26" i="16" s="1"/>
  <c r="Z26" i="16" s="1"/>
  <c r="AE26" i="16" s="1"/>
  <c r="W29" i="16"/>
  <c r="X29" i="16" s="1"/>
  <c r="Z29" i="16" s="1"/>
  <c r="AE29" i="16" s="1"/>
  <c r="X27" i="16"/>
  <c r="Z27" i="16" s="1"/>
  <c r="AE27" i="16" s="1"/>
  <c r="W30" i="16"/>
  <c r="AB31" i="16"/>
  <c r="AC31" i="16" s="1"/>
  <c r="AA33" i="16"/>
  <c r="AF33" i="16" s="1"/>
  <c r="AB38" i="16"/>
  <c r="AC38" i="16" s="1"/>
  <c r="AE38" i="16" s="1"/>
  <c r="X34" i="16"/>
  <c r="AB41" i="16"/>
  <c r="AC41" i="16" s="1"/>
  <c r="AF41" i="16" s="1"/>
  <c r="X35" i="16"/>
  <c r="Z35" i="16" s="1"/>
  <c r="AE35" i="16" s="1"/>
  <c r="X36" i="16"/>
  <c r="Z36" i="16" s="1"/>
  <c r="AE36" i="16" s="1"/>
  <c r="AC37" i="16"/>
  <c r="AE37" i="16" s="1"/>
  <c r="AA46" i="16"/>
  <c r="AF46" i="16" s="1"/>
  <c r="AA47" i="16"/>
  <c r="AF47" i="16" s="1"/>
  <c r="AA48" i="16"/>
  <c r="AF48" i="16" s="1"/>
  <c r="W49" i="16"/>
  <c r="X49" i="16" s="1"/>
  <c r="Z49" i="16" s="1"/>
  <c r="AE49" i="16" s="1"/>
  <c r="Z45" i="16"/>
  <c r="AE45" i="16" s="1"/>
  <c r="AA45" i="16"/>
  <c r="AF45" i="16" s="1"/>
  <c r="X12" i="15"/>
  <c r="AA12" i="15" s="1"/>
  <c r="AF12" i="15" s="1"/>
  <c r="W13" i="15"/>
  <c r="AA13" i="15" s="1"/>
  <c r="X11" i="15"/>
  <c r="AA11" i="15" s="1"/>
  <c r="AF11" i="15" s="1"/>
  <c r="W16" i="15"/>
  <c r="X16" i="15" s="1"/>
  <c r="AA16" i="15" s="1"/>
  <c r="AF16" i="15" s="1"/>
  <c r="X18" i="15"/>
  <c r="AA18" i="15" s="1"/>
  <c r="AF18" i="15" s="1"/>
  <c r="W22" i="15"/>
  <c r="X22" i="15" s="1"/>
  <c r="S61" i="15"/>
  <c r="W9" i="15"/>
  <c r="V10" i="15"/>
  <c r="U10" i="15"/>
  <c r="Z15" i="15"/>
  <c r="AE15" i="15" s="1"/>
  <c r="W17" i="15"/>
  <c r="AA21" i="15"/>
  <c r="AF21" i="15" s="1"/>
  <c r="W30" i="15"/>
  <c r="X30" i="15" s="1"/>
  <c r="Z30" i="15" s="1"/>
  <c r="AE30" i="15" s="1"/>
  <c r="Z35" i="15"/>
  <c r="AE35" i="15" s="1"/>
  <c r="W5" i="15"/>
  <c r="V14" i="15"/>
  <c r="U14" i="15"/>
  <c r="AA15" i="15"/>
  <c r="AF15" i="15" s="1"/>
  <c r="W23" i="15"/>
  <c r="W24" i="15"/>
  <c r="X24" i="15" s="1"/>
  <c r="Z24" i="15" s="1"/>
  <c r="AE24" i="15" s="1"/>
  <c r="AA35" i="15"/>
  <c r="AF35" i="15" s="1"/>
  <c r="W40" i="15"/>
  <c r="AC43" i="15"/>
  <c r="AF43" i="15" s="1"/>
  <c r="AA6" i="15"/>
  <c r="AF6" i="15" s="1"/>
  <c r="V25" i="15"/>
  <c r="AA25" i="15" s="1"/>
  <c r="U25" i="15"/>
  <c r="Z25" i="15" s="1"/>
  <c r="W32" i="15"/>
  <c r="AA34" i="15"/>
  <c r="AF34" i="15" s="1"/>
  <c r="AA44" i="15"/>
  <c r="AF44" i="15" s="1"/>
  <c r="AB49" i="15"/>
  <c r="AC49" i="15" s="1"/>
  <c r="AE49" i="15" s="1"/>
  <c r="X45" i="15"/>
  <c r="AB47" i="15"/>
  <c r="AC47" i="15" s="1"/>
  <c r="AE47" i="15" s="1"/>
  <c r="AB51" i="15"/>
  <c r="X308" i="14"/>
  <c r="AA308" i="14" s="1"/>
  <c r="AF308" i="14" s="1"/>
  <c r="AA457" i="14"/>
  <c r="AB457" i="14" s="1"/>
  <c r="AC457" i="14" s="1"/>
  <c r="AF457" i="14" s="1"/>
  <c r="U300" i="14"/>
  <c r="Z300" i="14" s="1"/>
  <c r="AE300" i="14" s="1"/>
  <c r="V310" i="14"/>
  <c r="AA310" i="14" s="1"/>
  <c r="AF310" i="14" s="1"/>
  <c r="U285" i="14"/>
  <c r="Z285" i="14" s="1"/>
  <c r="AE285" i="14" s="1"/>
  <c r="U287" i="14"/>
  <c r="Z287" i="14" s="1"/>
  <c r="AE287" i="14" s="1"/>
  <c r="V400" i="14"/>
  <c r="X400" i="14" s="1"/>
  <c r="AA400" i="14" s="1"/>
  <c r="AF400" i="14" s="1"/>
  <c r="V320" i="14"/>
  <c r="AA320" i="14" s="1"/>
  <c r="AF320" i="14" s="1"/>
  <c r="V394" i="14"/>
  <c r="AA394" i="14" s="1"/>
  <c r="AF394" i="14" s="1"/>
  <c r="AA458" i="14"/>
  <c r="AB458" i="14" s="1"/>
  <c r="AC458" i="14" s="1"/>
  <c r="AF458" i="14" s="1"/>
  <c r="V299" i="14"/>
  <c r="W299" i="14" s="1"/>
  <c r="U410" i="14"/>
  <c r="Z410" i="14" s="1"/>
  <c r="AE410" i="14" s="1"/>
  <c r="U455" i="14"/>
  <c r="V462" i="14"/>
  <c r="AA462" i="14" s="1"/>
  <c r="AF462" i="14" s="1"/>
  <c r="U143" i="14"/>
  <c r="Z143" i="14" s="1"/>
  <c r="AE143" i="14" s="1"/>
  <c r="V280" i="14"/>
  <c r="AA280" i="14" s="1"/>
  <c r="AF280" i="14" s="1"/>
  <c r="U284" i="14"/>
  <c r="Z284" i="14" s="1"/>
  <c r="AE284" i="14" s="1"/>
  <c r="U290" i="14"/>
  <c r="Z290" i="14" s="1"/>
  <c r="AE290" i="14" s="1"/>
  <c r="U292" i="14"/>
  <c r="W292" i="14" s="1"/>
  <c r="X292" i="14" s="1"/>
  <c r="Z292" i="14" s="1"/>
  <c r="AE292" i="14" s="1"/>
  <c r="U294" i="14"/>
  <c r="V384" i="14"/>
  <c r="AA384" i="14" s="1"/>
  <c r="AF384" i="14" s="1"/>
  <c r="X455" i="14"/>
  <c r="AA455" i="14" s="1"/>
  <c r="AF455" i="14" s="1"/>
  <c r="AA100" i="14"/>
  <c r="AF100" i="14" s="1"/>
  <c r="AA173" i="14"/>
  <c r="AF173" i="14" s="1"/>
  <c r="X430" i="14"/>
  <c r="Z430" i="14" s="1"/>
  <c r="AE430" i="14" s="1"/>
  <c r="AA448" i="14"/>
  <c r="AB448" i="14" s="1"/>
  <c r="V459" i="14"/>
  <c r="X459" i="14" s="1"/>
  <c r="Z459" i="14" s="1"/>
  <c r="AE459" i="14" s="1"/>
  <c r="X421" i="14"/>
  <c r="Z421" i="14" s="1"/>
  <c r="AE421" i="14" s="1"/>
  <c r="X324" i="14"/>
  <c r="AA324" i="14" s="1"/>
  <c r="AF324" i="14" s="1"/>
  <c r="AA429" i="14"/>
  <c r="AF429" i="14" s="1"/>
  <c r="X329" i="14"/>
  <c r="Z329" i="14" s="1"/>
  <c r="AE329" i="14" s="1"/>
  <c r="AA285" i="14"/>
  <c r="AF285" i="14" s="1"/>
  <c r="W307" i="14"/>
  <c r="Z465" i="14"/>
  <c r="AE465" i="14" s="1"/>
  <c r="W432" i="14"/>
  <c r="X432" i="14" s="1"/>
  <c r="Z432" i="14" s="1"/>
  <c r="AE432" i="14" s="1"/>
  <c r="W390" i="14"/>
  <c r="X390" i="14" s="1"/>
  <c r="Z390" i="14" s="1"/>
  <c r="AE390" i="14" s="1"/>
  <c r="Z482" i="14"/>
  <c r="AE482" i="14" s="1"/>
  <c r="AA482" i="14"/>
  <c r="AF482" i="14" s="1"/>
  <c r="AE470" i="14"/>
  <c r="AB472" i="14"/>
  <c r="W293" i="14"/>
  <c r="X293" i="14" s="1"/>
  <c r="Z293" i="14" s="1"/>
  <c r="AE293" i="14" s="1"/>
  <c r="X281" i="14"/>
  <c r="AA281" i="14" s="1"/>
  <c r="AF281" i="14" s="1"/>
  <c r="W402" i="14"/>
  <c r="Z429" i="14"/>
  <c r="AE429" i="14" s="1"/>
  <c r="AC453" i="14"/>
  <c r="AE453" i="14" s="1"/>
  <c r="Z352" i="14"/>
  <c r="AE352" i="14" s="1"/>
  <c r="AB474" i="14"/>
  <c r="AC474" i="14" s="1"/>
  <c r="W318" i="14"/>
  <c r="X318" i="14" s="1"/>
  <c r="AA409" i="14"/>
  <c r="AB409" i="14" s="1"/>
  <c r="AC409" i="14" s="1"/>
  <c r="AE409" i="14" s="1"/>
  <c r="W289" i="14"/>
  <c r="X289" i="14" s="1"/>
  <c r="W303" i="14"/>
  <c r="X303" i="14" s="1"/>
  <c r="AC315" i="14"/>
  <c r="AF315" i="14" s="1"/>
  <c r="AA352" i="14"/>
  <c r="AF352" i="14" s="1"/>
  <c r="W403" i="14"/>
  <c r="X403" i="14" s="1"/>
  <c r="X423" i="14"/>
  <c r="AA423" i="14" s="1"/>
  <c r="AF423" i="14" s="1"/>
  <c r="W317" i="14"/>
  <c r="X317" i="14" s="1"/>
  <c r="W408" i="14"/>
  <c r="X408" i="14" s="1"/>
  <c r="Z408" i="14" s="1"/>
  <c r="AE408" i="14" s="1"/>
  <c r="W412" i="14"/>
  <c r="X412" i="14" s="1"/>
  <c r="W295" i="14"/>
  <c r="X295" i="14" s="1"/>
  <c r="X302" i="14"/>
  <c r="Z302" i="14" s="1"/>
  <c r="AE302" i="14" s="1"/>
  <c r="AA314" i="14"/>
  <c r="AC314" i="14" s="1"/>
  <c r="Z314" i="14"/>
  <c r="X294" i="14"/>
  <c r="AA294" i="14" s="1"/>
  <c r="AF294" i="14" s="1"/>
  <c r="AA473" i="14"/>
  <c r="AB469" i="14"/>
  <c r="AC469" i="14" s="1"/>
  <c r="AA452" i="14"/>
  <c r="Z452" i="14"/>
  <c r="AA465" i="14"/>
  <c r="AF465" i="14" s="1"/>
  <c r="Z333" i="14"/>
  <c r="AE333" i="14" s="1"/>
  <c r="Z310" i="14"/>
  <c r="AE310" i="14" s="1"/>
  <c r="AA333" i="14"/>
  <c r="AF333" i="14" s="1"/>
  <c r="AA451" i="14"/>
  <c r="AB451" i="14" s="1"/>
  <c r="AC451" i="14" s="1"/>
  <c r="AF451" i="14" s="1"/>
  <c r="AA479" i="14"/>
  <c r="AF479" i="14" s="1"/>
  <c r="X326" i="14"/>
  <c r="AA326" i="14" s="1"/>
  <c r="AF326" i="14" s="1"/>
  <c r="AC433" i="14"/>
  <c r="AF433" i="14" s="1"/>
  <c r="W327" i="14"/>
  <c r="X327" i="14" s="1"/>
  <c r="AA327" i="14" s="1"/>
  <c r="AF327" i="14" s="1"/>
  <c r="W283" i="14"/>
  <c r="Z411" i="14"/>
  <c r="AE411" i="14" s="1"/>
  <c r="Z291" i="14"/>
  <c r="AE291" i="14" s="1"/>
  <c r="Z296" i="14"/>
  <c r="AE296" i="14" s="1"/>
  <c r="Z316" i="14"/>
  <c r="AE316" i="14" s="1"/>
  <c r="Z321" i="14"/>
  <c r="AE321" i="14" s="1"/>
  <c r="Z401" i="14"/>
  <c r="AE401" i="14" s="1"/>
  <c r="Z413" i="14"/>
  <c r="AE413" i="14" s="1"/>
  <c r="Z415" i="14"/>
  <c r="AE415" i="14" s="1"/>
  <c r="Z481" i="14"/>
  <c r="AE481" i="14" s="1"/>
  <c r="AA304" i="14"/>
  <c r="AF304" i="14" s="1"/>
  <c r="Z306" i="14"/>
  <c r="AE306" i="14" s="1"/>
  <c r="AA316" i="14"/>
  <c r="AF316" i="14" s="1"/>
  <c r="AA322" i="14"/>
  <c r="AF322" i="14" s="1"/>
  <c r="AA401" i="14"/>
  <c r="AF401" i="14" s="1"/>
  <c r="AA426" i="14"/>
  <c r="AF426" i="14" s="1"/>
  <c r="AA450" i="14"/>
  <c r="AE3" i="14"/>
  <c r="AF3" i="14"/>
  <c r="V174" i="14"/>
  <c r="AA174" i="14" s="1"/>
  <c r="AF174" i="14" s="1"/>
  <c r="U174" i="14"/>
  <c r="Z174" i="14" s="1"/>
  <c r="AE174" i="14" s="1"/>
  <c r="X299" i="14"/>
  <c r="Z299" i="14" s="1"/>
  <c r="AE299" i="14" s="1"/>
  <c r="S494" i="14"/>
  <c r="S496" i="14" s="1"/>
  <c r="AA291" i="14"/>
  <c r="AF291" i="14" s="1"/>
  <c r="AA298" i="14"/>
  <c r="Z304" i="14"/>
  <c r="AE304" i="14" s="1"/>
  <c r="U305" i="14"/>
  <c r="Z305" i="14" s="1"/>
  <c r="AE305" i="14" s="1"/>
  <c r="V309" i="14"/>
  <c r="AA309" i="14" s="1"/>
  <c r="AF309" i="14" s="1"/>
  <c r="V311" i="14"/>
  <c r="AA311" i="14" s="1"/>
  <c r="AF311" i="14" s="1"/>
  <c r="Z313" i="14"/>
  <c r="AE313" i="14" s="1"/>
  <c r="AA313" i="14"/>
  <c r="AF313" i="14" s="1"/>
  <c r="Z322" i="14"/>
  <c r="AE322" i="14" s="1"/>
  <c r="V334" i="14"/>
  <c r="AA334" i="14" s="1"/>
  <c r="AF334" i="14" s="1"/>
  <c r="U334" i="14"/>
  <c r="Z334" i="14" s="1"/>
  <c r="AE334" i="14" s="1"/>
  <c r="X282" i="14"/>
  <c r="AA306" i="14"/>
  <c r="AF306" i="14" s="1"/>
  <c r="AA321" i="14"/>
  <c r="AF321" i="14" s="1"/>
  <c r="AB323" i="14"/>
  <c r="Z309" i="14"/>
  <c r="AE309" i="14" s="1"/>
  <c r="Z311" i="14"/>
  <c r="AE311" i="14" s="1"/>
  <c r="W325" i="14"/>
  <c r="X325" i="14" s="1"/>
  <c r="Z325" i="14" s="1"/>
  <c r="AE325" i="14" s="1"/>
  <c r="V331" i="14"/>
  <c r="AA331" i="14" s="1"/>
  <c r="AF331" i="14" s="1"/>
  <c r="AA367" i="14"/>
  <c r="AF367" i="14" s="1"/>
  <c r="AB417" i="14"/>
  <c r="AC417" i="14" s="1"/>
  <c r="X427" i="14"/>
  <c r="U373" i="14"/>
  <c r="Z373" i="14" s="1"/>
  <c r="AE373" i="14" s="1"/>
  <c r="V373" i="14"/>
  <c r="AA373" i="14" s="1"/>
  <c r="AF373" i="14" s="1"/>
  <c r="R494" i="14"/>
  <c r="R496" i="14" s="1"/>
  <c r="V380" i="14"/>
  <c r="AA380" i="14" s="1"/>
  <c r="AF380" i="14" s="1"/>
  <c r="X407" i="14"/>
  <c r="AA407" i="14" s="1"/>
  <c r="AF407" i="14" s="1"/>
  <c r="Z382" i="14"/>
  <c r="V382" i="14"/>
  <c r="AA382" i="14" s="1"/>
  <c r="W414" i="14"/>
  <c r="X414" i="14" s="1"/>
  <c r="AA415" i="14"/>
  <c r="AF415" i="14" s="1"/>
  <c r="W416" i="14"/>
  <c r="AA456" i="14"/>
  <c r="AF456" i="14" s="1"/>
  <c r="V419" i="14"/>
  <c r="AA419" i="14" s="1"/>
  <c r="AF419" i="14" s="1"/>
  <c r="U419" i="14"/>
  <c r="Z419" i="14" s="1"/>
  <c r="AE419" i="14" s="1"/>
  <c r="W428" i="14"/>
  <c r="X428" i="14" s="1"/>
  <c r="Z428" i="14" s="1"/>
  <c r="AE428" i="14" s="1"/>
  <c r="X480" i="14"/>
  <c r="Z480" i="14" s="1"/>
  <c r="AE480" i="14" s="1"/>
  <c r="AA411" i="14"/>
  <c r="AF411" i="14" s="1"/>
  <c r="Z426" i="14"/>
  <c r="AE426" i="14" s="1"/>
  <c r="Z479" i="14"/>
  <c r="AE479" i="14" s="1"/>
  <c r="Z483" i="14"/>
  <c r="AE483" i="14" s="1"/>
  <c r="W488" i="14"/>
  <c r="U442" i="14"/>
  <c r="Z442" i="14" s="1"/>
  <c r="AE442" i="14" s="1"/>
  <c r="V442" i="14"/>
  <c r="AA442" i="14" s="1"/>
  <c r="AF442" i="14" s="1"/>
  <c r="AA483" i="14"/>
  <c r="AF483" i="14" s="1"/>
  <c r="U420" i="14"/>
  <c r="X454" i="14"/>
  <c r="AA454" i="14" s="1"/>
  <c r="AF454" i="14" s="1"/>
  <c r="AA477" i="14"/>
  <c r="Z456" i="14"/>
  <c r="AE456" i="14" s="1"/>
  <c r="U490" i="13"/>
  <c r="S498" i="13"/>
  <c r="U59" i="15" l="1"/>
  <c r="AF470" i="14"/>
  <c r="A487" i="14"/>
  <c r="A488" i="14" s="1"/>
  <c r="V59" i="15"/>
  <c r="AC472" i="14"/>
  <c r="AE472" i="14" s="1"/>
  <c r="X402" i="14"/>
  <c r="Z402" i="14" s="1"/>
  <c r="AE402" i="14" s="1"/>
  <c r="X488" i="14"/>
  <c r="Z488" i="14" s="1"/>
  <c r="AE488" i="14" s="1"/>
  <c r="AA427" i="14"/>
  <c r="AF427" i="14" s="1"/>
  <c r="Z45" i="15"/>
  <c r="AE45" i="15" s="1"/>
  <c r="Z18" i="15"/>
  <c r="AE18" i="15" s="1"/>
  <c r="Z308" i="14"/>
  <c r="AE308" i="14" s="1"/>
  <c r="AC20" i="15"/>
  <c r="AF20" i="15" s="1"/>
  <c r="AA36" i="15"/>
  <c r="AF36" i="15" s="1"/>
  <c r="AA432" i="14"/>
  <c r="AF432" i="14" s="1"/>
  <c r="AF453" i="14"/>
  <c r="AA25" i="16"/>
  <c r="AF25" i="16" s="1"/>
  <c r="AC17" i="16"/>
  <c r="Z34" i="16"/>
  <c r="AE34" i="16" s="1"/>
  <c r="AA29" i="15"/>
  <c r="AF29" i="15" s="1"/>
  <c r="Z24" i="16"/>
  <c r="AE24" i="16" s="1"/>
  <c r="AC40" i="16"/>
  <c r="AE40" i="16" s="1"/>
  <c r="AA19" i="16"/>
  <c r="AF19" i="16" s="1"/>
  <c r="Z42" i="16"/>
  <c r="AE42" i="16" s="1"/>
  <c r="Z18" i="16"/>
  <c r="AE18" i="16" s="1"/>
  <c r="AA28" i="16"/>
  <c r="AF28" i="16" s="1"/>
  <c r="Z43" i="16"/>
  <c r="AE43" i="16" s="1"/>
  <c r="AF31" i="16"/>
  <c r="AE31" i="16"/>
  <c r="AA34" i="16"/>
  <c r="AF34" i="16" s="1"/>
  <c r="X30" i="16"/>
  <c r="Z30" i="16" s="1"/>
  <c r="AE30" i="16" s="1"/>
  <c r="AA26" i="16"/>
  <c r="AF26" i="16" s="1"/>
  <c r="AF37" i="16"/>
  <c r="AE41" i="16"/>
  <c r="AF17" i="16"/>
  <c r="Z12" i="15"/>
  <c r="AE12" i="15" s="1"/>
  <c r="AE20" i="15"/>
  <c r="Z27" i="15"/>
  <c r="AE27" i="15" s="1"/>
  <c r="AA27" i="15"/>
  <c r="AF27" i="15" s="1"/>
  <c r="Z11" i="15"/>
  <c r="AE11" i="15" s="1"/>
  <c r="AE19" i="15"/>
  <c r="AF49" i="15"/>
  <c r="AE43" i="15"/>
  <c r="Z39" i="15"/>
  <c r="AE39" i="15" s="1"/>
  <c r="AA8" i="15"/>
  <c r="AF8" i="15" s="1"/>
  <c r="AB55" i="16"/>
  <c r="Z16" i="16"/>
  <c r="AE16" i="16" s="1"/>
  <c r="AA16" i="16"/>
  <c r="AF16" i="16" s="1"/>
  <c r="Z15" i="16"/>
  <c r="AE15" i="16" s="1"/>
  <c r="AA15" i="16"/>
  <c r="AF15" i="16" s="1"/>
  <c r="AA11" i="16"/>
  <c r="AF11" i="16" s="1"/>
  <c r="Z11" i="16"/>
  <c r="AE11" i="16" s="1"/>
  <c r="AF44" i="16"/>
  <c r="AF39" i="16"/>
  <c r="AA35" i="16"/>
  <c r="AF35" i="16" s="1"/>
  <c r="AF38" i="16"/>
  <c r="AA23" i="16"/>
  <c r="AF23" i="16" s="1"/>
  <c r="V55" i="16"/>
  <c r="AA49" i="16"/>
  <c r="AF49" i="16" s="1"/>
  <c r="AA36" i="16"/>
  <c r="AF36" i="16" s="1"/>
  <c r="AA27" i="16"/>
  <c r="AF27" i="16" s="1"/>
  <c r="AA29" i="16"/>
  <c r="AF29" i="16" s="1"/>
  <c r="AA21" i="16"/>
  <c r="AF21" i="16" s="1"/>
  <c r="AA22" i="16"/>
  <c r="AF22" i="16" s="1"/>
  <c r="W32" i="16"/>
  <c r="X32" i="16" s="1"/>
  <c r="Z32" i="16" s="1"/>
  <c r="AE32" i="16" s="1"/>
  <c r="U55" i="16"/>
  <c r="U57" i="16" s="1"/>
  <c r="AE41" i="15"/>
  <c r="AF41" i="15"/>
  <c r="Z22" i="15"/>
  <c r="AE22" i="15" s="1"/>
  <c r="AA22" i="15"/>
  <c r="AF22" i="15" s="1"/>
  <c r="AB13" i="15"/>
  <c r="AB25" i="15"/>
  <c r="AC25" i="15" s="1"/>
  <c r="AE25" i="15" s="1"/>
  <c r="X32" i="15"/>
  <c r="Z32" i="15" s="1"/>
  <c r="AE32" i="15" s="1"/>
  <c r="X40" i="15"/>
  <c r="Z40" i="15" s="1"/>
  <c r="AE40" i="15" s="1"/>
  <c r="AA30" i="15"/>
  <c r="AF30" i="15" s="1"/>
  <c r="X17" i="15"/>
  <c r="Z17" i="15" s="1"/>
  <c r="AE17" i="15" s="1"/>
  <c r="Z16" i="15"/>
  <c r="AE16" i="15" s="1"/>
  <c r="X10" i="15"/>
  <c r="AA10" i="15" s="1"/>
  <c r="AF10" i="15" s="1"/>
  <c r="AC51" i="15"/>
  <c r="AE51" i="15" s="1"/>
  <c r="AE50" i="15"/>
  <c r="AC42" i="15"/>
  <c r="AE42" i="15" s="1"/>
  <c r="AA24" i="15"/>
  <c r="AF24" i="15" s="1"/>
  <c r="AF33" i="15"/>
  <c r="X9" i="15"/>
  <c r="Z9" i="15" s="1"/>
  <c r="AE9" i="15" s="1"/>
  <c r="AA45" i="15"/>
  <c r="AF45" i="15" s="1"/>
  <c r="AF47" i="15"/>
  <c r="X14" i="15"/>
  <c r="Z14" i="15" s="1"/>
  <c r="AE14" i="15" s="1"/>
  <c r="W14" i="15"/>
  <c r="X23" i="15"/>
  <c r="Z23" i="15" s="1"/>
  <c r="AE23" i="15" s="1"/>
  <c r="X5" i="15"/>
  <c r="U61" i="15"/>
  <c r="AB452" i="14"/>
  <c r="AC452" i="14" s="1"/>
  <c r="Z400" i="14"/>
  <c r="AE400" i="14" s="1"/>
  <c r="AE315" i="14"/>
  <c r="AA421" i="14"/>
  <c r="AF421" i="14" s="1"/>
  <c r="AA430" i="14"/>
  <c r="AF430" i="14" s="1"/>
  <c r="Z455" i="14"/>
  <c r="AE455" i="14" s="1"/>
  <c r="Z281" i="14"/>
  <c r="AE281" i="14" s="1"/>
  <c r="Z324" i="14"/>
  <c r="AE324" i="14" s="1"/>
  <c r="X307" i="14"/>
  <c r="Z307" i="14" s="1"/>
  <c r="AE307" i="14" s="1"/>
  <c r="W420" i="14"/>
  <c r="W494" i="14" s="1"/>
  <c r="X283" i="14"/>
  <c r="Z283" i="14" s="1"/>
  <c r="AE283" i="14" s="1"/>
  <c r="Z294" i="14"/>
  <c r="AE294" i="14" s="1"/>
  <c r="Z407" i="14"/>
  <c r="AE407" i="14" s="1"/>
  <c r="Z427" i="14"/>
  <c r="AE427" i="14" s="1"/>
  <c r="Z423" i="14"/>
  <c r="AE423" i="14" s="1"/>
  <c r="AA318" i="14"/>
  <c r="AF318" i="14" s="1"/>
  <c r="Z318" i="14"/>
  <c r="AE318" i="14" s="1"/>
  <c r="AF474" i="14"/>
  <c r="AE474" i="14"/>
  <c r="AA295" i="14"/>
  <c r="AF295" i="14" s="1"/>
  <c r="Z295" i="14"/>
  <c r="AE295" i="14" s="1"/>
  <c r="Z317" i="14"/>
  <c r="AE317" i="14" s="1"/>
  <c r="AA317" i="14"/>
  <c r="AF317" i="14" s="1"/>
  <c r="AA302" i="14"/>
  <c r="AF302" i="14" s="1"/>
  <c r="Z326" i="14"/>
  <c r="AE326" i="14" s="1"/>
  <c r="AA303" i="14"/>
  <c r="AF303" i="14" s="1"/>
  <c r="Z303" i="14"/>
  <c r="AE303" i="14" s="1"/>
  <c r="Z289" i="14"/>
  <c r="AE289" i="14" s="1"/>
  <c r="AA289" i="14"/>
  <c r="AF289" i="14" s="1"/>
  <c r="Z403" i="14"/>
  <c r="AE403" i="14" s="1"/>
  <c r="AA403" i="14"/>
  <c r="AF403" i="14" s="1"/>
  <c r="AA412" i="14"/>
  <c r="AF412" i="14" s="1"/>
  <c r="Z412" i="14"/>
  <c r="AE412" i="14" s="1"/>
  <c r="AB382" i="14"/>
  <c r="AC382" i="14" s="1"/>
  <c r="AE382" i="14" s="1"/>
  <c r="AB473" i="14"/>
  <c r="AB298" i="14"/>
  <c r="AA408" i="14"/>
  <c r="AF408" i="14" s="1"/>
  <c r="AF314" i="14"/>
  <c r="AB450" i="14"/>
  <c r="AE433" i="14"/>
  <c r="AF469" i="14"/>
  <c r="AE469" i="14"/>
  <c r="AF417" i="14"/>
  <c r="AE417" i="14"/>
  <c r="AA299" i="14"/>
  <c r="AF299" i="14" s="1"/>
  <c r="AA293" i="14"/>
  <c r="AF293" i="14" s="1"/>
  <c r="AA459" i="14"/>
  <c r="AF459" i="14" s="1"/>
  <c r="AA428" i="14"/>
  <c r="AF428" i="14" s="1"/>
  <c r="AA325" i="14"/>
  <c r="AF325" i="14" s="1"/>
  <c r="Z327" i="14"/>
  <c r="AE327" i="14" s="1"/>
  <c r="AE451" i="14"/>
  <c r="AE457" i="14"/>
  <c r="AC448" i="14"/>
  <c r="AE448" i="14" s="1"/>
  <c r="AA480" i="14"/>
  <c r="AF480" i="14" s="1"/>
  <c r="AE458" i="14"/>
  <c r="AA292" i="14"/>
  <c r="AF292" i="14" s="1"/>
  <c r="AA329" i="14"/>
  <c r="AF329" i="14" s="1"/>
  <c r="AA414" i="14"/>
  <c r="AF414" i="14" s="1"/>
  <c r="Z414" i="14"/>
  <c r="AE414" i="14" s="1"/>
  <c r="U494" i="14"/>
  <c r="U496" i="14" s="1"/>
  <c r="AF409" i="14"/>
  <c r="AC323" i="14"/>
  <c r="V494" i="14"/>
  <c r="X416" i="14"/>
  <c r="Z416" i="14" s="1"/>
  <c r="AE416" i="14" s="1"/>
  <c r="AA282" i="14"/>
  <c r="AF282" i="14" s="1"/>
  <c r="Z454" i="14"/>
  <c r="AE454" i="14" s="1"/>
  <c r="AB477" i="14"/>
  <c r="AC477" i="14" s="1"/>
  <c r="AE477" i="14" s="1"/>
  <c r="AA390" i="14"/>
  <c r="AF390" i="14" s="1"/>
  <c r="AE314" i="14"/>
  <c r="Z282" i="14"/>
  <c r="AE282" i="14" s="1"/>
  <c r="V466" i="13"/>
  <c r="U466" i="13"/>
  <c r="Z466" i="13" s="1"/>
  <c r="AE466" i="13" s="1"/>
  <c r="V471" i="13"/>
  <c r="AA471" i="13" s="1"/>
  <c r="AF471" i="13" s="1"/>
  <c r="U471" i="13"/>
  <c r="Z471" i="13" s="1"/>
  <c r="AE471" i="13" s="1"/>
  <c r="V470" i="13"/>
  <c r="AA470" i="13" s="1"/>
  <c r="AF470" i="13" s="1"/>
  <c r="U470" i="13"/>
  <c r="Z470" i="13" s="1"/>
  <c r="AE470" i="13" s="1"/>
  <c r="V469" i="13"/>
  <c r="AA469" i="13" s="1"/>
  <c r="AF469" i="13" s="1"/>
  <c r="U469" i="13"/>
  <c r="Z469" i="13" s="1"/>
  <c r="AE469" i="13" s="1"/>
  <c r="V468" i="13"/>
  <c r="AA468" i="13" s="1"/>
  <c r="AF468" i="13" s="1"/>
  <c r="U468" i="13"/>
  <c r="Z468" i="13" s="1"/>
  <c r="AE468" i="13" s="1"/>
  <c r="V478" i="13"/>
  <c r="AA478" i="13" s="1"/>
  <c r="AF478" i="13" s="1"/>
  <c r="U478" i="13"/>
  <c r="Z478" i="13" s="1"/>
  <c r="AE478" i="13" s="1"/>
  <c r="V477" i="13"/>
  <c r="AA477" i="13" s="1"/>
  <c r="AF477" i="13" s="1"/>
  <c r="U477" i="13"/>
  <c r="Z477" i="13" s="1"/>
  <c r="AE477" i="13" s="1"/>
  <c r="V476" i="13"/>
  <c r="AA476" i="13" s="1"/>
  <c r="AF476" i="13" s="1"/>
  <c r="U476" i="13"/>
  <c r="Z476" i="13" s="1"/>
  <c r="AE476" i="13" s="1"/>
  <c r="V475" i="13"/>
  <c r="AA475" i="13" s="1"/>
  <c r="AF475" i="13" s="1"/>
  <c r="U475" i="13"/>
  <c r="Z475" i="13" s="1"/>
  <c r="AE475" i="13" s="1"/>
  <c r="V474" i="13"/>
  <c r="AA474" i="13" s="1"/>
  <c r="AF474" i="13" s="1"/>
  <c r="U474" i="13"/>
  <c r="Z474" i="13" s="1"/>
  <c r="AE474" i="13" s="1"/>
  <c r="V473" i="13"/>
  <c r="AA473" i="13" s="1"/>
  <c r="AF473" i="13" s="1"/>
  <c r="U473" i="13"/>
  <c r="Z473" i="13" s="1"/>
  <c r="AE473" i="13" s="1"/>
  <c r="V472" i="13"/>
  <c r="AA472" i="13" s="1"/>
  <c r="AF472" i="13" s="1"/>
  <c r="U472" i="13"/>
  <c r="Z472" i="13" s="1"/>
  <c r="AE472" i="13" s="1"/>
  <c r="V485" i="13"/>
  <c r="AA485" i="13" s="1"/>
  <c r="AF485" i="13" s="1"/>
  <c r="U485" i="13"/>
  <c r="Z485" i="13" s="1"/>
  <c r="AE485" i="13" s="1"/>
  <c r="V484" i="13"/>
  <c r="AA484" i="13" s="1"/>
  <c r="AF484" i="13" s="1"/>
  <c r="U484" i="13"/>
  <c r="Z484" i="13" s="1"/>
  <c r="AE484" i="13" s="1"/>
  <c r="V483" i="13"/>
  <c r="AA483" i="13" s="1"/>
  <c r="AF483" i="13" s="1"/>
  <c r="U483" i="13"/>
  <c r="Z483" i="13" s="1"/>
  <c r="AE483" i="13" s="1"/>
  <c r="V482" i="13"/>
  <c r="AA482" i="13" s="1"/>
  <c r="AF482" i="13" s="1"/>
  <c r="U482" i="13"/>
  <c r="Z482" i="13" s="1"/>
  <c r="AE482" i="13" s="1"/>
  <c r="V481" i="13"/>
  <c r="AA481" i="13" s="1"/>
  <c r="AF481" i="13" s="1"/>
  <c r="U481" i="13"/>
  <c r="Z481" i="13" s="1"/>
  <c r="AE481" i="13" s="1"/>
  <c r="V480" i="13"/>
  <c r="AA480" i="13" s="1"/>
  <c r="AF480" i="13" s="1"/>
  <c r="U480" i="13"/>
  <c r="Z480" i="13" s="1"/>
  <c r="AE480" i="13" s="1"/>
  <c r="V479" i="13"/>
  <c r="AA479" i="13" s="1"/>
  <c r="AF479" i="13" s="1"/>
  <c r="U479" i="13"/>
  <c r="Z479" i="13" s="1"/>
  <c r="AE479" i="13" s="1"/>
  <c r="V491" i="13"/>
  <c r="AA491" i="13" s="1"/>
  <c r="AF491" i="13" s="1"/>
  <c r="U491" i="13"/>
  <c r="Z491" i="13" s="1"/>
  <c r="AE491" i="13" s="1"/>
  <c r="V490" i="13"/>
  <c r="AA490" i="13" s="1"/>
  <c r="AF490" i="13" s="1"/>
  <c r="Z490" i="13"/>
  <c r="AE490" i="13" s="1"/>
  <c r="V489" i="13"/>
  <c r="AA489" i="13" s="1"/>
  <c r="AF489" i="13" s="1"/>
  <c r="U489" i="13"/>
  <c r="Z489" i="13" s="1"/>
  <c r="AE489" i="13" s="1"/>
  <c r="V488" i="13"/>
  <c r="AA488" i="13" s="1"/>
  <c r="AF488" i="13" s="1"/>
  <c r="U488" i="13"/>
  <c r="Z488" i="13" s="1"/>
  <c r="AE488" i="13" s="1"/>
  <c r="V487" i="13"/>
  <c r="AA487" i="13" s="1"/>
  <c r="AF487" i="13" s="1"/>
  <c r="U487" i="13"/>
  <c r="Z487" i="13" s="1"/>
  <c r="AE487" i="13" s="1"/>
  <c r="V486" i="13"/>
  <c r="AA486" i="13" s="1"/>
  <c r="AF486" i="13" s="1"/>
  <c r="U486" i="13"/>
  <c r="Z486" i="13" s="1"/>
  <c r="AE486" i="13" s="1"/>
  <c r="U467" i="13"/>
  <c r="Z467" i="13" s="1"/>
  <c r="AE467" i="13" s="1"/>
  <c r="V467" i="13"/>
  <c r="AA467" i="13" s="1"/>
  <c r="AF467" i="13" s="1"/>
  <c r="U462" i="13"/>
  <c r="Z462" i="13" s="1"/>
  <c r="AE462" i="13" s="1"/>
  <c r="V462" i="13"/>
  <c r="AA462" i="13" s="1"/>
  <c r="AF462" i="13" s="1"/>
  <c r="U464" i="13"/>
  <c r="Z464" i="13" s="1"/>
  <c r="AE464" i="13" s="1"/>
  <c r="V464" i="13"/>
  <c r="AA464" i="13" s="1"/>
  <c r="AF464" i="13" s="1"/>
  <c r="U465" i="13"/>
  <c r="Z465" i="13" s="1"/>
  <c r="AE465" i="13" s="1"/>
  <c r="V465" i="13"/>
  <c r="AA465" i="13" s="1"/>
  <c r="AF465" i="13" s="1"/>
  <c r="V461" i="13"/>
  <c r="AA461" i="13" s="1"/>
  <c r="AF461" i="13" s="1"/>
  <c r="U461" i="13"/>
  <c r="Z461" i="13" s="1"/>
  <c r="AE461" i="13" s="1"/>
  <c r="W100" i="13"/>
  <c r="W453" i="13"/>
  <c r="W407" i="13"/>
  <c r="W431" i="13"/>
  <c r="W457" i="13"/>
  <c r="X457" i="13" s="1"/>
  <c r="W174" i="13"/>
  <c r="W416" i="13"/>
  <c r="W173" i="13"/>
  <c r="W402" i="13"/>
  <c r="W403" i="13"/>
  <c r="W400" i="13"/>
  <c r="X400" i="13" s="1"/>
  <c r="W433" i="13"/>
  <c r="W460" i="13"/>
  <c r="W456" i="13"/>
  <c r="W455" i="13"/>
  <c r="W304" i="13"/>
  <c r="W282" i="13"/>
  <c r="W314" i="13"/>
  <c r="W451" i="13"/>
  <c r="W326" i="13"/>
  <c r="W322" i="13"/>
  <c r="W309" i="13"/>
  <c r="X309" i="13" s="1"/>
  <c r="W421" i="13"/>
  <c r="X421" i="13" s="1"/>
  <c r="W289" i="13"/>
  <c r="W311" i="13"/>
  <c r="X311" i="13" s="1"/>
  <c r="W310" i="13"/>
  <c r="X310" i="13" s="1"/>
  <c r="W306" i="13"/>
  <c r="X306" i="13" s="1"/>
  <c r="W315" i="13"/>
  <c r="W294" i="13"/>
  <c r="W307" i="13"/>
  <c r="W321" i="13"/>
  <c r="R394" i="13"/>
  <c r="R380" i="13"/>
  <c r="R452" i="13"/>
  <c r="R407" i="13"/>
  <c r="R415" i="13"/>
  <c r="R453" i="13"/>
  <c r="R429" i="13"/>
  <c r="AB57" i="16" l="1"/>
  <c r="E6" i="11"/>
  <c r="AF472" i="14"/>
  <c r="AA402" i="14"/>
  <c r="AF402" i="14" s="1"/>
  <c r="AB59" i="15"/>
  <c r="X59" i="15"/>
  <c r="W59" i="15"/>
  <c r="C5" i="11" s="1"/>
  <c r="AA488" i="14"/>
  <c r="AF488" i="14" s="1"/>
  <c r="AC298" i="14"/>
  <c r="AE298" i="14" s="1"/>
  <c r="W496" i="14"/>
  <c r="C9" i="11"/>
  <c r="AF40" i="16"/>
  <c r="AE17" i="16"/>
  <c r="AA5" i="15"/>
  <c r="AA30" i="16"/>
  <c r="AF30" i="16" s="1"/>
  <c r="W55" i="16"/>
  <c r="AA14" i="15"/>
  <c r="AF14" i="15" s="1"/>
  <c r="Z10" i="15"/>
  <c r="AE10" i="15" s="1"/>
  <c r="AF25" i="15"/>
  <c r="X55" i="16"/>
  <c r="Z55" i="16"/>
  <c r="Z57" i="16" s="1"/>
  <c r="V57" i="16"/>
  <c r="V59" i="16"/>
  <c r="AA32" i="16"/>
  <c r="AF32" i="16" s="1"/>
  <c r="V61" i="15"/>
  <c r="V63" i="15"/>
  <c r="AA9" i="15"/>
  <c r="AF9" i="15" s="1"/>
  <c r="AA32" i="15"/>
  <c r="AF32" i="15" s="1"/>
  <c r="AF51" i="15"/>
  <c r="AA17" i="15"/>
  <c r="AF17" i="15" s="1"/>
  <c r="AA40" i="15"/>
  <c r="AF40" i="15" s="1"/>
  <c r="AF42" i="15"/>
  <c r="Z5" i="15"/>
  <c r="AC13" i="15"/>
  <c r="AC59" i="15" s="1"/>
  <c r="AA23" i="15"/>
  <c r="AF23" i="15" s="1"/>
  <c r="AE452" i="14"/>
  <c r="AF452" i="14"/>
  <c r="AA283" i="14"/>
  <c r="AF283" i="14" s="1"/>
  <c r="X420" i="14"/>
  <c r="AA307" i="14"/>
  <c r="AF307" i="14" s="1"/>
  <c r="AF382" i="14"/>
  <c r="AC450" i="14"/>
  <c r="AE450" i="14" s="1"/>
  <c r="AC473" i="14"/>
  <c r="AE473" i="14" s="1"/>
  <c r="AF448" i="14"/>
  <c r="AF477" i="14"/>
  <c r="AE323" i="14"/>
  <c r="AF323" i="14"/>
  <c r="AB494" i="14"/>
  <c r="V496" i="14"/>
  <c r="AA416" i="14"/>
  <c r="AF416" i="14" s="1"/>
  <c r="W466" i="13"/>
  <c r="AA466" i="13" s="1"/>
  <c r="AF466" i="13" s="1"/>
  <c r="S443" i="13"/>
  <c r="V443" i="13" s="1"/>
  <c r="AA443" i="13" s="1"/>
  <c r="AF443" i="13" s="1"/>
  <c r="S463" i="13"/>
  <c r="T497" i="13"/>
  <c r="Y497" i="13"/>
  <c r="AD497" i="13"/>
  <c r="P497" i="13"/>
  <c r="P499" i="13" s="1"/>
  <c r="Q497" i="13"/>
  <c r="Q499" i="13" s="1"/>
  <c r="R497" i="13"/>
  <c r="U443" i="13"/>
  <c r="Z443" i="13" s="1"/>
  <c r="AE443" i="13" s="1"/>
  <c r="S394" i="13"/>
  <c r="U394" i="13" s="1"/>
  <c r="Z394" i="13" s="1"/>
  <c r="AE394" i="13" s="1"/>
  <c r="S373" i="13"/>
  <c r="U373" i="13" s="1"/>
  <c r="Z373" i="13" s="1"/>
  <c r="AE373" i="13" s="1"/>
  <c r="S285" i="13"/>
  <c r="U285" i="13" s="1"/>
  <c r="S284" i="13"/>
  <c r="V284" i="13" s="1"/>
  <c r="S290" i="13"/>
  <c r="V290" i="13" s="1"/>
  <c r="S294" i="13"/>
  <c r="U294" i="13" s="1"/>
  <c r="S292" i="13"/>
  <c r="V292" i="13" s="1"/>
  <c r="S382" i="13"/>
  <c r="V382" i="13" s="1"/>
  <c r="AA382" i="13" s="1"/>
  <c r="S143" i="13"/>
  <c r="V143" i="13" s="1"/>
  <c r="AA143" i="13" s="1"/>
  <c r="AF143" i="13" s="1"/>
  <c r="S174" i="13"/>
  <c r="V174" i="13" s="1"/>
  <c r="AA174" i="13" s="1"/>
  <c r="AF174" i="13" s="1"/>
  <c r="S421" i="13"/>
  <c r="V421" i="13" s="1"/>
  <c r="AA421" i="13" s="1"/>
  <c r="AF421" i="13" s="1"/>
  <c r="S420" i="13"/>
  <c r="U420" i="13" s="1"/>
  <c r="Z420" i="13" s="1"/>
  <c r="AE420" i="13" s="1"/>
  <c r="S460" i="13"/>
  <c r="V460" i="13" s="1"/>
  <c r="S456" i="13"/>
  <c r="U456" i="13" s="1"/>
  <c r="S320" i="13"/>
  <c r="V320" i="13" s="1"/>
  <c r="AA320" i="13" s="1"/>
  <c r="AF320" i="13" s="1"/>
  <c r="S380" i="13"/>
  <c r="V380" i="13" s="1"/>
  <c r="AA380" i="13" s="1"/>
  <c r="AF380" i="13" s="1"/>
  <c r="S410" i="13"/>
  <c r="V410" i="13" s="1"/>
  <c r="S287" i="13"/>
  <c r="V287" i="13" s="1"/>
  <c r="S400" i="13"/>
  <c r="V400" i="13" s="1"/>
  <c r="AA400" i="13" s="1"/>
  <c r="AF400" i="13" s="1"/>
  <c r="S334" i="13"/>
  <c r="V334" i="13" s="1"/>
  <c r="AA334" i="13" s="1"/>
  <c r="AF334" i="13" s="1"/>
  <c r="S305" i="13"/>
  <c r="U305" i="13" s="1"/>
  <c r="S300" i="13"/>
  <c r="U300" i="13" s="1"/>
  <c r="S299" i="13"/>
  <c r="U299" i="13" s="1"/>
  <c r="S331" i="13"/>
  <c r="V331" i="13" s="1"/>
  <c r="AA331" i="13" s="1"/>
  <c r="AF331" i="13" s="1"/>
  <c r="S309" i="13"/>
  <c r="V309" i="13" s="1"/>
  <c r="S310" i="13"/>
  <c r="V310" i="13" s="1"/>
  <c r="S280" i="13"/>
  <c r="V280" i="13" s="1"/>
  <c r="S311" i="13"/>
  <c r="S384" i="13"/>
  <c r="V384" i="13" s="1"/>
  <c r="V4" i="13"/>
  <c r="AA4" i="13" s="1"/>
  <c r="AF4" i="13" s="1"/>
  <c r="V5" i="13"/>
  <c r="AA5" i="13" s="1"/>
  <c r="AF5" i="13" s="1"/>
  <c r="V6" i="13"/>
  <c r="AA6" i="13" s="1"/>
  <c r="AF6" i="13" s="1"/>
  <c r="V7" i="13"/>
  <c r="AA7" i="13" s="1"/>
  <c r="AF7" i="13" s="1"/>
  <c r="V8" i="13"/>
  <c r="AA8" i="13" s="1"/>
  <c r="AF8" i="13" s="1"/>
  <c r="V9" i="13"/>
  <c r="AA9" i="13" s="1"/>
  <c r="AF9" i="13" s="1"/>
  <c r="V10" i="13"/>
  <c r="AA10" i="13" s="1"/>
  <c r="AF10" i="13" s="1"/>
  <c r="V11" i="13"/>
  <c r="AA11" i="13" s="1"/>
  <c r="AF11" i="13" s="1"/>
  <c r="V12" i="13"/>
  <c r="AA12" i="13" s="1"/>
  <c r="AF12" i="13" s="1"/>
  <c r="V13" i="13"/>
  <c r="AA13" i="13" s="1"/>
  <c r="AF13" i="13" s="1"/>
  <c r="V14" i="13"/>
  <c r="AA14" i="13" s="1"/>
  <c r="AF14" i="13" s="1"/>
  <c r="V15" i="13"/>
  <c r="AA15" i="13" s="1"/>
  <c r="AF15" i="13" s="1"/>
  <c r="V16" i="13"/>
  <c r="AA16" i="13" s="1"/>
  <c r="AF16" i="13" s="1"/>
  <c r="V17" i="13"/>
  <c r="AA17" i="13" s="1"/>
  <c r="AF17" i="13" s="1"/>
  <c r="V18" i="13"/>
  <c r="AA18" i="13" s="1"/>
  <c r="AF18" i="13" s="1"/>
  <c r="V19" i="13"/>
  <c r="AA19" i="13" s="1"/>
  <c r="AF19" i="13" s="1"/>
  <c r="V20" i="13"/>
  <c r="AA20" i="13" s="1"/>
  <c r="AF20" i="13" s="1"/>
  <c r="V21" i="13"/>
  <c r="AA21" i="13" s="1"/>
  <c r="AF21" i="13" s="1"/>
  <c r="V22" i="13"/>
  <c r="AA22" i="13" s="1"/>
  <c r="AF22" i="13" s="1"/>
  <c r="V23" i="13"/>
  <c r="AA23" i="13" s="1"/>
  <c r="AF23" i="13" s="1"/>
  <c r="V24" i="13"/>
  <c r="AA24" i="13" s="1"/>
  <c r="AF24" i="13" s="1"/>
  <c r="V25" i="13"/>
  <c r="AA25" i="13" s="1"/>
  <c r="AF25" i="13" s="1"/>
  <c r="V26" i="13"/>
  <c r="AA26" i="13" s="1"/>
  <c r="AF26" i="13" s="1"/>
  <c r="V27" i="13"/>
  <c r="AA27" i="13" s="1"/>
  <c r="AF27" i="13" s="1"/>
  <c r="V28" i="13"/>
  <c r="AA28" i="13" s="1"/>
  <c r="AF28" i="13" s="1"/>
  <c r="V29" i="13"/>
  <c r="AA29" i="13" s="1"/>
  <c r="AF29" i="13" s="1"/>
  <c r="V30" i="13"/>
  <c r="AA30" i="13" s="1"/>
  <c r="AF30" i="13" s="1"/>
  <c r="V31" i="13"/>
  <c r="AA31" i="13" s="1"/>
  <c r="AF31" i="13" s="1"/>
  <c r="V32" i="13"/>
  <c r="AA32" i="13" s="1"/>
  <c r="AF32" i="13" s="1"/>
  <c r="V33" i="13"/>
  <c r="AA33" i="13" s="1"/>
  <c r="AF33" i="13" s="1"/>
  <c r="V34" i="13"/>
  <c r="AA34" i="13" s="1"/>
  <c r="AF34" i="13" s="1"/>
  <c r="V35" i="13"/>
  <c r="AA35" i="13" s="1"/>
  <c r="AF35" i="13" s="1"/>
  <c r="V36" i="13"/>
  <c r="AA36" i="13" s="1"/>
  <c r="AF36" i="13" s="1"/>
  <c r="V37" i="13"/>
  <c r="AA37" i="13" s="1"/>
  <c r="AF37" i="13" s="1"/>
  <c r="V38" i="13"/>
  <c r="AA38" i="13" s="1"/>
  <c r="AF38" i="13" s="1"/>
  <c r="V39" i="13"/>
  <c r="AA39" i="13" s="1"/>
  <c r="AF39" i="13" s="1"/>
  <c r="V40" i="13"/>
  <c r="AA40" i="13" s="1"/>
  <c r="AF40" i="13" s="1"/>
  <c r="V41" i="13"/>
  <c r="AA41" i="13" s="1"/>
  <c r="AF41" i="13" s="1"/>
  <c r="V42" i="13"/>
  <c r="AA42" i="13" s="1"/>
  <c r="AF42" i="13" s="1"/>
  <c r="V43" i="13"/>
  <c r="AA43" i="13" s="1"/>
  <c r="AF43" i="13" s="1"/>
  <c r="V44" i="13"/>
  <c r="AA44" i="13" s="1"/>
  <c r="AF44" i="13" s="1"/>
  <c r="V45" i="13"/>
  <c r="AA45" i="13" s="1"/>
  <c r="AF45" i="13" s="1"/>
  <c r="V46" i="13"/>
  <c r="AA46" i="13" s="1"/>
  <c r="AF46" i="13" s="1"/>
  <c r="V47" i="13"/>
  <c r="AA47" i="13" s="1"/>
  <c r="AF47" i="13" s="1"/>
  <c r="V48" i="13"/>
  <c r="AA48" i="13" s="1"/>
  <c r="AF48" i="13" s="1"/>
  <c r="V49" i="13"/>
  <c r="AA49" i="13" s="1"/>
  <c r="AF49" i="13" s="1"/>
  <c r="V50" i="13"/>
  <c r="AA50" i="13" s="1"/>
  <c r="AF50" i="13" s="1"/>
  <c r="V51" i="13"/>
  <c r="AA51" i="13" s="1"/>
  <c r="AF51" i="13" s="1"/>
  <c r="V52" i="13"/>
  <c r="AA52" i="13" s="1"/>
  <c r="AF52" i="13" s="1"/>
  <c r="V53" i="13"/>
  <c r="AA53" i="13" s="1"/>
  <c r="AF53" i="13" s="1"/>
  <c r="V54" i="13"/>
  <c r="AA54" i="13" s="1"/>
  <c r="AF54" i="13" s="1"/>
  <c r="V55" i="13"/>
  <c r="AA55" i="13" s="1"/>
  <c r="AF55" i="13" s="1"/>
  <c r="V56" i="13"/>
  <c r="AA56" i="13" s="1"/>
  <c r="AF56" i="13" s="1"/>
  <c r="V57" i="13"/>
  <c r="AA57" i="13" s="1"/>
  <c r="AF57" i="13" s="1"/>
  <c r="V58" i="13"/>
  <c r="AA58" i="13" s="1"/>
  <c r="AF58" i="13" s="1"/>
  <c r="V59" i="13"/>
  <c r="AA59" i="13" s="1"/>
  <c r="AF59" i="13" s="1"/>
  <c r="V60" i="13"/>
  <c r="AA60" i="13" s="1"/>
  <c r="AF60" i="13" s="1"/>
  <c r="V61" i="13"/>
  <c r="AA61" i="13" s="1"/>
  <c r="AF61" i="13" s="1"/>
  <c r="V62" i="13"/>
  <c r="AA62" i="13" s="1"/>
  <c r="AF62" i="13" s="1"/>
  <c r="V63" i="13"/>
  <c r="AA63" i="13" s="1"/>
  <c r="AF63" i="13" s="1"/>
  <c r="V64" i="13"/>
  <c r="AA64" i="13" s="1"/>
  <c r="AF64" i="13" s="1"/>
  <c r="V65" i="13"/>
  <c r="AA65" i="13" s="1"/>
  <c r="AF65" i="13" s="1"/>
  <c r="V66" i="13"/>
  <c r="AA66" i="13" s="1"/>
  <c r="AF66" i="13" s="1"/>
  <c r="V67" i="13"/>
  <c r="AA67" i="13" s="1"/>
  <c r="AF67" i="13" s="1"/>
  <c r="V68" i="13"/>
  <c r="AA68" i="13" s="1"/>
  <c r="AF68" i="13" s="1"/>
  <c r="V69" i="13"/>
  <c r="AA69" i="13" s="1"/>
  <c r="AF69" i="13" s="1"/>
  <c r="V70" i="13"/>
  <c r="AA70" i="13" s="1"/>
  <c r="AF70" i="13" s="1"/>
  <c r="V71" i="13"/>
  <c r="AA71" i="13" s="1"/>
  <c r="AF71" i="13" s="1"/>
  <c r="V72" i="13"/>
  <c r="AA72" i="13" s="1"/>
  <c r="AF72" i="13" s="1"/>
  <c r="V73" i="13"/>
  <c r="AA73" i="13" s="1"/>
  <c r="AF73" i="13" s="1"/>
  <c r="V74" i="13"/>
  <c r="AA74" i="13" s="1"/>
  <c r="AF74" i="13" s="1"/>
  <c r="V75" i="13"/>
  <c r="AA75" i="13" s="1"/>
  <c r="AF75" i="13" s="1"/>
  <c r="V76" i="13"/>
  <c r="AA76" i="13" s="1"/>
  <c r="AF76" i="13" s="1"/>
  <c r="V77" i="13"/>
  <c r="AA77" i="13" s="1"/>
  <c r="AF77" i="13" s="1"/>
  <c r="V78" i="13"/>
  <c r="AA78" i="13" s="1"/>
  <c r="AF78" i="13" s="1"/>
  <c r="V79" i="13"/>
  <c r="AA79" i="13" s="1"/>
  <c r="AF79" i="13" s="1"/>
  <c r="V80" i="13"/>
  <c r="AA80" i="13" s="1"/>
  <c r="AF80" i="13" s="1"/>
  <c r="V81" i="13"/>
  <c r="AA81" i="13" s="1"/>
  <c r="AF81" i="13" s="1"/>
  <c r="V82" i="13"/>
  <c r="AA82" i="13" s="1"/>
  <c r="AF82" i="13" s="1"/>
  <c r="V83" i="13"/>
  <c r="AA83" i="13" s="1"/>
  <c r="AF83" i="13" s="1"/>
  <c r="V84" i="13"/>
  <c r="AA84" i="13" s="1"/>
  <c r="AF84" i="13" s="1"/>
  <c r="V85" i="13"/>
  <c r="AA85" i="13" s="1"/>
  <c r="AF85" i="13" s="1"/>
  <c r="V86" i="13"/>
  <c r="AA86" i="13" s="1"/>
  <c r="AF86" i="13" s="1"/>
  <c r="V87" i="13"/>
  <c r="AA87" i="13" s="1"/>
  <c r="AF87" i="13" s="1"/>
  <c r="V88" i="13"/>
  <c r="AA88" i="13" s="1"/>
  <c r="AF88" i="13" s="1"/>
  <c r="V89" i="13"/>
  <c r="AA89" i="13" s="1"/>
  <c r="AF89" i="13" s="1"/>
  <c r="V90" i="13"/>
  <c r="AA90" i="13" s="1"/>
  <c r="AF90" i="13" s="1"/>
  <c r="V91" i="13"/>
  <c r="AA91" i="13" s="1"/>
  <c r="AF91" i="13" s="1"/>
  <c r="V92" i="13"/>
  <c r="AA92" i="13" s="1"/>
  <c r="AF92" i="13" s="1"/>
  <c r="V93" i="13"/>
  <c r="AA93" i="13" s="1"/>
  <c r="AF93" i="13" s="1"/>
  <c r="V94" i="13"/>
  <c r="AA94" i="13" s="1"/>
  <c r="AF94" i="13" s="1"/>
  <c r="V95" i="13"/>
  <c r="AA95" i="13" s="1"/>
  <c r="AF95" i="13" s="1"/>
  <c r="V96" i="13"/>
  <c r="AA96" i="13" s="1"/>
  <c r="AF96" i="13" s="1"/>
  <c r="V97" i="13"/>
  <c r="AA97" i="13" s="1"/>
  <c r="AF97" i="13" s="1"/>
  <c r="V98" i="13"/>
  <c r="AA98" i="13" s="1"/>
  <c r="AF98" i="13" s="1"/>
  <c r="V99" i="13"/>
  <c r="AA99" i="13" s="1"/>
  <c r="AF99" i="13" s="1"/>
  <c r="V100" i="13"/>
  <c r="AA100" i="13" s="1"/>
  <c r="AF100" i="13" s="1"/>
  <c r="V101" i="13"/>
  <c r="AA101" i="13" s="1"/>
  <c r="AF101" i="13" s="1"/>
  <c r="V102" i="13"/>
  <c r="AA102" i="13" s="1"/>
  <c r="AF102" i="13" s="1"/>
  <c r="V103" i="13"/>
  <c r="AA103" i="13" s="1"/>
  <c r="AF103" i="13" s="1"/>
  <c r="V104" i="13"/>
  <c r="AA104" i="13" s="1"/>
  <c r="AF104" i="13" s="1"/>
  <c r="V105" i="13"/>
  <c r="AA105" i="13" s="1"/>
  <c r="AF105" i="13" s="1"/>
  <c r="V106" i="13"/>
  <c r="AA106" i="13" s="1"/>
  <c r="AF106" i="13" s="1"/>
  <c r="V107" i="13"/>
  <c r="AA107" i="13" s="1"/>
  <c r="AF107" i="13" s="1"/>
  <c r="V108" i="13"/>
  <c r="AA108" i="13" s="1"/>
  <c r="AF108" i="13" s="1"/>
  <c r="V109" i="13"/>
  <c r="AA109" i="13" s="1"/>
  <c r="AF109" i="13" s="1"/>
  <c r="V110" i="13"/>
  <c r="AA110" i="13" s="1"/>
  <c r="AF110" i="13" s="1"/>
  <c r="V111" i="13"/>
  <c r="AA111" i="13" s="1"/>
  <c r="AF111" i="13" s="1"/>
  <c r="V112" i="13"/>
  <c r="AA112" i="13" s="1"/>
  <c r="AF112" i="13" s="1"/>
  <c r="V113" i="13"/>
  <c r="AA113" i="13" s="1"/>
  <c r="AF113" i="13" s="1"/>
  <c r="V114" i="13"/>
  <c r="AA114" i="13" s="1"/>
  <c r="AF114" i="13" s="1"/>
  <c r="V115" i="13"/>
  <c r="AA115" i="13" s="1"/>
  <c r="AF115" i="13" s="1"/>
  <c r="V116" i="13"/>
  <c r="AA116" i="13" s="1"/>
  <c r="AF116" i="13" s="1"/>
  <c r="V117" i="13"/>
  <c r="AA117" i="13" s="1"/>
  <c r="AF117" i="13" s="1"/>
  <c r="V118" i="13"/>
  <c r="AA118" i="13" s="1"/>
  <c r="AF118" i="13" s="1"/>
  <c r="V119" i="13"/>
  <c r="AA119" i="13" s="1"/>
  <c r="AF119" i="13" s="1"/>
  <c r="V120" i="13"/>
  <c r="AA120" i="13" s="1"/>
  <c r="AF120" i="13" s="1"/>
  <c r="V121" i="13"/>
  <c r="AA121" i="13" s="1"/>
  <c r="AF121" i="13" s="1"/>
  <c r="V122" i="13"/>
  <c r="AA122" i="13" s="1"/>
  <c r="AF122" i="13" s="1"/>
  <c r="V123" i="13"/>
  <c r="AA123" i="13" s="1"/>
  <c r="AF123" i="13" s="1"/>
  <c r="V124" i="13"/>
  <c r="AA124" i="13" s="1"/>
  <c r="AF124" i="13" s="1"/>
  <c r="V125" i="13"/>
  <c r="AA125" i="13" s="1"/>
  <c r="AF125" i="13" s="1"/>
  <c r="V126" i="13"/>
  <c r="AA126" i="13" s="1"/>
  <c r="AF126" i="13" s="1"/>
  <c r="V127" i="13"/>
  <c r="AA127" i="13" s="1"/>
  <c r="AF127" i="13" s="1"/>
  <c r="V128" i="13"/>
  <c r="AA128" i="13" s="1"/>
  <c r="AF128" i="13" s="1"/>
  <c r="V129" i="13"/>
  <c r="AA129" i="13" s="1"/>
  <c r="AF129" i="13" s="1"/>
  <c r="V130" i="13"/>
  <c r="AA130" i="13" s="1"/>
  <c r="AF130" i="13" s="1"/>
  <c r="V131" i="13"/>
  <c r="AA131" i="13" s="1"/>
  <c r="AF131" i="13" s="1"/>
  <c r="V132" i="13"/>
  <c r="AA132" i="13" s="1"/>
  <c r="AF132" i="13" s="1"/>
  <c r="V133" i="13"/>
  <c r="AA133" i="13" s="1"/>
  <c r="AF133" i="13" s="1"/>
  <c r="V134" i="13"/>
  <c r="AA134" i="13" s="1"/>
  <c r="AF134" i="13" s="1"/>
  <c r="V135" i="13"/>
  <c r="AA135" i="13" s="1"/>
  <c r="AF135" i="13" s="1"/>
  <c r="V136" i="13"/>
  <c r="AA136" i="13" s="1"/>
  <c r="AF136" i="13" s="1"/>
  <c r="V137" i="13"/>
  <c r="AA137" i="13" s="1"/>
  <c r="AF137" i="13" s="1"/>
  <c r="V138" i="13"/>
  <c r="AA138" i="13" s="1"/>
  <c r="AF138" i="13" s="1"/>
  <c r="V139" i="13"/>
  <c r="AA139" i="13" s="1"/>
  <c r="AF139" i="13" s="1"/>
  <c r="V140" i="13"/>
  <c r="AA140" i="13" s="1"/>
  <c r="AF140" i="13" s="1"/>
  <c r="V141" i="13"/>
  <c r="AA141" i="13" s="1"/>
  <c r="AF141" i="13" s="1"/>
  <c r="V142" i="13"/>
  <c r="AA142" i="13" s="1"/>
  <c r="AF142" i="13" s="1"/>
  <c r="V144" i="13"/>
  <c r="AA144" i="13" s="1"/>
  <c r="AF144" i="13" s="1"/>
  <c r="V145" i="13"/>
  <c r="AA145" i="13" s="1"/>
  <c r="AF145" i="13" s="1"/>
  <c r="V146" i="13"/>
  <c r="AA146" i="13" s="1"/>
  <c r="AF146" i="13" s="1"/>
  <c r="V147" i="13"/>
  <c r="AA147" i="13" s="1"/>
  <c r="AF147" i="13" s="1"/>
  <c r="V148" i="13"/>
  <c r="AA148" i="13" s="1"/>
  <c r="AF148" i="13" s="1"/>
  <c r="V149" i="13"/>
  <c r="AA149" i="13" s="1"/>
  <c r="AF149" i="13" s="1"/>
  <c r="V150" i="13"/>
  <c r="AA150" i="13" s="1"/>
  <c r="AF150" i="13" s="1"/>
  <c r="V151" i="13"/>
  <c r="AA151" i="13" s="1"/>
  <c r="AF151" i="13" s="1"/>
  <c r="V152" i="13"/>
  <c r="AA152" i="13" s="1"/>
  <c r="AF152" i="13" s="1"/>
  <c r="V153" i="13"/>
  <c r="AA153" i="13" s="1"/>
  <c r="AF153" i="13" s="1"/>
  <c r="V154" i="13"/>
  <c r="AA154" i="13" s="1"/>
  <c r="AF154" i="13" s="1"/>
  <c r="V155" i="13"/>
  <c r="AA155" i="13" s="1"/>
  <c r="AF155" i="13" s="1"/>
  <c r="V156" i="13"/>
  <c r="AA156" i="13" s="1"/>
  <c r="AF156" i="13" s="1"/>
  <c r="V157" i="13"/>
  <c r="AA157" i="13" s="1"/>
  <c r="AF157" i="13" s="1"/>
  <c r="V158" i="13"/>
  <c r="AA158" i="13" s="1"/>
  <c r="AF158" i="13" s="1"/>
  <c r="V159" i="13"/>
  <c r="AA159" i="13" s="1"/>
  <c r="AF159" i="13" s="1"/>
  <c r="V160" i="13"/>
  <c r="AA160" i="13" s="1"/>
  <c r="AF160" i="13" s="1"/>
  <c r="V161" i="13"/>
  <c r="AA161" i="13" s="1"/>
  <c r="AF161" i="13" s="1"/>
  <c r="V162" i="13"/>
  <c r="AA162" i="13" s="1"/>
  <c r="AF162" i="13" s="1"/>
  <c r="V163" i="13"/>
  <c r="AA163" i="13" s="1"/>
  <c r="AF163" i="13" s="1"/>
  <c r="V164" i="13"/>
  <c r="AA164" i="13" s="1"/>
  <c r="AF164" i="13" s="1"/>
  <c r="V165" i="13"/>
  <c r="AA165" i="13" s="1"/>
  <c r="AF165" i="13" s="1"/>
  <c r="V166" i="13"/>
  <c r="AA166" i="13" s="1"/>
  <c r="AF166" i="13" s="1"/>
  <c r="V167" i="13"/>
  <c r="AA167" i="13" s="1"/>
  <c r="AF167" i="13" s="1"/>
  <c r="V168" i="13"/>
  <c r="AA168" i="13" s="1"/>
  <c r="AF168" i="13" s="1"/>
  <c r="V169" i="13"/>
  <c r="AA169" i="13" s="1"/>
  <c r="AF169" i="13" s="1"/>
  <c r="V170" i="13"/>
  <c r="AA170" i="13" s="1"/>
  <c r="AF170" i="13" s="1"/>
  <c r="V171" i="13"/>
  <c r="AA171" i="13" s="1"/>
  <c r="AF171" i="13" s="1"/>
  <c r="V172" i="13"/>
  <c r="AA172" i="13" s="1"/>
  <c r="AF172" i="13" s="1"/>
  <c r="V173" i="13"/>
  <c r="AA173" i="13" s="1"/>
  <c r="AF173" i="13" s="1"/>
  <c r="V175" i="13"/>
  <c r="AA175" i="13" s="1"/>
  <c r="AF175" i="13" s="1"/>
  <c r="V176" i="13"/>
  <c r="AA176" i="13" s="1"/>
  <c r="AF176" i="13" s="1"/>
  <c r="V177" i="13"/>
  <c r="AA177" i="13" s="1"/>
  <c r="AF177" i="13" s="1"/>
  <c r="V178" i="13"/>
  <c r="AA178" i="13" s="1"/>
  <c r="AF178" i="13" s="1"/>
  <c r="V179" i="13"/>
  <c r="AA179" i="13" s="1"/>
  <c r="AF179" i="13" s="1"/>
  <c r="V180" i="13"/>
  <c r="AA180" i="13" s="1"/>
  <c r="AF180" i="13" s="1"/>
  <c r="V181" i="13"/>
  <c r="AA181" i="13" s="1"/>
  <c r="AF181" i="13" s="1"/>
  <c r="V182" i="13"/>
  <c r="AA182" i="13" s="1"/>
  <c r="AF182" i="13" s="1"/>
  <c r="V183" i="13"/>
  <c r="AA183" i="13" s="1"/>
  <c r="AF183" i="13" s="1"/>
  <c r="V184" i="13"/>
  <c r="AA184" i="13" s="1"/>
  <c r="AF184" i="13" s="1"/>
  <c r="V185" i="13"/>
  <c r="AA185" i="13" s="1"/>
  <c r="AF185" i="13" s="1"/>
  <c r="V186" i="13"/>
  <c r="AA186" i="13" s="1"/>
  <c r="AF186" i="13" s="1"/>
  <c r="V187" i="13"/>
  <c r="AA187" i="13" s="1"/>
  <c r="AF187" i="13" s="1"/>
  <c r="V188" i="13"/>
  <c r="AA188" i="13" s="1"/>
  <c r="AF188" i="13" s="1"/>
  <c r="V189" i="13"/>
  <c r="AA189" i="13" s="1"/>
  <c r="AF189" i="13" s="1"/>
  <c r="V190" i="13"/>
  <c r="AA190" i="13" s="1"/>
  <c r="AF190" i="13" s="1"/>
  <c r="V191" i="13"/>
  <c r="AA191" i="13" s="1"/>
  <c r="AF191" i="13" s="1"/>
  <c r="V192" i="13"/>
  <c r="AA192" i="13" s="1"/>
  <c r="AF192" i="13" s="1"/>
  <c r="V193" i="13"/>
  <c r="AA193" i="13" s="1"/>
  <c r="AF193" i="13" s="1"/>
  <c r="V194" i="13"/>
  <c r="AA194" i="13" s="1"/>
  <c r="AF194" i="13" s="1"/>
  <c r="V195" i="13"/>
  <c r="AA195" i="13" s="1"/>
  <c r="AF195" i="13" s="1"/>
  <c r="V196" i="13"/>
  <c r="AA196" i="13" s="1"/>
  <c r="AF196" i="13" s="1"/>
  <c r="V197" i="13"/>
  <c r="AA197" i="13" s="1"/>
  <c r="AF197" i="13" s="1"/>
  <c r="V198" i="13"/>
  <c r="AA198" i="13" s="1"/>
  <c r="AF198" i="13" s="1"/>
  <c r="V199" i="13"/>
  <c r="AA199" i="13" s="1"/>
  <c r="AF199" i="13" s="1"/>
  <c r="V200" i="13"/>
  <c r="AA200" i="13" s="1"/>
  <c r="AF200" i="13" s="1"/>
  <c r="V201" i="13"/>
  <c r="AA201" i="13" s="1"/>
  <c r="AF201" i="13" s="1"/>
  <c r="V202" i="13"/>
  <c r="AA202" i="13" s="1"/>
  <c r="AF202" i="13" s="1"/>
  <c r="V203" i="13"/>
  <c r="AA203" i="13" s="1"/>
  <c r="AF203" i="13" s="1"/>
  <c r="V204" i="13"/>
  <c r="AA204" i="13" s="1"/>
  <c r="AF204" i="13" s="1"/>
  <c r="V205" i="13"/>
  <c r="AA205" i="13" s="1"/>
  <c r="AF205" i="13" s="1"/>
  <c r="V206" i="13"/>
  <c r="AA206" i="13" s="1"/>
  <c r="AF206" i="13" s="1"/>
  <c r="V207" i="13"/>
  <c r="AA207" i="13" s="1"/>
  <c r="AF207" i="13" s="1"/>
  <c r="V208" i="13"/>
  <c r="AA208" i="13" s="1"/>
  <c r="AF208" i="13" s="1"/>
  <c r="V209" i="13"/>
  <c r="AA209" i="13" s="1"/>
  <c r="AF209" i="13" s="1"/>
  <c r="V210" i="13"/>
  <c r="AA210" i="13" s="1"/>
  <c r="AF210" i="13" s="1"/>
  <c r="V211" i="13"/>
  <c r="AA211" i="13" s="1"/>
  <c r="AF211" i="13" s="1"/>
  <c r="V212" i="13"/>
  <c r="AA212" i="13" s="1"/>
  <c r="AF212" i="13" s="1"/>
  <c r="V213" i="13"/>
  <c r="AA213" i="13" s="1"/>
  <c r="AF213" i="13" s="1"/>
  <c r="V214" i="13"/>
  <c r="AA214" i="13" s="1"/>
  <c r="AF214" i="13" s="1"/>
  <c r="V215" i="13"/>
  <c r="AA215" i="13" s="1"/>
  <c r="AF215" i="13" s="1"/>
  <c r="V216" i="13"/>
  <c r="AA216" i="13" s="1"/>
  <c r="AF216" i="13" s="1"/>
  <c r="V217" i="13"/>
  <c r="AA217" i="13" s="1"/>
  <c r="AF217" i="13" s="1"/>
  <c r="V218" i="13"/>
  <c r="AA218" i="13" s="1"/>
  <c r="AF218" i="13" s="1"/>
  <c r="V219" i="13"/>
  <c r="AA219" i="13" s="1"/>
  <c r="AF219" i="13" s="1"/>
  <c r="V220" i="13"/>
  <c r="AA220" i="13" s="1"/>
  <c r="AF220" i="13" s="1"/>
  <c r="V221" i="13"/>
  <c r="AA221" i="13" s="1"/>
  <c r="AF221" i="13" s="1"/>
  <c r="V222" i="13"/>
  <c r="AA222" i="13" s="1"/>
  <c r="AF222" i="13" s="1"/>
  <c r="V223" i="13"/>
  <c r="AA223" i="13" s="1"/>
  <c r="AF223" i="13" s="1"/>
  <c r="V224" i="13"/>
  <c r="AA224" i="13" s="1"/>
  <c r="AF224" i="13" s="1"/>
  <c r="V225" i="13"/>
  <c r="AA225" i="13" s="1"/>
  <c r="AF225" i="13" s="1"/>
  <c r="V226" i="13"/>
  <c r="AA226" i="13" s="1"/>
  <c r="AF226" i="13" s="1"/>
  <c r="V227" i="13"/>
  <c r="AA227" i="13" s="1"/>
  <c r="AF227" i="13" s="1"/>
  <c r="V228" i="13"/>
  <c r="AA228" i="13" s="1"/>
  <c r="AF228" i="13" s="1"/>
  <c r="V229" i="13"/>
  <c r="AA229" i="13" s="1"/>
  <c r="AF229" i="13" s="1"/>
  <c r="V230" i="13"/>
  <c r="AA230" i="13" s="1"/>
  <c r="AF230" i="13" s="1"/>
  <c r="V231" i="13"/>
  <c r="AA231" i="13" s="1"/>
  <c r="AF231" i="13" s="1"/>
  <c r="V232" i="13"/>
  <c r="AA232" i="13" s="1"/>
  <c r="AF232" i="13" s="1"/>
  <c r="V233" i="13"/>
  <c r="AA233" i="13" s="1"/>
  <c r="AF233" i="13" s="1"/>
  <c r="V234" i="13"/>
  <c r="AA234" i="13" s="1"/>
  <c r="AF234" i="13" s="1"/>
  <c r="V235" i="13"/>
  <c r="AA235" i="13" s="1"/>
  <c r="AF235" i="13" s="1"/>
  <c r="V236" i="13"/>
  <c r="AA236" i="13" s="1"/>
  <c r="AF236" i="13" s="1"/>
  <c r="V237" i="13"/>
  <c r="AA237" i="13" s="1"/>
  <c r="AF237" i="13" s="1"/>
  <c r="V238" i="13"/>
  <c r="AA238" i="13" s="1"/>
  <c r="AF238" i="13" s="1"/>
  <c r="V239" i="13"/>
  <c r="AA239" i="13" s="1"/>
  <c r="AF239" i="13" s="1"/>
  <c r="V240" i="13"/>
  <c r="AA240" i="13" s="1"/>
  <c r="AF240" i="13" s="1"/>
  <c r="V241" i="13"/>
  <c r="AA241" i="13" s="1"/>
  <c r="AF241" i="13" s="1"/>
  <c r="V242" i="13"/>
  <c r="AA242" i="13" s="1"/>
  <c r="AF242" i="13" s="1"/>
  <c r="V243" i="13"/>
  <c r="AA243" i="13" s="1"/>
  <c r="AF243" i="13" s="1"/>
  <c r="V244" i="13"/>
  <c r="AA244" i="13" s="1"/>
  <c r="AF244" i="13" s="1"/>
  <c r="V245" i="13"/>
  <c r="AA245" i="13" s="1"/>
  <c r="AF245" i="13" s="1"/>
  <c r="V246" i="13"/>
  <c r="AA246" i="13" s="1"/>
  <c r="AF246" i="13" s="1"/>
  <c r="V247" i="13"/>
  <c r="AA247" i="13" s="1"/>
  <c r="AF247" i="13" s="1"/>
  <c r="V248" i="13"/>
  <c r="AA248" i="13" s="1"/>
  <c r="AF248" i="13" s="1"/>
  <c r="V249" i="13"/>
  <c r="AA249" i="13" s="1"/>
  <c r="AF249" i="13" s="1"/>
  <c r="V250" i="13"/>
  <c r="AA250" i="13" s="1"/>
  <c r="AF250" i="13" s="1"/>
  <c r="V251" i="13"/>
  <c r="AA251" i="13" s="1"/>
  <c r="AF251" i="13" s="1"/>
  <c r="V252" i="13"/>
  <c r="AA252" i="13" s="1"/>
  <c r="AF252" i="13" s="1"/>
  <c r="V253" i="13"/>
  <c r="AA253" i="13" s="1"/>
  <c r="AF253" i="13" s="1"/>
  <c r="V254" i="13"/>
  <c r="AA254" i="13" s="1"/>
  <c r="AF254" i="13" s="1"/>
  <c r="V255" i="13"/>
  <c r="AA255" i="13" s="1"/>
  <c r="AF255" i="13" s="1"/>
  <c r="V256" i="13"/>
  <c r="AA256" i="13" s="1"/>
  <c r="AF256" i="13" s="1"/>
  <c r="V257" i="13"/>
  <c r="AA257" i="13" s="1"/>
  <c r="AF257" i="13" s="1"/>
  <c r="V258" i="13"/>
  <c r="AA258" i="13" s="1"/>
  <c r="AF258" i="13" s="1"/>
  <c r="V259" i="13"/>
  <c r="AA259" i="13" s="1"/>
  <c r="AF259" i="13" s="1"/>
  <c r="V260" i="13"/>
  <c r="AA260" i="13" s="1"/>
  <c r="AF260" i="13" s="1"/>
  <c r="V261" i="13"/>
  <c r="AA261" i="13" s="1"/>
  <c r="AF261" i="13" s="1"/>
  <c r="V262" i="13"/>
  <c r="AA262" i="13" s="1"/>
  <c r="AF262" i="13" s="1"/>
  <c r="V263" i="13"/>
  <c r="AA263" i="13" s="1"/>
  <c r="AF263" i="13" s="1"/>
  <c r="V264" i="13"/>
  <c r="AA264" i="13" s="1"/>
  <c r="AF264" i="13" s="1"/>
  <c r="V265" i="13"/>
  <c r="AA265" i="13" s="1"/>
  <c r="AF265" i="13" s="1"/>
  <c r="V266" i="13"/>
  <c r="AA266" i="13" s="1"/>
  <c r="AF266" i="13" s="1"/>
  <c r="V267" i="13"/>
  <c r="AA267" i="13" s="1"/>
  <c r="AF267" i="13" s="1"/>
  <c r="V268" i="13"/>
  <c r="AA268" i="13" s="1"/>
  <c r="AF268" i="13" s="1"/>
  <c r="V269" i="13"/>
  <c r="AA269" i="13" s="1"/>
  <c r="AF269" i="13" s="1"/>
  <c r="V270" i="13"/>
  <c r="AA270" i="13" s="1"/>
  <c r="AF270" i="13" s="1"/>
  <c r="V271" i="13"/>
  <c r="AA271" i="13" s="1"/>
  <c r="AF271" i="13" s="1"/>
  <c r="V272" i="13"/>
  <c r="AA272" i="13" s="1"/>
  <c r="AF272" i="13" s="1"/>
  <c r="V273" i="13"/>
  <c r="AA273" i="13" s="1"/>
  <c r="AF273" i="13" s="1"/>
  <c r="V274" i="13"/>
  <c r="AA274" i="13" s="1"/>
  <c r="AF274" i="13" s="1"/>
  <c r="V275" i="13"/>
  <c r="AA275" i="13" s="1"/>
  <c r="AF275" i="13" s="1"/>
  <c r="V276" i="13"/>
  <c r="AA276" i="13" s="1"/>
  <c r="AF276" i="13" s="1"/>
  <c r="V277" i="13"/>
  <c r="AA277" i="13" s="1"/>
  <c r="AF277" i="13" s="1"/>
  <c r="V278" i="13"/>
  <c r="AA278" i="13" s="1"/>
  <c r="AF278" i="13" s="1"/>
  <c r="V279" i="13"/>
  <c r="AA279" i="13" s="1"/>
  <c r="AF279" i="13" s="1"/>
  <c r="V281" i="13"/>
  <c r="V282" i="13"/>
  <c r="X282" i="13" s="1"/>
  <c r="V283" i="13"/>
  <c r="W283" i="13" s="1"/>
  <c r="X283" i="13" s="1"/>
  <c r="V285" i="13"/>
  <c r="V286" i="13"/>
  <c r="AA286" i="13" s="1"/>
  <c r="AF286" i="13" s="1"/>
  <c r="V288" i="13"/>
  <c r="AA288" i="13" s="1"/>
  <c r="AF288" i="13" s="1"/>
  <c r="V289" i="13"/>
  <c r="X289" i="13" s="1"/>
  <c r="V291" i="13"/>
  <c r="X291" i="13" s="1"/>
  <c r="V293" i="13"/>
  <c r="V295" i="13"/>
  <c r="V296" i="13"/>
  <c r="X296" i="13" s="1"/>
  <c r="V297" i="13"/>
  <c r="V298" i="13"/>
  <c r="V301" i="13"/>
  <c r="AA301" i="13" s="1"/>
  <c r="AF301" i="13" s="1"/>
  <c r="V302" i="13"/>
  <c r="V303" i="13"/>
  <c r="V304" i="13"/>
  <c r="X304" i="13" s="1"/>
  <c r="V306" i="13"/>
  <c r="AA306" i="13" s="1"/>
  <c r="AF306" i="13" s="1"/>
  <c r="V307" i="13"/>
  <c r="X307" i="13" s="1"/>
  <c r="V308" i="13"/>
  <c r="AA308" i="13" s="1"/>
  <c r="AF308" i="13" s="1"/>
  <c r="V311" i="13"/>
  <c r="V312" i="13"/>
  <c r="AA312" i="13" s="1"/>
  <c r="AF312" i="13" s="1"/>
  <c r="V313" i="13"/>
  <c r="V314" i="13"/>
  <c r="AA314" i="13" s="1"/>
  <c r="AC314" i="13" s="1"/>
  <c r="V315" i="13"/>
  <c r="AA315" i="13" s="1"/>
  <c r="AC315" i="13" s="1"/>
  <c r="V316" i="13"/>
  <c r="W316" i="13" s="1"/>
  <c r="X316" i="13" s="1"/>
  <c r="V317" i="13"/>
  <c r="X317" i="13" s="1"/>
  <c r="V318" i="13"/>
  <c r="X318" i="13" s="1"/>
  <c r="V319" i="13"/>
  <c r="AA319" i="13" s="1"/>
  <c r="AF319" i="13" s="1"/>
  <c r="V321" i="13"/>
  <c r="V322" i="13"/>
  <c r="V323" i="13"/>
  <c r="AA323" i="13" s="1"/>
  <c r="V324" i="13"/>
  <c r="X324" i="13" s="1"/>
  <c r="V325" i="13"/>
  <c r="V326" i="13"/>
  <c r="V327" i="13"/>
  <c r="V328" i="13"/>
  <c r="AA328" i="13" s="1"/>
  <c r="AF328" i="13" s="1"/>
  <c r="V329" i="13"/>
  <c r="V330" i="13"/>
  <c r="AA330" i="13" s="1"/>
  <c r="AF330" i="13" s="1"/>
  <c r="V332" i="13"/>
  <c r="AA332" i="13" s="1"/>
  <c r="AF332" i="13" s="1"/>
  <c r="V333" i="13"/>
  <c r="AA333" i="13" s="1"/>
  <c r="AF333" i="13" s="1"/>
  <c r="V335" i="13"/>
  <c r="V336" i="13"/>
  <c r="AA336" i="13" s="1"/>
  <c r="AF336" i="13" s="1"/>
  <c r="V337" i="13"/>
  <c r="AA337" i="13" s="1"/>
  <c r="AF337" i="13" s="1"/>
  <c r="V338" i="13"/>
  <c r="AA338" i="13" s="1"/>
  <c r="AF338" i="13" s="1"/>
  <c r="V339" i="13"/>
  <c r="AA339" i="13" s="1"/>
  <c r="AF339" i="13" s="1"/>
  <c r="V340" i="13"/>
  <c r="AA340" i="13" s="1"/>
  <c r="AF340" i="13" s="1"/>
  <c r="V341" i="13"/>
  <c r="AA341" i="13" s="1"/>
  <c r="AF341" i="13" s="1"/>
  <c r="V342" i="13"/>
  <c r="AA342" i="13" s="1"/>
  <c r="AF342" i="13" s="1"/>
  <c r="V343" i="13"/>
  <c r="V344" i="13"/>
  <c r="AA344" i="13" s="1"/>
  <c r="AF344" i="13" s="1"/>
  <c r="V345" i="13"/>
  <c r="AA345" i="13" s="1"/>
  <c r="AF345" i="13" s="1"/>
  <c r="V346" i="13"/>
  <c r="AA346" i="13" s="1"/>
  <c r="AF346" i="13" s="1"/>
  <c r="V347" i="13"/>
  <c r="AA347" i="13" s="1"/>
  <c r="AF347" i="13" s="1"/>
  <c r="V348" i="13"/>
  <c r="AA348" i="13" s="1"/>
  <c r="AF348" i="13" s="1"/>
  <c r="V349" i="13"/>
  <c r="AA349" i="13" s="1"/>
  <c r="AF349" i="13" s="1"/>
  <c r="V350" i="13"/>
  <c r="AA350" i="13" s="1"/>
  <c r="AF350" i="13" s="1"/>
  <c r="V351" i="13"/>
  <c r="AA351" i="13" s="1"/>
  <c r="AF351" i="13" s="1"/>
  <c r="V352" i="13"/>
  <c r="AA352" i="13" s="1"/>
  <c r="AF352" i="13" s="1"/>
  <c r="V353" i="13"/>
  <c r="AA353" i="13" s="1"/>
  <c r="AF353" i="13" s="1"/>
  <c r="V354" i="13"/>
  <c r="AA354" i="13" s="1"/>
  <c r="AF354" i="13" s="1"/>
  <c r="V355" i="13"/>
  <c r="AA355" i="13" s="1"/>
  <c r="AF355" i="13" s="1"/>
  <c r="V356" i="13"/>
  <c r="V357" i="13"/>
  <c r="AA357" i="13" s="1"/>
  <c r="AF357" i="13" s="1"/>
  <c r="V358" i="13"/>
  <c r="AA358" i="13" s="1"/>
  <c r="AF358" i="13" s="1"/>
  <c r="V359" i="13"/>
  <c r="AA359" i="13" s="1"/>
  <c r="AF359" i="13" s="1"/>
  <c r="V360" i="13"/>
  <c r="AA360" i="13" s="1"/>
  <c r="AF360" i="13" s="1"/>
  <c r="V361" i="13"/>
  <c r="AA361" i="13" s="1"/>
  <c r="AF361" i="13" s="1"/>
  <c r="V362" i="13"/>
  <c r="AA362" i="13" s="1"/>
  <c r="AF362" i="13" s="1"/>
  <c r="V363" i="13"/>
  <c r="AA363" i="13" s="1"/>
  <c r="AF363" i="13" s="1"/>
  <c r="V364" i="13"/>
  <c r="AA364" i="13" s="1"/>
  <c r="AF364" i="13" s="1"/>
  <c r="V365" i="13"/>
  <c r="AA365" i="13" s="1"/>
  <c r="AF365" i="13" s="1"/>
  <c r="V366" i="13"/>
  <c r="AA366" i="13" s="1"/>
  <c r="AF366" i="13" s="1"/>
  <c r="V367" i="13"/>
  <c r="V368" i="13"/>
  <c r="AA368" i="13" s="1"/>
  <c r="AF368" i="13" s="1"/>
  <c r="V369" i="13"/>
  <c r="AA369" i="13" s="1"/>
  <c r="AF369" i="13" s="1"/>
  <c r="V370" i="13"/>
  <c r="AA370" i="13" s="1"/>
  <c r="AF370" i="13" s="1"/>
  <c r="V371" i="13"/>
  <c r="AA371" i="13" s="1"/>
  <c r="AF371" i="13" s="1"/>
  <c r="V372" i="13"/>
  <c r="AA372" i="13" s="1"/>
  <c r="AF372" i="13" s="1"/>
  <c r="V374" i="13"/>
  <c r="AA374" i="13" s="1"/>
  <c r="AF374" i="13" s="1"/>
  <c r="V375" i="13"/>
  <c r="AA375" i="13" s="1"/>
  <c r="AF375" i="13" s="1"/>
  <c r="V376" i="13"/>
  <c r="AA376" i="13" s="1"/>
  <c r="AF376" i="13" s="1"/>
  <c r="V377" i="13"/>
  <c r="AA377" i="13" s="1"/>
  <c r="AF377" i="13" s="1"/>
  <c r="V378" i="13"/>
  <c r="AA378" i="13" s="1"/>
  <c r="AF378" i="13" s="1"/>
  <c r="V379" i="13"/>
  <c r="AA379" i="13" s="1"/>
  <c r="AF379" i="13" s="1"/>
  <c r="V381" i="13"/>
  <c r="AA381" i="13" s="1"/>
  <c r="AF381" i="13" s="1"/>
  <c r="V383" i="13"/>
  <c r="AA383" i="13" s="1"/>
  <c r="AF383" i="13" s="1"/>
  <c r="V385" i="13"/>
  <c r="AA385" i="13" s="1"/>
  <c r="AF385" i="13" s="1"/>
  <c r="V386" i="13"/>
  <c r="AA386" i="13" s="1"/>
  <c r="AF386" i="13" s="1"/>
  <c r="V387" i="13"/>
  <c r="AA387" i="13" s="1"/>
  <c r="AF387" i="13" s="1"/>
  <c r="V388" i="13"/>
  <c r="AA388" i="13" s="1"/>
  <c r="AF388" i="13" s="1"/>
  <c r="V389" i="13"/>
  <c r="AA389" i="13" s="1"/>
  <c r="AF389" i="13" s="1"/>
  <c r="V390" i="13"/>
  <c r="V391" i="13"/>
  <c r="AA391" i="13" s="1"/>
  <c r="AF391" i="13" s="1"/>
  <c r="V392" i="13"/>
  <c r="V393" i="13"/>
  <c r="AA393" i="13" s="1"/>
  <c r="AF393" i="13" s="1"/>
  <c r="V395" i="13"/>
  <c r="AA395" i="13" s="1"/>
  <c r="AF395" i="13" s="1"/>
  <c r="V396" i="13"/>
  <c r="AA396" i="13" s="1"/>
  <c r="AF396" i="13" s="1"/>
  <c r="V397" i="13"/>
  <c r="AA397" i="13" s="1"/>
  <c r="AF397" i="13" s="1"/>
  <c r="V398" i="13"/>
  <c r="AA398" i="13" s="1"/>
  <c r="AF398" i="13" s="1"/>
  <c r="V399" i="13"/>
  <c r="V401" i="13"/>
  <c r="V402" i="13"/>
  <c r="X402" i="13" s="1"/>
  <c r="V403" i="13"/>
  <c r="V404" i="13"/>
  <c r="AA404" i="13" s="1"/>
  <c r="AF404" i="13" s="1"/>
  <c r="V405" i="13"/>
  <c r="AA405" i="13" s="1"/>
  <c r="AF405" i="13" s="1"/>
  <c r="V406" i="13"/>
  <c r="V407" i="13"/>
  <c r="V408" i="13"/>
  <c r="V409" i="13"/>
  <c r="V411" i="13"/>
  <c r="X411" i="13" s="1"/>
  <c r="V412" i="13"/>
  <c r="AA412" i="13" s="1"/>
  <c r="AF412" i="13" s="1"/>
  <c r="V413" i="13"/>
  <c r="X413" i="13" s="1"/>
  <c r="V414" i="13"/>
  <c r="X414" i="13" s="1"/>
  <c r="V415" i="13"/>
  <c r="V416" i="13"/>
  <c r="V417" i="13"/>
  <c r="V418" i="13"/>
  <c r="AA418" i="13" s="1"/>
  <c r="V419" i="13"/>
  <c r="AA419" i="13" s="1"/>
  <c r="AF419" i="13" s="1"/>
  <c r="V420" i="13"/>
  <c r="AA420" i="13" s="1"/>
  <c r="AF420" i="13" s="1"/>
  <c r="V422" i="13"/>
  <c r="V423" i="13"/>
  <c r="AA423" i="13" s="1"/>
  <c r="AF423" i="13" s="1"/>
  <c r="V424" i="13"/>
  <c r="V425" i="13"/>
  <c r="AA425" i="13" s="1"/>
  <c r="AF425" i="13" s="1"/>
  <c r="V426" i="13"/>
  <c r="AA426" i="13" s="1"/>
  <c r="AF426" i="13" s="1"/>
  <c r="V427" i="13"/>
  <c r="V428" i="13"/>
  <c r="V429" i="13"/>
  <c r="V430" i="13"/>
  <c r="V431" i="13"/>
  <c r="V432" i="13"/>
  <c r="AA432" i="13" s="1"/>
  <c r="AF432" i="13" s="1"/>
  <c r="V433" i="13"/>
  <c r="V434" i="13"/>
  <c r="AA434" i="13" s="1"/>
  <c r="V435" i="13"/>
  <c r="V436" i="13"/>
  <c r="AA436" i="13" s="1"/>
  <c r="AF436" i="13" s="1"/>
  <c r="V437" i="13"/>
  <c r="AA437" i="13" s="1"/>
  <c r="AF437" i="13" s="1"/>
  <c r="V438" i="13"/>
  <c r="AA438" i="13" s="1"/>
  <c r="AF438" i="13" s="1"/>
  <c r="V439" i="13"/>
  <c r="AA439" i="13" s="1"/>
  <c r="AF439" i="13" s="1"/>
  <c r="V440" i="13"/>
  <c r="AA440" i="13" s="1"/>
  <c r="AF440" i="13" s="1"/>
  <c r="V441" i="13"/>
  <c r="AA441" i="13" s="1"/>
  <c r="AF441" i="13" s="1"/>
  <c r="V442" i="13"/>
  <c r="AA442" i="13" s="1"/>
  <c r="AF442" i="13" s="1"/>
  <c r="V444" i="13"/>
  <c r="AA444" i="13" s="1"/>
  <c r="AF444" i="13" s="1"/>
  <c r="V445" i="13"/>
  <c r="AA445" i="13" s="1"/>
  <c r="AF445" i="13" s="1"/>
  <c r="V446" i="13"/>
  <c r="AA446" i="13" s="1"/>
  <c r="AF446" i="13" s="1"/>
  <c r="V447" i="13"/>
  <c r="AA447" i="13" s="1"/>
  <c r="AF447" i="13" s="1"/>
  <c r="V448" i="13"/>
  <c r="AA448" i="13" s="1"/>
  <c r="AF448" i="13" s="1"/>
  <c r="V449" i="13"/>
  <c r="AA449" i="13" s="1"/>
  <c r="V450" i="13"/>
  <c r="AA450" i="13" s="1"/>
  <c r="AF450" i="13" s="1"/>
  <c r="V451" i="13"/>
  <c r="AA451" i="13" s="1"/>
  <c r="V452" i="13"/>
  <c r="AA452" i="13" s="1"/>
  <c r="V453" i="13"/>
  <c r="AA453" i="13" s="1"/>
  <c r="V454" i="13"/>
  <c r="AA454" i="13" s="1"/>
  <c r="AF454" i="13" s="1"/>
  <c r="V455" i="13"/>
  <c r="V457" i="13"/>
  <c r="AA457" i="13" s="1"/>
  <c r="AF457" i="13" s="1"/>
  <c r="V458" i="13"/>
  <c r="AA458" i="13" s="1"/>
  <c r="V459" i="13"/>
  <c r="AA459" i="13" s="1"/>
  <c r="U4" i="13"/>
  <c r="Z4" i="13" s="1"/>
  <c r="AE4" i="13" s="1"/>
  <c r="U5" i="13"/>
  <c r="Z5" i="13" s="1"/>
  <c r="AE5" i="13" s="1"/>
  <c r="U6" i="13"/>
  <c r="Z6" i="13" s="1"/>
  <c r="AE6" i="13" s="1"/>
  <c r="U7" i="13"/>
  <c r="Z7" i="13" s="1"/>
  <c r="AE7" i="13" s="1"/>
  <c r="U8" i="13"/>
  <c r="Z8" i="13" s="1"/>
  <c r="AE8" i="13" s="1"/>
  <c r="U9" i="13"/>
  <c r="Z9" i="13" s="1"/>
  <c r="AE9" i="13" s="1"/>
  <c r="U10" i="13"/>
  <c r="Z10" i="13" s="1"/>
  <c r="AE10" i="13" s="1"/>
  <c r="U11" i="13"/>
  <c r="Z11" i="13" s="1"/>
  <c r="AE11" i="13" s="1"/>
  <c r="U12" i="13"/>
  <c r="Z12" i="13" s="1"/>
  <c r="AE12" i="13" s="1"/>
  <c r="U13" i="13"/>
  <c r="Z13" i="13" s="1"/>
  <c r="AE13" i="13" s="1"/>
  <c r="U14" i="13"/>
  <c r="Z14" i="13" s="1"/>
  <c r="AE14" i="13" s="1"/>
  <c r="U15" i="13"/>
  <c r="Z15" i="13" s="1"/>
  <c r="AE15" i="13" s="1"/>
  <c r="U16" i="13"/>
  <c r="Z16" i="13" s="1"/>
  <c r="AE16" i="13" s="1"/>
  <c r="U17" i="13"/>
  <c r="Z17" i="13" s="1"/>
  <c r="AE17" i="13" s="1"/>
  <c r="U18" i="13"/>
  <c r="Z18" i="13" s="1"/>
  <c r="AE18" i="13" s="1"/>
  <c r="U19" i="13"/>
  <c r="Z19" i="13" s="1"/>
  <c r="AE19" i="13" s="1"/>
  <c r="U20" i="13"/>
  <c r="Z20" i="13" s="1"/>
  <c r="AE20" i="13" s="1"/>
  <c r="U21" i="13"/>
  <c r="Z21" i="13" s="1"/>
  <c r="AE21" i="13" s="1"/>
  <c r="U22" i="13"/>
  <c r="Z22" i="13" s="1"/>
  <c r="AE22" i="13" s="1"/>
  <c r="U23" i="13"/>
  <c r="Z23" i="13" s="1"/>
  <c r="AE23" i="13" s="1"/>
  <c r="U24" i="13"/>
  <c r="Z24" i="13" s="1"/>
  <c r="AE24" i="13" s="1"/>
  <c r="U25" i="13"/>
  <c r="Z25" i="13" s="1"/>
  <c r="AE25" i="13" s="1"/>
  <c r="U26" i="13"/>
  <c r="Z26" i="13" s="1"/>
  <c r="AE26" i="13" s="1"/>
  <c r="U27" i="13"/>
  <c r="Z27" i="13" s="1"/>
  <c r="AE27" i="13" s="1"/>
  <c r="U28" i="13"/>
  <c r="Z28" i="13" s="1"/>
  <c r="AE28" i="13" s="1"/>
  <c r="U29" i="13"/>
  <c r="Z29" i="13" s="1"/>
  <c r="AE29" i="13" s="1"/>
  <c r="U30" i="13"/>
  <c r="Z30" i="13" s="1"/>
  <c r="AE30" i="13" s="1"/>
  <c r="U31" i="13"/>
  <c r="Z31" i="13" s="1"/>
  <c r="AE31" i="13" s="1"/>
  <c r="U32" i="13"/>
  <c r="Z32" i="13" s="1"/>
  <c r="AE32" i="13" s="1"/>
  <c r="U33" i="13"/>
  <c r="Z33" i="13" s="1"/>
  <c r="AE33" i="13" s="1"/>
  <c r="U34" i="13"/>
  <c r="Z34" i="13" s="1"/>
  <c r="AE34" i="13" s="1"/>
  <c r="U35" i="13"/>
  <c r="Z35" i="13" s="1"/>
  <c r="AE35" i="13" s="1"/>
  <c r="U36" i="13"/>
  <c r="Z36" i="13" s="1"/>
  <c r="AE36" i="13" s="1"/>
  <c r="U37" i="13"/>
  <c r="Z37" i="13" s="1"/>
  <c r="AE37" i="13" s="1"/>
  <c r="U38" i="13"/>
  <c r="Z38" i="13" s="1"/>
  <c r="AE38" i="13" s="1"/>
  <c r="U39" i="13"/>
  <c r="Z39" i="13" s="1"/>
  <c r="AE39" i="13" s="1"/>
  <c r="U40" i="13"/>
  <c r="Z40" i="13" s="1"/>
  <c r="AE40" i="13" s="1"/>
  <c r="U41" i="13"/>
  <c r="Z41" i="13" s="1"/>
  <c r="AE41" i="13" s="1"/>
  <c r="U42" i="13"/>
  <c r="Z42" i="13" s="1"/>
  <c r="AE42" i="13" s="1"/>
  <c r="U43" i="13"/>
  <c r="Z43" i="13" s="1"/>
  <c r="AE43" i="13" s="1"/>
  <c r="U44" i="13"/>
  <c r="Z44" i="13" s="1"/>
  <c r="AE44" i="13" s="1"/>
  <c r="U45" i="13"/>
  <c r="Z45" i="13" s="1"/>
  <c r="AE45" i="13" s="1"/>
  <c r="U46" i="13"/>
  <c r="Z46" i="13" s="1"/>
  <c r="AE46" i="13" s="1"/>
  <c r="U47" i="13"/>
  <c r="Z47" i="13" s="1"/>
  <c r="AE47" i="13" s="1"/>
  <c r="U48" i="13"/>
  <c r="Z48" i="13" s="1"/>
  <c r="AE48" i="13" s="1"/>
  <c r="U49" i="13"/>
  <c r="Z49" i="13" s="1"/>
  <c r="AE49" i="13" s="1"/>
  <c r="U50" i="13"/>
  <c r="Z50" i="13" s="1"/>
  <c r="AE50" i="13" s="1"/>
  <c r="U51" i="13"/>
  <c r="Z51" i="13" s="1"/>
  <c r="AE51" i="13" s="1"/>
  <c r="U52" i="13"/>
  <c r="Z52" i="13" s="1"/>
  <c r="AE52" i="13" s="1"/>
  <c r="U53" i="13"/>
  <c r="Z53" i="13" s="1"/>
  <c r="AE53" i="13" s="1"/>
  <c r="U54" i="13"/>
  <c r="Z54" i="13" s="1"/>
  <c r="AE54" i="13" s="1"/>
  <c r="U55" i="13"/>
  <c r="Z55" i="13" s="1"/>
  <c r="AE55" i="13" s="1"/>
  <c r="U56" i="13"/>
  <c r="Z56" i="13" s="1"/>
  <c r="AE56" i="13" s="1"/>
  <c r="U57" i="13"/>
  <c r="Z57" i="13" s="1"/>
  <c r="AE57" i="13" s="1"/>
  <c r="U58" i="13"/>
  <c r="Z58" i="13" s="1"/>
  <c r="AE58" i="13" s="1"/>
  <c r="U59" i="13"/>
  <c r="Z59" i="13" s="1"/>
  <c r="AE59" i="13" s="1"/>
  <c r="U60" i="13"/>
  <c r="Z60" i="13" s="1"/>
  <c r="AE60" i="13" s="1"/>
  <c r="U61" i="13"/>
  <c r="Z61" i="13" s="1"/>
  <c r="AE61" i="13" s="1"/>
  <c r="U62" i="13"/>
  <c r="Z62" i="13" s="1"/>
  <c r="AE62" i="13" s="1"/>
  <c r="U63" i="13"/>
  <c r="Z63" i="13" s="1"/>
  <c r="AE63" i="13" s="1"/>
  <c r="U64" i="13"/>
  <c r="Z64" i="13" s="1"/>
  <c r="AE64" i="13" s="1"/>
  <c r="U65" i="13"/>
  <c r="Z65" i="13" s="1"/>
  <c r="AE65" i="13" s="1"/>
  <c r="U66" i="13"/>
  <c r="Z66" i="13" s="1"/>
  <c r="AE66" i="13" s="1"/>
  <c r="U67" i="13"/>
  <c r="Z67" i="13" s="1"/>
  <c r="AE67" i="13" s="1"/>
  <c r="U68" i="13"/>
  <c r="Z68" i="13" s="1"/>
  <c r="AE68" i="13" s="1"/>
  <c r="U69" i="13"/>
  <c r="Z69" i="13" s="1"/>
  <c r="AE69" i="13" s="1"/>
  <c r="U70" i="13"/>
  <c r="Z70" i="13" s="1"/>
  <c r="AE70" i="13" s="1"/>
  <c r="U71" i="13"/>
  <c r="Z71" i="13" s="1"/>
  <c r="AE71" i="13" s="1"/>
  <c r="U72" i="13"/>
  <c r="Z72" i="13" s="1"/>
  <c r="AE72" i="13" s="1"/>
  <c r="U73" i="13"/>
  <c r="Z73" i="13" s="1"/>
  <c r="AE73" i="13" s="1"/>
  <c r="U74" i="13"/>
  <c r="Z74" i="13" s="1"/>
  <c r="AE74" i="13" s="1"/>
  <c r="U75" i="13"/>
  <c r="Z75" i="13" s="1"/>
  <c r="AE75" i="13" s="1"/>
  <c r="U76" i="13"/>
  <c r="Z76" i="13" s="1"/>
  <c r="AE76" i="13" s="1"/>
  <c r="U77" i="13"/>
  <c r="Z77" i="13" s="1"/>
  <c r="AE77" i="13" s="1"/>
  <c r="U78" i="13"/>
  <c r="Z78" i="13" s="1"/>
  <c r="AE78" i="13" s="1"/>
  <c r="U79" i="13"/>
  <c r="Z79" i="13" s="1"/>
  <c r="AE79" i="13" s="1"/>
  <c r="U80" i="13"/>
  <c r="Z80" i="13" s="1"/>
  <c r="AE80" i="13" s="1"/>
  <c r="U81" i="13"/>
  <c r="Z81" i="13" s="1"/>
  <c r="AE81" i="13" s="1"/>
  <c r="U82" i="13"/>
  <c r="Z82" i="13" s="1"/>
  <c r="AE82" i="13" s="1"/>
  <c r="U83" i="13"/>
  <c r="Z83" i="13" s="1"/>
  <c r="AE83" i="13" s="1"/>
  <c r="U84" i="13"/>
  <c r="Z84" i="13" s="1"/>
  <c r="AE84" i="13" s="1"/>
  <c r="U85" i="13"/>
  <c r="Z85" i="13" s="1"/>
  <c r="AE85" i="13" s="1"/>
  <c r="U86" i="13"/>
  <c r="Z86" i="13" s="1"/>
  <c r="AE86" i="13" s="1"/>
  <c r="U87" i="13"/>
  <c r="Z87" i="13" s="1"/>
  <c r="AE87" i="13" s="1"/>
  <c r="U88" i="13"/>
  <c r="Z88" i="13" s="1"/>
  <c r="AE88" i="13" s="1"/>
  <c r="U89" i="13"/>
  <c r="Z89" i="13" s="1"/>
  <c r="AE89" i="13" s="1"/>
  <c r="U90" i="13"/>
  <c r="Z90" i="13" s="1"/>
  <c r="AE90" i="13" s="1"/>
  <c r="U91" i="13"/>
  <c r="Z91" i="13" s="1"/>
  <c r="AE91" i="13" s="1"/>
  <c r="U92" i="13"/>
  <c r="Z92" i="13" s="1"/>
  <c r="AE92" i="13" s="1"/>
  <c r="U93" i="13"/>
  <c r="Z93" i="13" s="1"/>
  <c r="AE93" i="13" s="1"/>
  <c r="U94" i="13"/>
  <c r="Z94" i="13" s="1"/>
  <c r="AE94" i="13" s="1"/>
  <c r="U95" i="13"/>
  <c r="Z95" i="13" s="1"/>
  <c r="AE95" i="13" s="1"/>
  <c r="U96" i="13"/>
  <c r="Z96" i="13" s="1"/>
  <c r="AE96" i="13" s="1"/>
  <c r="U97" i="13"/>
  <c r="Z97" i="13" s="1"/>
  <c r="AE97" i="13" s="1"/>
  <c r="U98" i="13"/>
  <c r="Z98" i="13" s="1"/>
  <c r="AE98" i="13" s="1"/>
  <c r="U99" i="13"/>
  <c r="Z99" i="13" s="1"/>
  <c r="AE99" i="13" s="1"/>
  <c r="U100" i="13"/>
  <c r="Z100" i="13" s="1"/>
  <c r="AE100" i="13" s="1"/>
  <c r="U101" i="13"/>
  <c r="Z101" i="13" s="1"/>
  <c r="AE101" i="13" s="1"/>
  <c r="U102" i="13"/>
  <c r="Z102" i="13" s="1"/>
  <c r="AE102" i="13" s="1"/>
  <c r="U103" i="13"/>
  <c r="Z103" i="13" s="1"/>
  <c r="AE103" i="13" s="1"/>
  <c r="U104" i="13"/>
  <c r="Z104" i="13" s="1"/>
  <c r="AE104" i="13" s="1"/>
  <c r="U105" i="13"/>
  <c r="Z105" i="13" s="1"/>
  <c r="AE105" i="13" s="1"/>
  <c r="U106" i="13"/>
  <c r="Z106" i="13" s="1"/>
  <c r="AE106" i="13" s="1"/>
  <c r="U107" i="13"/>
  <c r="Z107" i="13" s="1"/>
  <c r="AE107" i="13" s="1"/>
  <c r="U108" i="13"/>
  <c r="Z108" i="13" s="1"/>
  <c r="AE108" i="13" s="1"/>
  <c r="U109" i="13"/>
  <c r="Z109" i="13" s="1"/>
  <c r="AE109" i="13" s="1"/>
  <c r="U110" i="13"/>
  <c r="Z110" i="13" s="1"/>
  <c r="AE110" i="13" s="1"/>
  <c r="U111" i="13"/>
  <c r="Z111" i="13" s="1"/>
  <c r="AE111" i="13" s="1"/>
  <c r="U112" i="13"/>
  <c r="Z112" i="13" s="1"/>
  <c r="AE112" i="13" s="1"/>
  <c r="U113" i="13"/>
  <c r="Z113" i="13" s="1"/>
  <c r="AE113" i="13" s="1"/>
  <c r="U114" i="13"/>
  <c r="Z114" i="13" s="1"/>
  <c r="AE114" i="13" s="1"/>
  <c r="U115" i="13"/>
  <c r="Z115" i="13" s="1"/>
  <c r="AE115" i="13" s="1"/>
  <c r="U116" i="13"/>
  <c r="Z116" i="13" s="1"/>
  <c r="AE116" i="13" s="1"/>
  <c r="U117" i="13"/>
  <c r="Z117" i="13" s="1"/>
  <c r="AE117" i="13" s="1"/>
  <c r="U118" i="13"/>
  <c r="Z118" i="13" s="1"/>
  <c r="AE118" i="13" s="1"/>
  <c r="U119" i="13"/>
  <c r="Z119" i="13" s="1"/>
  <c r="AE119" i="13" s="1"/>
  <c r="U120" i="13"/>
  <c r="Z120" i="13" s="1"/>
  <c r="AE120" i="13" s="1"/>
  <c r="U121" i="13"/>
  <c r="Z121" i="13" s="1"/>
  <c r="AE121" i="13" s="1"/>
  <c r="U122" i="13"/>
  <c r="Z122" i="13" s="1"/>
  <c r="AE122" i="13" s="1"/>
  <c r="U123" i="13"/>
  <c r="Z123" i="13" s="1"/>
  <c r="AE123" i="13" s="1"/>
  <c r="U124" i="13"/>
  <c r="Z124" i="13" s="1"/>
  <c r="AE124" i="13" s="1"/>
  <c r="U125" i="13"/>
  <c r="Z125" i="13" s="1"/>
  <c r="AE125" i="13" s="1"/>
  <c r="U126" i="13"/>
  <c r="Z126" i="13" s="1"/>
  <c r="AE126" i="13" s="1"/>
  <c r="U127" i="13"/>
  <c r="Z127" i="13" s="1"/>
  <c r="AE127" i="13" s="1"/>
  <c r="U128" i="13"/>
  <c r="Z128" i="13" s="1"/>
  <c r="AE128" i="13" s="1"/>
  <c r="U129" i="13"/>
  <c r="Z129" i="13" s="1"/>
  <c r="AE129" i="13" s="1"/>
  <c r="U130" i="13"/>
  <c r="Z130" i="13" s="1"/>
  <c r="AE130" i="13" s="1"/>
  <c r="U131" i="13"/>
  <c r="Z131" i="13" s="1"/>
  <c r="AE131" i="13" s="1"/>
  <c r="U132" i="13"/>
  <c r="Z132" i="13" s="1"/>
  <c r="AE132" i="13" s="1"/>
  <c r="U133" i="13"/>
  <c r="Z133" i="13" s="1"/>
  <c r="AE133" i="13" s="1"/>
  <c r="U134" i="13"/>
  <c r="Z134" i="13" s="1"/>
  <c r="AE134" i="13" s="1"/>
  <c r="U135" i="13"/>
  <c r="Z135" i="13" s="1"/>
  <c r="AE135" i="13" s="1"/>
  <c r="U136" i="13"/>
  <c r="Z136" i="13" s="1"/>
  <c r="AE136" i="13" s="1"/>
  <c r="U137" i="13"/>
  <c r="Z137" i="13" s="1"/>
  <c r="AE137" i="13" s="1"/>
  <c r="U138" i="13"/>
  <c r="Z138" i="13" s="1"/>
  <c r="AE138" i="13" s="1"/>
  <c r="U139" i="13"/>
  <c r="Z139" i="13" s="1"/>
  <c r="AE139" i="13" s="1"/>
  <c r="U140" i="13"/>
  <c r="Z140" i="13" s="1"/>
  <c r="AE140" i="13" s="1"/>
  <c r="U141" i="13"/>
  <c r="Z141" i="13" s="1"/>
  <c r="AE141" i="13" s="1"/>
  <c r="U142" i="13"/>
  <c r="Z142" i="13" s="1"/>
  <c r="AE142" i="13" s="1"/>
  <c r="U143" i="13"/>
  <c r="Z143" i="13" s="1"/>
  <c r="AE143" i="13" s="1"/>
  <c r="U144" i="13"/>
  <c r="Z144" i="13" s="1"/>
  <c r="AE144" i="13" s="1"/>
  <c r="U145" i="13"/>
  <c r="Z145" i="13" s="1"/>
  <c r="AE145" i="13" s="1"/>
  <c r="U146" i="13"/>
  <c r="Z146" i="13" s="1"/>
  <c r="AE146" i="13" s="1"/>
  <c r="U147" i="13"/>
  <c r="Z147" i="13" s="1"/>
  <c r="AE147" i="13" s="1"/>
  <c r="U148" i="13"/>
  <c r="Z148" i="13" s="1"/>
  <c r="AE148" i="13" s="1"/>
  <c r="U149" i="13"/>
  <c r="Z149" i="13" s="1"/>
  <c r="AE149" i="13" s="1"/>
  <c r="U150" i="13"/>
  <c r="Z150" i="13" s="1"/>
  <c r="AE150" i="13" s="1"/>
  <c r="U151" i="13"/>
  <c r="Z151" i="13" s="1"/>
  <c r="AE151" i="13" s="1"/>
  <c r="U152" i="13"/>
  <c r="Z152" i="13" s="1"/>
  <c r="AE152" i="13" s="1"/>
  <c r="U153" i="13"/>
  <c r="Z153" i="13" s="1"/>
  <c r="AE153" i="13" s="1"/>
  <c r="U154" i="13"/>
  <c r="Z154" i="13" s="1"/>
  <c r="AE154" i="13" s="1"/>
  <c r="U155" i="13"/>
  <c r="Z155" i="13" s="1"/>
  <c r="AE155" i="13" s="1"/>
  <c r="U156" i="13"/>
  <c r="Z156" i="13" s="1"/>
  <c r="AE156" i="13" s="1"/>
  <c r="U157" i="13"/>
  <c r="Z157" i="13" s="1"/>
  <c r="AE157" i="13" s="1"/>
  <c r="U158" i="13"/>
  <c r="Z158" i="13" s="1"/>
  <c r="AE158" i="13" s="1"/>
  <c r="U159" i="13"/>
  <c r="Z159" i="13" s="1"/>
  <c r="AE159" i="13" s="1"/>
  <c r="U160" i="13"/>
  <c r="Z160" i="13" s="1"/>
  <c r="AE160" i="13" s="1"/>
  <c r="U161" i="13"/>
  <c r="Z161" i="13" s="1"/>
  <c r="AE161" i="13" s="1"/>
  <c r="U162" i="13"/>
  <c r="Z162" i="13" s="1"/>
  <c r="AE162" i="13" s="1"/>
  <c r="U163" i="13"/>
  <c r="Z163" i="13" s="1"/>
  <c r="AE163" i="13" s="1"/>
  <c r="U164" i="13"/>
  <c r="Z164" i="13" s="1"/>
  <c r="AE164" i="13" s="1"/>
  <c r="U165" i="13"/>
  <c r="Z165" i="13" s="1"/>
  <c r="AE165" i="13" s="1"/>
  <c r="U166" i="13"/>
  <c r="Z166" i="13" s="1"/>
  <c r="AE166" i="13" s="1"/>
  <c r="U167" i="13"/>
  <c r="Z167" i="13" s="1"/>
  <c r="AE167" i="13" s="1"/>
  <c r="U168" i="13"/>
  <c r="Z168" i="13" s="1"/>
  <c r="AE168" i="13" s="1"/>
  <c r="U169" i="13"/>
  <c r="Z169" i="13" s="1"/>
  <c r="AE169" i="13" s="1"/>
  <c r="U170" i="13"/>
  <c r="Z170" i="13" s="1"/>
  <c r="AE170" i="13" s="1"/>
  <c r="U171" i="13"/>
  <c r="Z171" i="13" s="1"/>
  <c r="AE171" i="13" s="1"/>
  <c r="U172" i="13"/>
  <c r="Z172" i="13" s="1"/>
  <c r="AE172" i="13" s="1"/>
  <c r="U173" i="13"/>
  <c r="Z173" i="13" s="1"/>
  <c r="AE173" i="13" s="1"/>
  <c r="U175" i="13"/>
  <c r="Z175" i="13" s="1"/>
  <c r="AE175" i="13" s="1"/>
  <c r="U176" i="13"/>
  <c r="Z176" i="13" s="1"/>
  <c r="AE176" i="13" s="1"/>
  <c r="U177" i="13"/>
  <c r="Z177" i="13" s="1"/>
  <c r="AE177" i="13" s="1"/>
  <c r="U178" i="13"/>
  <c r="Z178" i="13" s="1"/>
  <c r="AE178" i="13" s="1"/>
  <c r="U179" i="13"/>
  <c r="Z179" i="13" s="1"/>
  <c r="AE179" i="13" s="1"/>
  <c r="U180" i="13"/>
  <c r="Z180" i="13" s="1"/>
  <c r="AE180" i="13" s="1"/>
  <c r="U181" i="13"/>
  <c r="Z181" i="13" s="1"/>
  <c r="AE181" i="13" s="1"/>
  <c r="U182" i="13"/>
  <c r="Z182" i="13" s="1"/>
  <c r="AE182" i="13" s="1"/>
  <c r="U183" i="13"/>
  <c r="Z183" i="13" s="1"/>
  <c r="AE183" i="13" s="1"/>
  <c r="U184" i="13"/>
  <c r="Z184" i="13" s="1"/>
  <c r="AE184" i="13" s="1"/>
  <c r="U185" i="13"/>
  <c r="Z185" i="13" s="1"/>
  <c r="AE185" i="13" s="1"/>
  <c r="U186" i="13"/>
  <c r="Z186" i="13" s="1"/>
  <c r="AE186" i="13" s="1"/>
  <c r="U187" i="13"/>
  <c r="Z187" i="13" s="1"/>
  <c r="AE187" i="13" s="1"/>
  <c r="U188" i="13"/>
  <c r="Z188" i="13" s="1"/>
  <c r="AE188" i="13" s="1"/>
  <c r="U189" i="13"/>
  <c r="Z189" i="13" s="1"/>
  <c r="AE189" i="13" s="1"/>
  <c r="U190" i="13"/>
  <c r="Z190" i="13" s="1"/>
  <c r="AE190" i="13" s="1"/>
  <c r="U191" i="13"/>
  <c r="Z191" i="13" s="1"/>
  <c r="AE191" i="13" s="1"/>
  <c r="U192" i="13"/>
  <c r="Z192" i="13" s="1"/>
  <c r="AE192" i="13" s="1"/>
  <c r="U193" i="13"/>
  <c r="Z193" i="13" s="1"/>
  <c r="AE193" i="13" s="1"/>
  <c r="U194" i="13"/>
  <c r="Z194" i="13" s="1"/>
  <c r="AE194" i="13" s="1"/>
  <c r="U195" i="13"/>
  <c r="Z195" i="13" s="1"/>
  <c r="AE195" i="13" s="1"/>
  <c r="U196" i="13"/>
  <c r="Z196" i="13" s="1"/>
  <c r="AE196" i="13" s="1"/>
  <c r="U197" i="13"/>
  <c r="Z197" i="13" s="1"/>
  <c r="AE197" i="13" s="1"/>
  <c r="U198" i="13"/>
  <c r="Z198" i="13" s="1"/>
  <c r="AE198" i="13" s="1"/>
  <c r="U199" i="13"/>
  <c r="Z199" i="13" s="1"/>
  <c r="AE199" i="13" s="1"/>
  <c r="U200" i="13"/>
  <c r="Z200" i="13" s="1"/>
  <c r="AE200" i="13" s="1"/>
  <c r="U201" i="13"/>
  <c r="Z201" i="13" s="1"/>
  <c r="AE201" i="13" s="1"/>
  <c r="U202" i="13"/>
  <c r="Z202" i="13" s="1"/>
  <c r="AE202" i="13" s="1"/>
  <c r="U203" i="13"/>
  <c r="Z203" i="13" s="1"/>
  <c r="AE203" i="13" s="1"/>
  <c r="U204" i="13"/>
  <c r="Z204" i="13" s="1"/>
  <c r="AE204" i="13" s="1"/>
  <c r="U205" i="13"/>
  <c r="Z205" i="13" s="1"/>
  <c r="AE205" i="13" s="1"/>
  <c r="U206" i="13"/>
  <c r="Z206" i="13" s="1"/>
  <c r="AE206" i="13" s="1"/>
  <c r="U207" i="13"/>
  <c r="Z207" i="13" s="1"/>
  <c r="AE207" i="13" s="1"/>
  <c r="U208" i="13"/>
  <c r="Z208" i="13" s="1"/>
  <c r="AE208" i="13" s="1"/>
  <c r="U209" i="13"/>
  <c r="Z209" i="13" s="1"/>
  <c r="AE209" i="13" s="1"/>
  <c r="U210" i="13"/>
  <c r="Z210" i="13" s="1"/>
  <c r="AE210" i="13" s="1"/>
  <c r="U211" i="13"/>
  <c r="Z211" i="13" s="1"/>
  <c r="AE211" i="13" s="1"/>
  <c r="U212" i="13"/>
  <c r="Z212" i="13" s="1"/>
  <c r="AE212" i="13" s="1"/>
  <c r="U213" i="13"/>
  <c r="Z213" i="13" s="1"/>
  <c r="AE213" i="13" s="1"/>
  <c r="U214" i="13"/>
  <c r="Z214" i="13" s="1"/>
  <c r="AE214" i="13" s="1"/>
  <c r="U215" i="13"/>
  <c r="Z215" i="13" s="1"/>
  <c r="AE215" i="13" s="1"/>
  <c r="U216" i="13"/>
  <c r="Z216" i="13" s="1"/>
  <c r="AE216" i="13" s="1"/>
  <c r="U217" i="13"/>
  <c r="Z217" i="13" s="1"/>
  <c r="AE217" i="13" s="1"/>
  <c r="U218" i="13"/>
  <c r="Z218" i="13" s="1"/>
  <c r="AE218" i="13" s="1"/>
  <c r="U219" i="13"/>
  <c r="Z219" i="13" s="1"/>
  <c r="AE219" i="13" s="1"/>
  <c r="U220" i="13"/>
  <c r="Z220" i="13" s="1"/>
  <c r="AE220" i="13" s="1"/>
  <c r="U221" i="13"/>
  <c r="Z221" i="13" s="1"/>
  <c r="AE221" i="13" s="1"/>
  <c r="U222" i="13"/>
  <c r="Z222" i="13" s="1"/>
  <c r="AE222" i="13" s="1"/>
  <c r="U223" i="13"/>
  <c r="Z223" i="13" s="1"/>
  <c r="AE223" i="13" s="1"/>
  <c r="U224" i="13"/>
  <c r="Z224" i="13" s="1"/>
  <c r="AE224" i="13" s="1"/>
  <c r="U225" i="13"/>
  <c r="Z225" i="13" s="1"/>
  <c r="AE225" i="13" s="1"/>
  <c r="U226" i="13"/>
  <c r="Z226" i="13" s="1"/>
  <c r="AE226" i="13" s="1"/>
  <c r="U227" i="13"/>
  <c r="Z227" i="13" s="1"/>
  <c r="AE227" i="13" s="1"/>
  <c r="U228" i="13"/>
  <c r="Z228" i="13" s="1"/>
  <c r="AE228" i="13" s="1"/>
  <c r="U229" i="13"/>
  <c r="Z229" i="13" s="1"/>
  <c r="AE229" i="13" s="1"/>
  <c r="U230" i="13"/>
  <c r="Z230" i="13" s="1"/>
  <c r="AE230" i="13" s="1"/>
  <c r="U231" i="13"/>
  <c r="Z231" i="13" s="1"/>
  <c r="AE231" i="13" s="1"/>
  <c r="U232" i="13"/>
  <c r="Z232" i="13" s="1"/>
  <c r="AE232" i="13" s="1"/>
  <c r="U233" i="13"/>
  <c r="Z233" i="13" s="1"/>
  <c r="AE233" i="13" s="1"/>
  <c r="U234" i="13"/>
  <c r="Z234" i="13" s="1"/>
  <c r="AE234" i="13" s="1"/>
  <c r="U235" i="13"/>
  <c r="Z235" i="13" s="1"/>
  <c r="AE235" i="13" s="1"/>
  <c r="U236" i="13"/>
  <c r="Z236" i="13" s="1"/>
  <c r="AE236" i="13" s="1"/>
  <c r="U237" i="13"/>
  <c r="Z237" i="13" s="1"/>
  <c r="AE237" i="13" s="1"/>
  <c r="U238" i="13"/>
  <c r="Z238" i="13" s="1"/>
  <c r="AE238" i="13" s="1"/>
  <c r="U239" i="13"/>
  <c r="Z239" i="13" s="1"/>
  <c r="AE239" i="13" s="1"/>
  <c r="U240" i="13"/>
  <c r="Z240" i="13" s="1"/>
  <c r="AE240" i="13" s="1"/>
  <c r="U241" i="13"/>
  <c r="Z241" i="13" s="1"/>
  <c r="AE241" i="13" s="1"/>
  <c r="U242" i="13"/>
  <c r="Z242" i="13" s="1"/>
  <c r="AE242" i="13" s="1"/>
  <c r="U243" i="13"/>
  <c r="Z243" i="13" s="1"/>
  <c r="AE243" i="13" s="1"/>
  <c r="U244" i="13"/>
  <c r="Z244" i="13" s="1"/>
  <c r="AE244" i="13" s="1"/>
  <c r="U245" i="13"/>
  <c r="Z245" i="13" s="1"/>
  <c r="AE245" i="13" s="1"/>
  <c r="U246" i="13"/>
  <c r="Z246" i="13" s="1"/>
  <c r="AE246" i="13" s="1"/>
  <c r="U247" i="13"/>
  <c r="Z247" i="13" s="1"/>
  <c r="AE247" i="13" s="1"/>
  <c r="U248" i="13"/>
  <c r="Z248" i="13" s="1"/>
  <c r="AE248" i="13" s="1"/>
  <c r="U249" i="13"/>
  <c r="Z249" i="13" s="1"/>
  <c r="AE249" i="13" s="1"/>
  <c r="U250" i="13"/>
  <c r="Z250" i="13" s="1"/>
  <c r="AE250" i="13" s="1"/>
  <c r="U251" i="13"/>
  <c r="Z251" i="13" s="1"/>
  <c r="AE251" i="13" s="1"/>
  <c r="U252" i="13"/>
  <c r="Z252" i="13" s="1"/>
  <c r="AE252" i="13" s="1"/>
  <c r="U253" i="13"/>
  <c r="Z253" i="13" s="1"/>
  <c r="AE253" i="13" s="1"/>
  <c r="U254" i="13"/>
  <c r="Z254" i="13" s="1"/>
  <c r="AE254" i="13" s="1"/>
  <c r="U255" i="13"/>
  <c r="Z255" i="13" s="1"/>
  <c r="AE255" i="13" s="1"/>
  <c r="U256" i="13"/>
  <c r="Z256" i="13" s="1"/>
  <c r="AE256" i="13" s="1"/>
  <c r="U257" i="13"/>
  <c r="Z257" i="13" s="1"/>
  <c r="AE257" i="13" s="1"/>
  <c r="U258" i="13"/>
  <c r="Z258" i="13" s="1"/>
  <c r="AE258" i="13" s="1"/>
  <c r="U259" i="13"/>
  <c r="Z259" i="13" s="1"/>
  <c r="AE259" i="13" s="1"/>
  <c r="U260" i="13"/>
  <c r="Z260" i="13" s="1"/>
  <c r="AE260" i="13" s="1"/>
  <c r="U261" i="13"/>
  <c r="Z261" i="13" s="1"/>
  <c r="AE261" i="13" s="1"/>
  <c r="U262" i="13"/>
  <c r="Z262" i="13" s="1"/>
  <c r="AE262" i="13" s="1"/>
  <c r="U263" i="13"/>
  <c r="Z263" i="13" s="1"/>
  <c r="AE263" i="13" s="1"/>
  <c r="U264" i="13"/>
  <c r="Z264" i="13" s="1"/>
  <c r="AE264" i="13" s="1"/>
  <c r="U265" i="13"/>
  <c r="Z265" i="13" s="1"/>
  <c r="AE265" i="13" s="1"/>
  <c r="U266" i="13"/>
  <c r="Z266" i="13" s="1"/>
  <c r="AE266" i="13" s="1"/>
  <c r="U267" i="13"/>
  <c r="Z267" i="13" s="1"/>
  <c r="AE267" i="13" s="1"/>
  <c r="U268" i="13"/>
  <c r="Z268" i="13" s="1"/>
  <c r="AE268" i="13" s="1"/>
  <c r="U269" i="13"/>
  <c r="Z269" i="13" s="1"/>
  <c r="AE269" i="13" s="1"/>
  <c r="U270" i="13"/>
  <c r="Z270" i="13" s="1"/>
  <c r="AE270" i="13" s="1"/>
  <c r="U271" i="13"/>
  <c r="Z271" i="13" s="1"/>
  <c r="AE271" i="13" s="1"/>
  <c r="U272" i="13"/>
  <c r="Z272" i="13" s="1"/>
  <c r="AE272" i="13" s="1"/>
  <c r="U273" i="13"/>
  <c r="Z273" i="13" s="1"/>
  <c r="AE273" i="13" s="1"/>
  <c r="U274" i="13"/>
  <c r="Z274" i="13" s="1"/>
  <c r="AE274" i="13" s="1"/>
  <c r="U275" i="13"/>
  <c r="Z275" i="13" s="1"/>
  <c r="AE275" i="13" s="1"/>
  <c r="U276" i="13"/>
  <c r="Z276" i="13" s="1"/>
  <c r="AE276" i="13" s="1"/>
  <c r="U277" i="13"/>
  <c r="Z277" i="13" s="1"/>
  <c r="AE277" i="13" s="1"/>
  <c r="U278" i="13"/>
  <c r="Z278" i="13" s="1"/>
  <c r="AE278" i="13" s="1"/>
  <c r="U279" i="13"/>
  <c r="Z279" i="13" s="1"/>
  <c r="AE279" i="13" s="1"/>
  <c r="U281" i="13"/>
  <c r="U282" i="13"/>
  <c r="U283" i="13"/>
  <c r="U284" i="13"/>
  <c r="U286" i="13"/>
  <c r="Z286" i="13" s="1"/>
  <c r="AE286" i="13" s="1"/>
  <c r="U288" i="13"/>
  <c r="Z288" i="13" s="1"/>
  <c r="AE288" i="13" s="1"/>
  <c r="U289" i="13"/>
  <c r="U291" i="13"/>
  <c r="U293" i="13"/>
  <c r="U295" i="13"/>
  <c r="U296" i="13"/>
  <c r="U297" i="13"/>
  <c r="U298" i="13"/>
  <c r="Z298" i="13" s="1"/>
  <c r="U301" i="13"/>
  <c r="Z301" i="13" s="1"/>
  <c r="AE301" i="13" s="1"/>
  <c r="U302" i="13"/>
  <c r="U303" i="13"/>
  <c r="U304" i="13"/>
  <c r="U306" i="13"/>
  <c r="Z306" i="13" s="1"/>
  <c r="AE306" i="13" s="1"/>
  <c r="U307" i="13"/>
  <c r="U308" i="13"/>
  <c r="Z308" i="13" s="1"/>
  <c r="AE308" i="13" s="1"/>
  <c r="U309" i="13"/>
  <c r="U311" i="13"/>
  <c r="U312" i="13"/>
  <c r="Z312" i="13" s="1"/>
  <c r="AE312" i="13" s="1"/>
  <c r="U313" i="13"/>
  <c r="U314" i="13"/>
  <c r="Z314" i="13" s="1"/>
  <c r="U315" i="13"/>
  <c r="Z315" i="13" s="1"/>
  <c r="U316" i="13"/>
  <c r="U317" i="13"/>
  <c r="U318" i="13"/>
  <c r="U319" i="13"/>
  <c r="Z319" i="13" s="1"/>
  <c r="AE319" i="13" s="1"/>
  <c r="U321" i="13"/>
  <c r="U322" i="13"/>
  <c r="U323" i="13"/>
  <c r="Z323" i="13" s="1"/>
  <c r="U324" i="13"/>
  <c r="U325" i="13"/>
  <c r="U326" i="13"/>
  <c r="U327" i="13"/>
  <c r="U328" i="13"/>
  <c r="Z328" i="13" s="1"/>
  <c r="AE328" i="13" s="1"/>
  <c r="U329" i="13"/>
  <c r="U330" i="13"/>
  <c r="Z330" i="13" s="1"/>
  <c r="AE330" i="13" s="1"/>
  <c r="U332" i="13"/>
  <c r="Z332" i="13" s="1"/>
  <c r="AE332" i="13" s="1"/>
  <c r="U333" i="13"/>
  <c r="Z333" i="13" s="1"/>
  <c r="AE333" i="13" s="1"/>
  <c r="U335" i="13"/>
  <c r="U336" i="13"/>
  <c r="Z336" i="13" s="1"/>
  <c r="AE336" i="13" s="1"/>
  <c r="U337" i="13"/>
  <c r="Z337" i="13" s="1"/>
  <c r="AE337" i="13" s="1"/>
  <c r="U338" i="13"/>
  <c r="Z338" i="13" s="1"/>
  <c r="AE338" i="13" s="1"/>
  <c r="U339" i="13"/>
  <c r="Z339" i="13" s="1"/>
  <c r="AE339" i="13" s="1"/>
  <c r="U340" i="13"/>
  <c r="Z340" i="13" s="1"/>
  <c r="AE340" i="13" s="1"/>
  <c r="U341" i="13"/>
  <c r="Z341" i="13" s="1"/>
  <c r="AE341" i="13" s="1"/>
  <c r="U342" i="13"/>
  <c r="Z342" i="13" s="1"/>
  <c r="AE342" i="13" s="1"/>
  <c r="U343" i="13"/>
  <c r="U344" i="13"/>
  <c r="Z344" i="13" s="1"/>
  <c r="AE344" i="13" s="1"/>
  <c r="U345" i="13"/>
  <c r="Z345" i="13" s="1"/>
  <c r="AE345" i="13" s="1"/>
  <c r="U346" i="13"/>
  <c r="Z346" i="13" s="1"/>
  <c r="AE346" i="13" s="1"/>
  <c r="U347" i="13"/>
  <c r="Z347" i="13" s="1"/>
  <c r="AE347" i="13" s="1"/>
  <c r="U348" i="13"/>
  <c r="Z348" i="13" s="1"/>
  <c r="AE348" i="13" s="1"/>
  <c r="U349" i="13"/>
  <c r="Z349" i="13" s="1"/>
  <c r="AE349" i="13" s="1"/>
  <c r="U350" i="13"/>
  <c r="Z350" i="13" s="1"/>
  <c r="AE350" i="13" s="1"/>
  <c r="U351" i="13"/>
  <c r="Z351" i="13" s="1"/>
  <c r="AE351" i="13" s="1"/>
  <c r="U352" i="13"/>
  <c r="Z352" i="13" s="1"/>
  <c r="AE352" i="13" s="1"/>
  <c r="U353" i="13"/>
  <c r="Z353" i="13" s="1"/>
  <c r="AE353" i="13" s="1"/>
  <c r="U354" i="13"/>
  <c r="Z354" i="13" s="1"/>
  <c r="AE354" i="13" s="1"/>
  <c r="U355" i="13"/>
  <c r="Z355" i="13" s="1"/>
  <c r="AE355" i="13" s="1"/>
  <c r="U356" i="13"/>
  <c r="U357" i="13"/>
  <c r="Z357" i="13" s="1"/>
  <c r="AE357" i="13" s="1"/>
  <c r="U358" i="13"/>
  <c r="Z358" i="13" s="1"/>
  <c r="AE358" i="13" s="1"/>
  <c r="U359" i="13"/>
  <c r="Z359" i="13" s="1"/>
  <c r="AE359" i="13" s="1"/>
  <c r="U360" i="13"/>
  <c r="Z360" i="13" s="1"/>
  <c r="AE360" i="13" s="1"/>
  <c r="U361" i="13"/>
  <c r="Z361" i="13" s="1"/>
  <c r="AE361" i="13" s="1"/>
  <c r="U362" i="13"/>
  <c r="Z362" i="13" s="1"/>
  <c r="AE362" i="13" s="1"/>
  <c r="U363" i="13"/>
  <c r="Z363" i="13" s="1"/>
  <c r="AE363" i="13" s="1"/>
  <c r="U364" i="13"/>
  <c r="Z364" i="13" s="1"/>
  <c r="AE364" i="13" s="1"/>
  <c r="U365" i="13"/>
  <c r="Z365" i="13" s="1"/>
  <c r="AE365" i="13" s="1"/>
  <c r="U366" i="13"/>
  <c r="Z366" i="13" s="1"/>
  <c r="AE366" i="13" s="1"/>
  <c r="U367" i="13"/>
  <c r="Z367" i="13" s="1"/>
  <c r="AE367" i="13" s="1"/>
  <c r="U368" i="13"/>
  <c r="Z368" i="13" s="1"/>
  <c r="AE368" i="13" s="1"/>
  <c r="U369" i="13"/>
  <c r="Z369" i="13" s="1"/>
  <c r="AE369" i="13" s="1"/>
  <c r="U370" i="13"/>
  <c r="Z370" i="13" s="1"/>
  <c r="AE370" i="13" s="1"/>
  <c r="U371" i="13"/>
  <c r="Z371" i="13" s="1"/>
  <c r="AE371" i="13" s="1"/>
  <c r="U372" i="13"/>
  <c r="Z372" i="13" s="1"/>
  <c r="AE372" i="13" s="1"/>
  <c r="U374" i="13"/>
  <c r="Z374" i="13" s="1"/>
  <c r="AE374" i="13" s="1"/>
  <c r="U375" i="13"/>
  <c r="Z375" i="13" s="1"/>
  <c r="AE375" i="13" s="1"/>
  <c r="U376" i="13"/>
  <c r="Z376" i="13" s="1"/>
  <c r="AE376" i="13" s="1"/>
  <c r="U377" i="13"/>
  <c r="Z377" i="13" s="1"/>
  <c r="AE377" i="13" s="1"/>
  <c r="U378" i="13"/>
  <c r="Z378" i="13" s="1"/>
  <c r="AE378" i="13" s="1"/>
  <c r="U379" i="13"/>
  <c r="Z379" i="13" s="1"/>
  <c r="AE379" i="13" s="1"/>
  <c r="U380" i="13"/>
  <c r="Z380" i="13" s="1"/>
  <c r="AE380" i="13" s="1"/>
  <c r="U381" i="13"/>
  <c r="Z381" i="13" s="1"/>
  <c r="AE381" i="13" s="1"/>
  <c r="U383" i="13"/>
  <c r="Z383" i="13" s="1"/>
  <c r="AE383" i="13" s="1"/>
  <c r="U385" i="13"/>
  <c r="Z385" i="13" s="1"/>
  <c r="AE385" i="13" s="1"/>
  <c r="U386" i="13"/>
  <c r="Z386" i="13" s="1"/>
  <c r="AE386" i="13" s="1"/>
  <c r="U387" i="13"/>
  <c r="Z387" i="13" s="1"/>
  <c r="AE387" i="13" s="1"/>
  <c r="U388" i="13"/>
  <c r="Z388" i="13" s="1"/>
  <c r="AE388" i="13" s="1"/>
  <c r="U389" i="13"/>
  <c r="Z389" i="13" s="1"/>
  <c r="AE389" i="13" s="1"/>
  <c r="U390" i="13"/>
  <c r="U391" i="13"/>
  <c r="Z391" i="13" s="1"/>
  <c r="AE391" i="13" s="1"/>
  <c r="U392" i="13"/>
  <c r="U393" i="13"/>
  <c r="Z393" i="13" s="1"/>
  <c r="AE393" i="13" s="1"/>
  <c r="U395" i="13"/>
  <c r="Z395" i="13" s="1"/>
  <c r="AE395" i="13" s="1"/>
  <c r="U396" i="13"/>
  <c r="Z396" i="13" s="1"/>
  <c r="AE396" i="13" s="1"/>
  <c r="U397" i="13"/>
  <c r="Z397" i="13" s="1"/>
  <c r="AE397" i="13" s="1"/>
  <c r="U398" i="13"/>
  <c r="Z398" i="13" s="1"/>
  <c r="AE398" i="13" s="1"/>
  <c r="U399" i="13"/>
  <c r="U401" i="13"/>
  <c r="U402" i="13"/>
  <c r="U403" i="13"/>
  <c r="U404" i="13"/>
  <c r="Z404" i="13" s="1"/>
  <c r="AE404" i="13" s="1"/>
  <c r="U405" i="13"/>
  <c r="Z405" i="13" s="1"/>
  <c r="AE405" i="13" s="1"/>
  <c r="U406" i="13"/>
  <c r="U407" i="13"/>
  <c r="U408" i="13"/>
  <c r="U409" i="13"/>
  <c r="U411" i="13"/>
  <c r="U412" i="13"/>
  <c r="Z412" i="13" s="1"/>
  <c r="AE412" i="13" s="1"/>
  <c r="U413" i="13"/>
  <c r="U414" i="13"/>
  <c r="U415" i="13"/>
  <c r="U416" i="13"/>
  <c r="U417" i="13"/>
  <c r="U418" i="13"/>
  <c r="Z418" i="13" s="1"/>
  <c r="U419" i="13"/>
  <c r="Z419" i="13" s="1"/>
  <c r="AE419" i="13" s="1"/>
  <c r="U422" i="13"/>
  <c r="U423" i="13"/>
  <c r="Z423" i="13" s="1"/>
  <c r="AE423" i="13" s="1"/>
  <c r="U424" i="13"/>
  <c r="U425" i="13"/>
  <c r="Z425" i="13" s="1"/>
  <c r="AE425" i="13" s="1"/>
  <c r="U426" i="13"/>
  <c r="Z426" i="13" s="1"/>
  <c r="AE426" i="13" s="1"/>
  <c r="U427" i="13"/>
  <c r="U428" i="13"/>
  <c r="U429" i="13"/>
  <c r="U430" i="13"/>
  <c r="U431" i="13"/>
  <c r="U432" i="13"/>
  <c r="Z432" i="13" s="1"/>
  <c r="AE432" i="13" s="1"/>
  <c r="U433" i="13"/>
  <c r="U434" i="13"/>
  <c r="Z434" i="13" s="1"/>
  <c r="U435" i="13"/>
  <c r="U436" i="13"/>
  <c r="Z436" i="13" s="1"/>
  <c r="AE436" i="13" s="1"/>
  <c r="U437" i="13"/>
  <c r="Z437" i="13" s="1"/>
  <c r="AE437" i="13" s="1"/>
  <c r="U438" i="13"/>
  <c r="Z438" i="13" s="1"/>
  <c r="AE438" i="13" s="1"/>
  <c r="U439" i="13"/>
  <c r="Z439" i="13" s="1"/>
  <c r="AE439" i="13" s="1"/>
  <c r="U440" i="13"/>
  <c r="Z440" i="13" s="1"/>
  <c r="AE440" i="13" s="1"/>
  <c r="U441" i="13"/>
  <c r="Z441" i="13" s="1"/>
  <c r="AE441" i="13" s="1"/>
  <c r="U442" i="13"/>
  <c r="Z442" i="13" s="1"/>
  <c r="AE442" i="13" s="1"/>
  <c r="U444" i="13"/>
  <c r="Z444" i="13" s="1"/>
  <c r="AE444" i="13" s="1"/>
  <c r="U445" i="13"/>
  <c r="Z445" i="13" s="1"/>
  <c r="AE445" i="13" s="1"/>
  <c r="U446" i="13"/>
  <c r="Z446" i="13" s="1"/>
  <c r="AE446" i="13" s="1"/>
  <c r="U447" i="13"/>
  <c r="Z447" i="13" s="1"/>
  <c r="AE447" i="13" s="1"/>
  <c r="U448" i="13"/>
  <c r="Z448" i="13" s="1"/>
  <c r="AE448" i="13" s="1"/>
  <c r="U449" i="13"/>
  <c r="Z449" i="13" s="1"/>
  <c r="U450" i="13"/>
  <c r="Z450" i="13" s="1"/>
  <c r="AE450" i="13" s="1"/>
  <c r="U451" i="13"/>
  <c r="Z451" i="13" s="1"/>
  <c r="U452" i="13"/>
  <c r="Z452" i="13" s="1"/>
  <c r="U453" i="13"/>
  <c r="Z453" i="13" s="1"/>
  <c r="AE453" i="13" s="1"/>
  <c r="U454" i="13"/>
  <c r="Z454" i="13" s="1"/>
  <c r="AE454" i="13" s="1"/>
  <c r="U455" i="13"/>
  <c r="U457" i="13"/>
  <c r="Z457" i="13" s="1"/>
  <c r="AE457" i="13" s="1"/>
  <c r="U458" i="13"/>
  <c r="Z458" i="13" s="1"/>
  <c r="U459" i="13"/>
  <c r="Z459" i="13" s="1"/>
  <c r="V3" i="13"/>
  <c r="AA3" i="13" s="1"/>
  <c r="AF3" i="13" s="1"/>
  <c r="U3" i="13"/>
  <c r="A4" i="13"/>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317" i="13" s="1"/>
  <c r="A318" i="13" s="1"/>
  <c r="A319" i="13" s="1"/>
  <c r="A320" i="13" s="1"/>
  <c r="A321" i="13" s="1"/>
  <c r="A322" i="13" s="1"/>
  <c r="A323" i="13" s="1"/>
  <c r="A324" i="13" s="1"/>
  <c r="A325" i="13" s="1"/>
  <c r="A326" i="13" s="1"/>
  <c r="A327" i="13" s="1"/>
  <c r="A328" i="13" s="1"/>
  <c r="A329" i="13" s="1"/>
  <c r="A330" i="13" s="1"/>
  <c r="A331" i="13" s="1"/>
  <c r="A332" i="13" s="1"/>
  <c r="A333" i="13" s="1"/>
  <c r="A334" i="13" s="1"/>
  <c r="A335" i="13" s="1"/>
  <c r="A336" i="13" s="1"/>
  <c r="A337" i="13" s="1"/>
  <c r="A338" i="13" s="1"/>
  <c r="A339" i="13" s="1"/>
  <c r="A340" i="13" s="1"/>
  <c r="A341" i="13" s="1"/>
  <c r="A342" i="13" s="1"/>
  <c r="A343" i="13" s="1"/>
  <c r="A344" i="13" s="1"/>
  <c r="A345" i="13" s="1"/>
  <c r="A346" i="13" s="1"/>
  <c r="A347" i="13" s="1"/>
  <c r="A348" i="13" s="1"/>
  <c r="A349" i="13" s="1"/>
  <c r="A350" i="13" s="1"/>
  <c r="A351" i="13" s="1"/>
  <c r="A352" i="13" s="1"/>
  <c r="A353" i="13" s="1"/>
  <c r="A354" i="13" s="1"/>
  <c r="A355" i="13" s="1"/>
  <c r="A356" i="13" s="1"/>
  <c r="A357" i="13" s="1"/>
  <c r="A358" i="13" s="1"/>
  <c r="A359" i="13" s="1"/>
  <c r="A360" i="13" s="1"/>
  <c r="A361" i="13" s="1"/>
  <c r="A362" i="13" s="1"/>
  <c r="A363" i="13" s="1"/>
  <c r="A364" i="13" s="1"/>
  <c r="A365" i="13" s="1"/>
  <c r="A366" i="13" s="1"/>
  <c r="A367" i="13" s="1"/>
  <c r="A368" i="13" s="1"/>
  <c r="A369" i="13" s="1"/>
  <c r="A370" i="13" s="1"/>
  <c r="A371" i="13" s="1"/>
  <c r="A372" i="13" s="1"/>
  <c r="A373" i="13" s="1"/>
  <c r="A374" i="13" s="1"/>
  <c r="A375" i="13" s="1"/>
  <c r="A376" i="13" s="1"/>
  <c r="A377" i="13" s="1"/>
  <c r="A378" i="13" s="1"/>
  <c r="A379" i="13" s="1"/>
  <c r="A380" i="13" s="1"/>
  <c r="A381" i="13" s="1"/>
  <c r="A382" i="13" s="1"/>
  <c r="A383" i="13" s="1"/>
  <c r="A384" i="13" s="1"/>
  <c r="A385" i="13" s="1"/>
  <c r="A386" i="13" s="1"/>
  <c r="A387" i="13" s="1"/>
  <c r="A388" i="13" s="1"/>
  <c r="A389" i="13" s="1"/>
  <c r="A390" i="13" s="1"/>
  <c r="A391" i="13" s="1"/>
  <c r="A392" i="13" s="1"/>
  <c r="A393" i="13" s="1"/>
  <c r="A394" i="13" s="1"/>
  <c r="A395" i="13" s="1"/>
  <c r="A396" i="13" s="1"/>
  <c r="A397" i="13" s="1"/>
  <c r="A398" i="13" s="1"/>
  <c r="A399" i="13" s="1"/>
  <c r="A400" i="13" s="1"/>
  <c r="A401" i="13" s="1"/>
  <c r="A402" i="13" s="1"/>
  <c r="A403" i="13" s="1"/>
  <c r="A404" i="13" s="1"/>
  <c r="A405" i="13" s="1"/>
  <c r="A406" i="13" s="1"/>
  <c r="A407" i="13" s="1"/>
  <c r="A408" i="13" s="1"/>
  <c r="A409" i="13" s="1"/>
  <c r="A410" i="13" s="1"/>
  <c r="A411" i="13" s="1"/>
  <c r="A412" i="13" s="1"/>
  <c r="A413" i="13" s="1"/>
  <c r="A414" i="13" s="1"/>
  <c r="A415" i="13" s="1"/>
  <c r="A416" i="13" s="1"/>
  <c r="A417" i="13" s="1"/>
  <c r="A418" i="13" s="1"/>
  <c r="A419" i="13" s="1"/>
  <c r="A420" i="13" s="1"/>
  <c r="A421" i="13" s="1"/>
  <c r="A422" i="13" s="1"/>
  <c r="A423" i="13" s="1"/>
  <c r="A424" i="13" s="1"/>
  <c r="A425" i="13" s="1"/>
  <c r="A426" i="13" s="1"/>
  <c r="A427" i="13" s="1"/>
  <c r="A428" i="13" s="1"/>
  <c r="A429" i="13" s="1"/>
  <c r="A430" i="13" s="1"/>
  <c r="A431" i="13" s="1"/>
  <c r="A432" i="13" s="1"/>
  <c r="A433" i="13" s="1"/>
  <c r="A434" i="13" s="1"/>
  <c r="A435" i="13" s="1"/>
  <c r="A436" i="13" s="1"/>
  <c r="A437" i="13" s="1"/>
  <c r="A438" i="13" s="1"/>
  <c r="A439" i="13" s="1"/>
  <c r="A440" i="13" s="1"/>
  <c r="A441" i="13" s="1"/>
  <c r="A442" i="13" s="1"/>
  <c r="A6" i="11"/>
  <c r="A7" i="11" s="1"/>
  <c r="W57" i="16" l="1"/>
  <c r="C6" i="11"/>
  <c r="C7" i="11"/>
  <c r="C10" i="11" s="1"/>
  <c r="X57" i="16"/>
  <c r="D6" i="11"/>
  <c r="Z59" i="15"/>
  <c r="W61" i="15"/>
  <c r="AF5" i="15"/>
  <c r="AF59" i="15" s="1"/>
  <c r="AA59" i="15"/>
  <c r="AA61" i="15" s="1"/>
  <c r="Z420" i="14"/>
  <c r="AE420" i="14" s="1"/>
  <c r="AF298" i="14"/>
  <c r="AB61" i="15"/>
  <c r="E5" i="11"/>
  <c r="E7" i="11" s="1"/>
  <c r="X61" i="15"/>
  <c r="D5" i="11"/>
  <c r="D7" i="11" s="1"/>
  <c r="AB496" i="14"/>
  <c r="E9" i="11"/>
  <c r="E10" i="11" s="1"/>
  <c r="AA55" i="16"/>
  <c r="AA57" i="16" s="1"/>
  <c r="AC55" i="16"/>
  <c r="AE55" i="16"/>
  <c r="AE57" i="16" s="1"/>
  <c r="AE13" i="15"/>
  <c r="AF13" i="15"/>
  <c r="AE5" i="15"/>
  <c r="Z61" i="15"/>
  <c r="X494" i="14"/>
  <c r="AA420" i="14"/>
  <c r="AF420" i="14" s="1"/>
  <c r="AE494" i="14"/>
  <c r="AE496" i="14" s="1"/>
  <c r="AC494" i="14"/>
  <c r="AF450" i="14"/>
  <c r="AF473" i="14"/>
  <c r="X460" i="13"/>
  <c r="AA460" i="13" s="1"/>
  <c r="AB459" i="13"/>
  <c r="AB458" i="13"/>
  <c r="W327" i="13"/>
  <c r="X327" i="13" s="1"/>
  <c r="Z327" i="13" s="1"/>
  <c r="AB449" i="13"/>
  <c r="X428" i="13"/>
  <c r="Z428" i="13" s="1"/>
  <c r="AE428" i="13" s="1"/>
  <c r="W415" i="13"/>
  <c r="X415" i="13" s="1"/>
  <c r="Z415" i="13" s="1"/>
  <c r="X326" i="13"/>
  <c r="Z326" i="13" s="1"/>
  <c r="W313" i="13"/>
  <c r="X313" i="13" s="1"/>
  <c r="Z313" i="13" s="1"/>
  <c r="W429" i="13"/>
  <c r="X429" i="13" s="1"/>
  <c r="Z429" i="13" s="1"/>
  <c r="AB452" i="13"/>
  <c r="X427" i="13"/>
  <c r="AA427" i="13" s="1"/>
  <c r="AF427" i="13" s="1"/>
  <c r="AB418" i="13"/>
  <c r="AC418" i="13" s="1"/>
  <c r="W401" i="13"/>
  <c r="W329" i="13"/>
  <c r="X329" i="13" s="1"/>
  <c r="Z329" i="13" s="1"/>
  <c r="W325" i="13"/>
  <c r="X407" i="13"/>
  <c r="Z407" i="13" s="1"/>
  <c r="AE407" i="13" s="1"/>
  <c r="AB323" i="13"/>
  <c r="AC323" i="13" s="1"/>
  <c r="AB434" i="13"/>
  <c r="AC434" i="13" s="1"/>
  <c r="AE434" i="13" s="1"/>
  <c r="X422" i="13"/>
  <c r="AA422" i="13" s="1"/>
  <c r="AF422" i="13" s="1"/>
  <c r="W417" i="13"/>
  <c r="X417" i="13" s="1"/>
  <c r="AA417" i="13" s="1"/>
  <c r="X403" i="13"/>
  <c r="AA403" i="13" s="1"/>
  <c r="AF403" i="13" s="1"/>
  <c r="X424" i="13"/>
  <c r="AA424" i="13" s="1"/>
  <c r="AF424" i="13" s="1"/>
  <c r="X431" i="13"/>
  <c r="Z431" i="13" s="1"/>
  <c r="AE431" i="13" s="1"/>
  <c r="W367" i="13"/>
  <c r="AA367" i="13" s="1"/>
  <c r="AF367" i="13" s="1"/>
  <c r="X321" i="13"/>
  <c r="Z321" i="13" s="1"/>
  <c r="W295" i="13"/>
  <c r="X322" i="13"/>
  <c r="AA322" i="13" s="1"/>
  <c r="Z403" i="13"/>
  <c r="AE403" i="13" s="1"/>
  <c r="X455" i="13"/>
  <c r="AA455" i="13" s="1"/>
  <c r="AF455" i="13" s="1"/>
  <c r="X430" i="13"/>
  <c r="Z430" i="13" s="1"/>
  <c r="X408" i="13"/>
  <c r="AA408" i="13" s="1"/>
  <c r="X390" i="13"/>
  <c r="Z390" i="13" s="1"/>
  <c r="W298" i="13"/>
  <c r="AA298" i="13" s="1"/>
  <c r="AC298" i="13" s="1"/>
  <c r="W293" i="13"/>
  <c r="X293" i="13" s="1"/>
  <c r="Z293" i="13" s="1"/>
  <c r="AE293" i="13" s="1"/>
  <c r="W281" i="13"/>
  <c r="X303" i="13"/>
  <c r="AA303" i="13" s="1"/>
  <c r="AF303" i="13" s="1"/>
  <c r="X299" i="13"/>
  <c r="Z299" i="13" s="1"/>
  <c r="AE299" i="13" s="1"/>
  <c r="X292" i="13"/>
  <c r="AA292" i="13" s="1"/>
  <c r="AF292" i="13" s="1"/>
  <c r="X433" i="13"/>
  <c r="AA433" i="13" s="1"/>
  <c r="AF433" i="13" s="1"/>
  <c r="X416" i="13"/>
  <c r="Z416" i="13" s="1"/>
  <c r="AE416" i="13" s="1"/>
  <c r="X302" i="13"/>
  <c r="AA302" i="13" s="1"/>
  <c r="V294" i="13"/>
  <c r="X294" i="13" s="1"/>
  <c r="U292" i="13"/>
  <c r="U421" i="13"/>
  <c r="Z421" i="13" s="1"/>
  <c r="AE421" i="13" s="1"/>
  <c r="U280" i="13"/>
  <c r="Z3" i="13"/>
  <c r="AE3" i="13" s="1"/>
  <c r="U384" i="13"/>
  <c r="U290" i="13"/>
  <c r="V394" i="13"/>
  <c r="AA394" i="13" s="1"/>
  <c r="AF394" i="13" s="1"/>
  <c r="V305" i="13"/>
  <c r="U310" i="13"/>
  <c r="V456" i="13"/>
  <c r="V373" i="13"/>
  <c r="AA373" i="13" s="1"/>
  <c r="AF373" i="13" s="1"/>
  <c r="V463" i="13"/>
  <c r="AA463" i="13" s="1"/>
  <c r="AF463" i="13" s="1"/>
  <c r="U463" i="13"/>
  <c r="Z463" i="13" s="1"/>
  <c r="AE463" i="13" s="1"/>
  <c r="V300" i="13"/>
  <c r="S497" i="13"/>
  <c r="S499" i="13" s="1"/>
  <c r="A443" i="13"/>
  <c r="A444" i="13" s="1"/>
  <c r="A445" i="13" s="1"/>
  <c r="A446" i="13" s="1"/>
  <c r="A447" i="13" s="1"/>
  <c r="A448" i="13" s="1"/>
  <c r="A449" i="13" s="1"/>
  <c r="A450" i="13" s="1"/>
  <c r="A451" i="13" s="1"/>
  <c r="A452" i="13" s="1"/>
  <c r="A453" i="13" s="1"/>
  <c r="A454" i="13" s="1"/>
  <c r="A455" i="13" s="1"/>
  <c r="A456" i="13" s="1"/>
  <c r="A457" i="13" s="1"/>
  <c r="A458" i="13" s="1"/>
  <c r="A459" i="13" s="1"/>
  <c r="A460" i="13" s="1"/>
  <c r="A461" i="13" s="1"/>
  <c r="A462" i="13" s="1"/>
  <c r="A463" i="13" s="1"/>
  <c r="A464" i="13" s="1"/>
  <c r="A465" i="13" s="1"/>
  <c r="A466" i="13" s="1"/>
  <c r="A467" i="13" s="1"/>
  <c r="A468" i="13" s="1"/>
  <c r="A469" i="13" s="1"/>
  <c r="A470" i="13" s="1"/>
  <c r="A471" i="13" s="1"/>
  <c r="A472" i="13" s="1"/>
  <c r="A473" i="13" s="1"/>
  <c r="A474" i="13" s="1"/>
  <c r="A475" i="13" s="1"/>
  <c r="A476" i="13" s="1"/>
  <c r="A477" i="13" s="1"/>
  <c r="A478" i="13" s="1"/>
  <c r="A479" i="13" s="1"/>
  <c r="A480" i="13" s="1"/>
  <c r="A481" i="13" s="1"/>
  <c r="A482" i="13" s="1"/>
  <c r="A483" i="13" s="1"/>
  <c r="A484" i="13" s="1"/>
  <c r="A485" i="13" s="1"/>
  <c r="A486" i="13" s="1"/>
  <c r="A487" i="13" s="1"/>
  <c r="A488" i="13" s="1"/>
  <c r="A489" i="13" s="1"/>
  <c r="A490" i="13" s="1"/>
  <c r="A491" i="13" s="1"/>
  <c r="U331" i="13"/>
  <c r="Z331" i="13" s="1"/>
  <c r="AE331" i="13" s="1"/>
  <c r="U287" i="13"/>
  <c r="U334" i="13"/>
  <c r="Z334" i="13" s="1"/>
  <c r="AE334" i="13" s="1"/>
  <c r="U174" i="13"/>
  <c r="Z174" i="13" s="1"/>
  <c r="AE174" i="13" s="1"/>
  <c r="U382" i="13"/>
  <c r="Z382" i="13" s="1"/>
  <c r="V299" i="13"/>
  <c r="U460" i="13"/>
  <c r="Z460" i="13" s="1"/>
  <c r="U400" i="13"/>
  <c r="Z400" i="13" s="1"/>
  <c r="AE400" i="13" s="1"/>
  <c r="U320" i="13"/>
  <c r="Z320" i="13" s="1"/>
  <c r="AE320" i="13" s="1"/>
  <c r="U410" i="13"/>
  <c r="Z410" i="13" s="1"/>
  <c r="AE410" i="13" s="1"/>
  <c r="AF453" i="13"/>
  <c r="AA410" i="13"/>
  <c r="AF410" i="13" s="1"/>
  <c r="Z422" i="13"/>
  <c r="AE422" i="13" s="1"/>
  <c r="T499" i="13"/>
  <c r="R499" i="13"/>
  <c r="AA402" i="13"/>
  <c r="AF402" i="13" s="1"/>
  <c r="AE59" i="15" l="1"/>
  <c r="AC57" i="16"/>
  <c r="F6" i="11"/>
  <c r="Z494" i="14"/>
  <c r="Z496" i="14" s="1"/>
  <c r="AF61" i="15"/>
  <c r="AA494" i="14"/>
  <c r="AA496" i="14" s="1"/>
  <c r="AC61" i="15"/>
  <c r="F5" i="11"/>
  <c r="F7" i="11" s="1"/>
  <c r="AC496" i="14"/>
  <c r="F9" i="11"/>
  <c r="X496" i="14"/>
  <c r="D9" i="11"/>
  <c r="D10" i="11" s="1"/>
  <c r="AE61" i="15"/>
  <c r="AF55" i="16"/>
  <c r="AF57" i="16" s="1"/>
  <c r="AF494" i="14"/>
  <c r="AF496" i="14" s="1"/>
  <c r="AA428" i="13"/>
  <c r="AF428" i="13" s="1"/>
  <c r="Z427" i="13"/>
  <c r="AE427" i="13" s="1"/>
  <c r="AC458" i="13"/>
  <c r="AE458" i="13" s="1"/>
  <c r="AC459" i="13"/>
  <c r="AE459" i="13" s="1"/>
  <c r="AA326" i="13"/>
  <c r="Z424" i="13"/>
  <c r="AE424" i="13" s="1"/>
  <c r="AA329" i="13"/>
  <c r="AA313" i="13"/>
  <c r="Z417" i="13"/>
  <c r="AA407" i="13"/>
  <c r="AF407" i="13" s="1"/>
  <c r="X325" i="13"/>
  <c r="Z325" i="13" s="1"/>
  <c r="AC452" i="13"/>
  <c r="AE452" i="13" s="1"/>
  <c r="X401" i="13"/>
  <c r="Z401" i="13" s="1"/>
  <c r="AA415" i="13"/>
  <c r="AC449" i="13"/>
  <c r="AE449" i="13" s="1"/>
  <c r="AA327" i="13"/>
  <c r="AF327" i="13" s="1"/>
  <c r="AF434" i="13"/>
  <c r="Z292" i="13"/>
  <c r="AE292" i="13" s="1"/>
  <c r="AA429" i="13"/>
  <c r="AF429" i="13" s="1"/>
  <c r="AA299" i="13"/>
  <c r="AF299" i="13" s="1"/>
  <c r="Z433" i="13"/>
  <c r="AE433" i="13" s="1"/>
  <c r="Z455" i="13"/>
  <c r="AE455" i="13" s="1"/>
  <c r="Z408" i="13"/>
  <c r="Z303" i="13"/>
  <c r="AE303" i="13" s="1"/>
  <c r="AA416" i="13"/>
  <c r="AF416" i="13" s="1"/>
  <c r="AA293" i="13"/>
  <c r="AF293" i="13" s="1"/>
  <c r="AA390" i="13"/>
  <c r="AA430" i="13"/>
  <c r="AF430" i="13" s="1"/>
  <c r="X295" i="13"/>
  <c r="Z295" i="13" s="1"/>
  <c r="AE295" i="13" s="1"/>
  <c r="AA321" i="13"/>
  <c r="AA431" i="13"/>
  <c r="AF431" i="13" s="1"/>
  <c r="Z322" i="13"/>
  <c r="X456" i="13"/>
  <c r="Z456" i="13" s="1"/>
  <c r="AE456" i="13" s="1"/>
  <c r="X281" i="13"/>
  <c r="Z281" i="13" s="1"/>
  <c r="Z302" i="13"/>
  <c r="U497" i="13"/>
  <c r="U499" i="13" s="1"/>
  <c r="V497" i="13"/>
  <c r="AE430" i="13"/>
  <c r="Z402" i="13"/>
  <c r="AE402" i="13" s="1"/>
  <c r="AE429" i="13"/>
  <c r="AE327" i="13"/>
  <c r="F10" i="11" l="1"/>
  <c r="AF458" i="13"/>
  <c r="AA401" i="13"/>
  <c r="AF459" i="13"/>
  <c r="AF452" i="13"/>
  <c r="AF449" i="13"/>
  <c r="AA325" i="13"/>
  <c r="V499" i="13"/>
  <c r="V501" i="13"/>
  <c r="AA456" i="13"/>
  <c r="AF456" i="13" s="1"/>
  <c r="AA295" i="13"/>
  <c r="AF295" i="13" s="1"/>
  <c r="AA281" i="13"/>
  <c r="AA356" i="13"/>
  <c r="AF356" i="13" s="1"/>
  <c r="Z356" i="13"/>
  <c r="AE356" i="13" s="1"/>
  <c r="Z280" i="13"/>
  <c r="AA280" i="13"/>
  <c r="Z282" i="13"/>
  <c r="AE282" i="13" s="1"/>
  <c r="AA282" i="13"/>
  <c r="AF282" i="13" s="1"/>
  <c r="Z283" i="13"/>
  <c r="AE283" i="13" s="1"/>
  <c r="AA283" i="13"/>
  <c r="AF283" i="13" s="1"/>
  <c r="Z284" i="13"/>
  <c r="AE284" i="13" s="1"/>
  <c r="AA284" i="13"/>
  <c r="AF284" i="13" s="1"/>
  <c r="Z285" i="13"/>
  <c r="AE285" i="13" s="1"/>
  <c r="AA285" i="13"/>
  <c r="AF285" i="13" s="1"/>
  <c r="Z287" i="13"/>
  <c r="AE287" i="13" s="1"/>
  <c r="AA287" i="13"/>
  <c r="AF287" i="13" s="1"/>
  <c r="Z289" i="13"/>
  <c r="AE289" i="13" s="1"/>
  <c r="AA289" i="13"/>
  <c r="AF289" i="13" s="1"/>
  <c r="Z290" i="13"/>
  <c r="AE290" i="13" s="1"/>
  <c r="AA290" i="13"/>
  <c r="AF290" i="13" s="1"/>
  <c r="Z294" i="13"/>
  <c r="AE294" i="13" s="1"/>
  <c r="AA294" i="13"/>
  <c r="AF294" i="13" s="1"/>
  <c r="Z297" i="13"/>
  <c r="AE297" i="13" s="1"/>
  <c r="AA297" i="13"/>
  <c r="AF297" i="13" s="1"/>
  <c r="Z300" i="13"/>
  <c r="AE300" i="13" s="1"/>
  <c r="AA300" i="13"/>
  <c r="AF300" i="13" s="1"/>
  <c r="Z304" i="13"/>
  <c r="AE304" i="13" s="1"/>
  <c r="AA304" i="13"/>
  <c r="AF304" i="13" s="1"/>
  <c r="Z305" i="13"/>
  <c r="AE305" i="13" s="1"/>
  <c r="AA305" i="13"/>
  <c r="AF305" i="13" s="1"/>
  <c r="Z307" i="13"/>
  <c r="AE307" i="13" s="1"/>
  <c r="AA307" i="13"/>
  <c r="AF307" i="13" s="1"/>
  <c r="Z309" i="13"/>
  <c r="AE309" i="13" s="1"/>
  <c r="AA309" i="13"/>
  <c r="AF309" i="13" s="1"/>
  <c r="Z310" i="13"/>
  <c r="AE310" i="13" s="1"/>
  <c r="AA310" i="13"/>
  <c r="AF310" i="13" s="1"/>
  <c r="Z311" i="13"/>
  <c r="AE311" i="13" s="1"/>
  <c r="AA311" i="13"/>
  <c r="AF311" i="13" s="1"/>
  <c r="Z316" i="13"/>
  <c r="AE316" i="13" s="1"/>
  <c r="AA316" i="13"/>
  <c r="AF316" i="13" s="1"/>
  <c r="Z317" i="13"/>
  <c r="AE317" i="13" s="1"/>
  <c r="AA317" i="13"/>
  <c r="AF317" i="13" s="1"/>
  <c r="Z318" i="13"/>
  <c r="AE318" i="13" s="1"/>
  <c r="AA318" i="13"/>
  <c r="AF318" i="13" s="1"/>
  <c r="Z324" i="13"/>
  <c r="AE324" i="13" s="1"/>
  <c r="AA324" i="13"/>
  <c r="AF324" i="13" s="1"/>
  <c r="Z335" i="13"/>
  <c r="AE335" i="13" s="1"/>
  <c r="AA335" i="13"/>
  <c r="AF335" i="13" s="1"/>
  <c r="Z343" i="13"/>
  <c r="AE343" i="13" s="1"/>
  <c r="AA343" i="13"/>
  <c r="AF343" i="13" s="1"/>
  <c r="Z384" i="13"/>
  <c r="AE384" i="13" s="1"/>
  <c r="AA384" i="13"/>
  <c r="AF384" i="13" s="1"/>
  <c r="Z392" i="13"/>
  <c r="AE392" i="13" s="1"/>
  <c r="AA392" i="13"/>
  <c r="AF392" i="13" s="1"/>
  <c r="Z399" i="13"/>
  <c r="AE399" i="13" s="1"/>
  <c r="AA399" i="13"/>
  <c r="AF399" i="13" s="1"/>
  <c r="Z406" i="13"/>
  <c r="AE406" i="13" s="1"/>
  <c r="AA406" i="13"/>
  <c r="AF406" i="13" s="1"/>
  <c r="Z409" i="13"/>
  <c r="AA409" i="13"/>
  <c r="Z411" i="13"/>
  <c r="AE411" i="13" s="1"/>
  <c r="AA411" i="13"/>
  <c r="AF411" i="13" s="1"/>
  <c r="Z413" i="13"/>
  <c r="AE413" i="13" s="1"/>
  <c r="AA413" i="13"/>
  <c r="AF413" i="13" s="1"/>
  <c r="Z414" i="13"/>
  <c r="AE414" i="13" s="1"/>
  <c r="AA414" i="13"/>
  <c r="AF414" i="13" s="1"/>
  <c r="Z435" i="13"/>
  <c r="AE435" i="13" s="1"/>
  <c r="AA435" i="13"/>
  <c r="AF435" i="13" s="1"/>
  <c r="Y499" i="13"/>
  <c r="AB409" i="13" l="1"/>
  <c r="AB497" i="13" s="1"/>
  <c r="AB499" i="13" s="1"/>
  <c r="AE280" i="13"/>
  <c r="AF280" i="13"/>
  <c r="AE281" i="13"/>
  <c r="AF281" i="13"/>
  <c r="AE298" i="13"/>
  <c r="AF298" i="13"/>
  <c r="AE302" i="13"/>
  <c r="AF302" i="13"/>
  <c r="AE313" i="13"/>
  <c r="AF313" i="13"/>
  <c r="AE314" i="13"/>
  <c r="AF314" i="13"/>
  <c r="AE315" i="13"/>
  <c r="AF315" i="13"/>
  <c r="AE321" i="13"/>
  <c r="AF321" i="13"/>
  <c r="AE322" i="13"/>
  <c r="AF322" i="13"/>
  <c r="AE323" i="13"/>
  <c r="AF323" i="13"/>
  <c r="AE325" i="13"/>
  <c r="AF325" i="13"/>
  <c r="AE326" i="13"/>
  <c r="AF326" i="13"/>
  <c r="AE329" i="13"/>
  <c r="AF329" i="13"/>
  <c r="AE382" i="13"/>
  <c r="AF382" i="13"/>
  <c r="AE390" i="13"/>
  <c r="AF390" i="13"/>
  <c r="AE401" i="13"/>
  <c r="AF401" i="13"/>
  <c r="AE408" i="13"/>
  <c r="AF408" i="13"/>
  <c r="AE415" i="13"/>
  <c r="AF415" i="13"/>
  <c r="AE417" i="13"/>
  <c r="AF417" i="13"/>
  <c r="AE418" i="13"/>
  <c r="AF418" i="13"/>
  <c r="AE451" i="13"/>
  <c r="AF451" i="13"/>
  <c r="AE460" i="13"/>
  <c r="AF460" i="13"/>
  <c r="AD499" i="13"/>
  <c r="Z291" i="13"/>
  <c r="AC409" i="13" l="1"/>
  <c r="AE291" i="13"/>
  <c r="AA291" i="13"/>
  <c r="AC497" i="13" l="1"/>
  <c r="AC499" i="13" s="1"/>
  <c r="AE409" i="13"/>
  <c r="AF409" i="13"/>
  <c r="AF291" i="13"/>
  <c r="Z296" i="13"/>
  <c r="AE296" i="13" s="1"/>
  <c r="AA296" i="13"/>
  <c r="AF296" i="13" s="1"/>
  <c r="W497" i="13"/>
  <c r="W499" i="13" s="1"/>
  <c r="X497" i="13"/>
  <c r="AE497" i="13" l="1"/>
  <c r="AE499" i="13" s="1"/>
  <c r="AF497" i="13"/>
  <c r="AF499" i="13" s="1"/>
  <c r="AA497" i="13"/>
  <c r="AA499" i="13" s="1"/>
  <c r="Z497" i="13"/>
  <c r="Z499" i="13" s="1"/>
</calcChain>
</file>

<file path=xl/sharedStrings.xml><?xml version="1.0" encoding="utf-8"?>
<sst xmlns="http://schemas.openxmlformats.org/spreadsheetml/2006/main" count="7861" uniqueCount="1553">
  <si>
    <t>Details of Capitalization</t>
  </si>
  <si>
    <t>FY 2022-23</t>
  </si>
  <si>
    <t>FY 2023-24</t>
  </si>
  <si>
    <t>Sl.
No.</t>
  </si>
  <si>
    <t>NIT No.</t>
  </si>
  <si>
    <t>Name of Element (Transmission line, Substation, Bay Extension, etc.)</t>
  </si>
  <si>
    <t>Awarded through ICB/DCB/Department /Deposit Work</t>
  </si>
  <si>
    <t>No. of Bids received</t>
  </si>
  <si>
    <t>Date of Award</t>
  </si>
  <si>
    <t>Actual date of Start of work</t>
  </si>
  <si>
    <t>Original Schedule Date of Completion</t>
  </si>
  <si>
    <t>Original Cost of Project</t>
  </si>
  <si>
    <t>CAPEX Approved in Tariff Orders</t>
  </si>
  <si>
    <t>Mode of Finance</t>
  </si>
  <si>
    <t>Amended Cost of Project</t>
  </si>
  <si>
    <t>Capitalised upto 31.03.2022</t>
  </si>
  <si>
    <t>CAPEX FY 2022-23</t>
  </si>
  <si>
    <t>Capitalization in FY 2022-23</t>
  </si>
  <si>
    <t>IDC Capitalization in FY 2022-23</t>
  </si>
  <si>
    <t>Capitalised upto 31.03.2023</t>
  </si>
  <si>
    <t>Closing CWIP as on 31.03.2023</t>
  </si>
  <si>
    <t>CAPEX FY 2023-24</t>
  </si>
  <si>
    <t>Capitalization in FY 2023-24</t>
  </si>
  <si>
    <t>IDC Capitalization in FY 2023-24</t>
  </si>
  <si>
    <t>Capitalised upto 31.03.2024</t>
  </si>
  <si>
    <t>Closing CWIP as on 31.03.2024</t>
  </si>
  <si>
    <t>95/2014</t>
  </si>
  <si>
    <t>Construction of 220KV D/C transmission line from BTPS to Hajipur, NIT-95/2014</t>
  </si>
  <si>
    <t>DCB</t>
  </si>
  <si>
    <t>BRGF</t>
  </si>
  <si>
    <t>-</t>
  </si>
  <si>
    <t>93/2014</t>
  </si>
  <si>
    <t>State Plan</t>
  </si>
  <si>
    <t>38/2014</t>
  </si>
  <si>
    <t>Construction of Loop In Loop Out arrangement  of 132 KV Tx. line Madhepura- Sonebarsa 132 KV S/C Tx.line on D/C Tower at Saharsa Existing (CKM-40KM) under Special Plan of Phase-III against NIT 38/2014.</t>
  </si>
  <si>
    <t>63/2014</t>
  </si>
  <si>
    <t>Construction of 132/33 KV,  2 x20MVA Nirmali, 2 x 20 MVA, 2 x 20 MVA Banmankhi,  2 x 20 MVA Manihari and 2 x 10 MVA Triveniganj against NIT 63/2014(Package B)</t>
  </si>
  <si>
    <t>04.04.2016(Ni
rmali) 04.04.2016(Tr
iveniganaj) 09.04.2016(Ba
nmankhi) 31.07.2016(M
anihari)</t>
  </si>
  <si>
    <t>92/2014</t>
  </si>
  <si>
    <t>Construction of  2 x50MVA , 132/33KV GSS Araria, Barsoi, Baisi and Dhamdaha AGAINST NIT 92/2014.</t>
  </si>
  <si>
    <t>07/PR/BSPTCL/2016</t>
  </si>
  <si>
    <t>76/PR/BSPTCL/2015</t>
  </si>
  <si>
    <t>Second circuit stringing of Existing 03 Nos. of 132 kV Double Circuit Single Strung Transmission Lines under Transmission Circle, Purnea on Turnkey Basis  against NIT No 76/PR/BSPTCL/2015</t>
  </si>
  <si>
    <t>403/PR/BSPTCL/2013 Pkg A</t>
  </si>
  <si>
    <t>Construction of 132 KV D/C T/L from Motihari (400 KV) to Motihari (BSPTCL)
NIT 403/PR/BSPTCL/2013 Pkg A</t>
  </si>
  <si>
    <t>403/PR/BSPTCL/2013 Pkg B</t>
  </si>
  <si>
    <t>Construction of 132 KV D/C T/L from Motihari (400 KV) to Bettiah NIT 403/PR/BSPTCL/2013
Pkg B</t>
  </si>
  <si>
    <t>403/PR/BSPTCL/2013 Pkg C</t>
  </si>
  <si>
    <t>Construction of 132 KV D/C T/L from Motihari (400 KV) to Raxaul NIT 403/PR/BSPTCL/2013
Pkg C</t>
  </si>
  <si>
    <t>403/2013, VSPL</t>
  </si>
  <si>
    <t>construction of two numbers of 132 KV Line bays each at Bettiah (132/33 KV) GSS and Raxaul (132/33 KV) GSS, NIT-403/2013, VSPL</t>
  </si>
  <si>
    <t>08/2014, ABN</t>
  </si>
  <si>
    <t>Construction of 6 nos of 132/33KV Transformer Bay at Madhubani, Muzaffarpur, Dalsingsarai, Ramnagar, Hajipur and Jandaha , NIT- 08/2014, ABN</t>
  </si>
  <si>
    <t>02/2015, L&amp;T Tx. Line</t>
  </si>
  <si>
    <t>Construction of 220 KV Kishanganj New- Madhepura D/C NIT-02/2015, L&amp;T Tx. Line</t>
  </si>
  <si>
    <t>03/2015, L&amp;T</t>
  </si>
  <si>
    <t>Construction of 220 KV (D/C) Line between Madhepura to Laukhi with AL-59 Conductor(75Km),  NIT-03/2015, L&amp;T</t>
  </si>
  <si>
    <t>27/2015</t>
  </si>
  <si>
    <t>Construction of 220 KV Purnea (PG) – Begusarai D/C Tx. Line NIT-27/2015</t>
  </si>
  <si>
    <t>22/PR/BSPTCL/2015</t>
  </si>
  <si>
    <t>132 KV LILO T/l on one of  the CKT of 132 KV Betia--Dhanha to Ramanagar GSS against NIT No. 22/PR/BSPTCL/2015</t>
  </si>
  <si>
    <t>30/PR/BSPTCL/2017</t>
  </si>
  <si>
    <t>Construction of  3x50MVA , 132/33KV GSS Raghopur against NIT 30/PR/BSPTCL/2017.</t>
  </si>
  <si>
    <t>31/PR/BSPTCL/2017</t>
  </si>
  <si>
    <t>Construction of LILO of one circuit of 132KV Laukahi-Supaul Transmission Line at 132/33 KV GSS Raghopur  against NIT No.
31/PR/BSPTCL/2017</t>
  </si>
  <si>
    <t>15/PR/BSPTCL/2017</t>
  </si>
  <si>
    <t>Construction of 132KV S/C Transmission line on D/C Tower between 132/33KV GSS Rosera and Hasanpur Sugar Mill along- with 01 no. 132KV line bay at 132/33KV GSS Rosera against NIT No.-15/PR/BSPTCL/2017</t>
  </si>
  <si>
    <t>IRF</t>
  </si>
  <si>
    <t>Construction of 02 nos. 132KV line bays each at 132/33KV GSS SKMCH &amp; Sitamarhi under Special Plan/BRGF, Phase- III,Part-I  against NIT No. 07/PR/BSPTCL/2016</t>
  </si>
  <si>
    <t>81/PR/BSPTCL/2014</t>
  </si>
  <si>
    <t>Construction of New 132 KV S/C Transmission Line on D/C Tower from existing Kuseshwarsthan GSS to Benipur GSS (Line length-37 Km), construction of New 132 KV S/C Transmission Line on D/C Tower from 220/132 KV Samastipur GSS to Upcoming Shahpurpatori GSS (Line Length- 31 CKM), LILO of 132 KV S/C of Muzaffarpur –Sitamarhi at Belsand GSS under State Plan on turnkey basis against NIT No.- 81/PR/BSPTCL/2014</t>
  </si>
  <si>
    <t>477/2013</t>
  </si>
  <si>
    <t>Construction of 2 x160+3x50
MVA GSS Musahari(New), NIT-477/2013, Techno</t>
  </si>
  <si>
    <t>Construction of  220 KV &amp; 132 KV D/C Transmission line for evacuation of power from upcoming Motipur GSS, NIT-01/2014, L&amp;T</t>
  </si>
  <si>
    <t>15/2014 (pkg-D)</t>
  </si>
  <si>
    <t>Construction of
(i) 220KV D/C Line from Darbhanga 400/200 KV GSS to to Laukahi (new)GSS
(ii) 220KV D/C Line from Laukahi(new) GSS to Supaul (existing)   Pkg-'D'
GSS, NIT-15/2014 (pkg-D),. L&amp;T</t>
  </si>
  <si>
    <t>Construction of  220 KV &amp; 132 KV D/C Transmission line for evacuation of power from upcoming Musahari GSS NiT-01/2014, Pkg B</t>
  </si>
  <si>
    <t>03/PR/BSPTCL/2014</t>
  </si>
  <si>
    <t>Construction of 220/132/33KV GSS Kishanganj (new) with bay extensions against NIT No.
03/PR/BSPTCL/2014</t>
  </si>
  <si>
    <t>30.07.0214</t>
  </si>
  <si>
    <t>Capacity augmentation of 220/132/33 kV &amp; 132/33 kV Grid Substation  Madhepura, Naugachia,  Vaishali,  Gangwara, Jamui, Ara and Bihta</t>
  </si>
  <si>
    <t>ICB</t>
  </si>
  <si>
    <t>ADB</t>
  </si>
  <si>
    <t>Procurement and construction of 33 KV line bays in form of Indoor VCB panels at 10 nos. of AIS sub-station under transmission circle, Purnea</t>
  </si>
  <si>
    <t>Procurement and construction of 33 KV line bays in form of Indoor VCB panels at 21 nos. of AIS sub-station under transmission circle, Muzaffarpur</t>
  </si>
  <si>
    <t>Procurement and construction of 33 KV line bays in form of Indoor VCB panels at 08 nos. of AIS sub-station under transmission circle, Biharsharif ICB 29</t>
  </si>
  <si>
    <t>183/2013</t>
  </si>
  <si>
    <t>Construction of 220 KV Bihta(new) - Sipara(Patna) D/C transmission line ,220 KV Bihta(new)-Bihta(existing) D/c Transmission line (charged at 132 KV ) and 33 Kv down linking lines from Bihta(new) 220/132/33  KV GSS on tunkey basis. NIT- 183/2013</t>
  </si>
  <si>
    <t>Second circuit stringing of existing 04 nos of 132KV Double circuit Single strung transmission line:-
1)  132KV Biharsharif- Ekangarsarai- Hulasganj(Except
LILO point to Ekangarsasari)(48.14CKM) 2)132KV BIharsharif- Nawada(48.89CKM) 3)132KV BIharsharif- Sheikhpura(38.78CKM) 4)132KV Jamui- sheikhpura(51.9CKM</t>
  </si>
  <si>
    <t>24/Package D-1/ BSPTCL/ADB/16</t>
  </si>
  <si>
    <t>Procurement and Construction of 33KV line bays in form of Indoor VCB panels at 06 nos. of AIS Sub-station under Transmission Circle Bhagalpur against
24/Package D-1/ BSPTCL/ADB/16</t>
  </si>
  <si>
    <t>M-1/ BSPTCL/ADB/16</t>
  </si>
  <si>
    <t>Procurement and Construction for Re- conductoring of 06 nos.132KV Transmission lines against 33/Package M-1/ BSPTCL/ADB/16</t>
  </si>
  <si>
    <t>i) LILO of one ckt. At north of muthani railway station from 132KV D/C Pusouli (New) – Mohania Trans. Line to proposed 3x50 MV Ramgarh GSS (BSPTCL of route length 20Km. ii) LILO of 132KV Line Biharsharif – Nawada D/C Trans. Line – Warsaliganj (New) GSS of Route length 40Kms.iii) LILO of one Ckt. Of 132KV Chhapra – Siwan Transmission Line – Siwan (New) GSS near Darauli of route length 45Kms. Turnkey basis under Under State Plan.</t>
  </si>
  <si>
    <t>Construction of 132KV Lines and 33KV Lines</t>
  </si>
  <si>
    <t>Construction of 220KV  Lines</t>
  </si>
  <si>
    <t>Procurement and Construction of 33KV line bays in form of Indoor VCB panels at 14 nos. of AIS Sub-station under Transmission
Circle DOS</t>
  </si>
  <si>
    <t>Construction of 33 kV Line Bays in form of Indoor GIS Panel at 11 nos. of AIS Substation under Patna District of BSPTCL on Turnkey Basis.</t>
  </si>
  <si>
    <t>Re-conductoring of 05 nos. 220KV &amp; 132KV Transmission lines -- 254.99 Ckm</t>
  </si>
  <si>
    <t>Supply, Installation, Implementation, Configuration and Integration of ERP system in BSPTCL</t>
  </si>
  <si>
    <t>12/PR/BSPTCL/2016 Pkg-B</t>
  </si>
  <si>
    <t>Construction of   LILO line on both circuits of 132 KV BTPS- Purnea D/C Transmission line at Khagariya new 220/132/33 KV GSS (CKM-10 KM)  against NIT 12/PR/BSPTCL/2016 Pkg-B under state plan.</t>
  </si>
  <si>
    <t>59/2014</t>
  </si>
  <si>
    <t>Construction of 132KV D/C
Sonenagar (New)-Aurangabad Transmission Line.NIT-59/2014,</t>
  </si>
  <si>
    <t>Construction of 132KV D/C Ara-Jagdishpur Transmission Line.</t>
  </si>
  <si>
    <t>Work of construction of 06 nos. of 132 KV D/C towers from Ara (PG) to tower loc. No. 1 with ACSR Panther Conductor for connectivity of 2nd circuit of 132 KV D/C Ara (PG)- Jagdishpur Transmission line on turnkey basis.</t>
  </si>
  <si>
    <t>Replacement of 23 nos. 50 MVA and 01 no 20 MVA transformer by 24 nos. 132/33 KV, 80 MVA transformer along with associated bay work in existing GSS of Patna</t>
  </si>
  <si>
    <t>Procurement &amp; Construction of 33Kv Line Bays in Form of Indoor VCB Panel at 14 Nos AIS Substation  Under DOS ICB 28</t>
  </si>
  <si>
    <t>Tr. Line Dumraon- Buxer/Sasaram-Banjari, NIT- 73/2015</t>
  </si>
  <si>
    <t>103/2014, GR 1</t>
  </si>
  <si>
    <t>Extension of switcyard of 220/132 KV GSS Madhepura for Capicity Augmentation work , NIT-103/2014, GR 1</t>
  </si>
  <si>
    <t>For Construction of 132 KV D/C Electrical crossing (Dalsingsarai-Kusheshwarsthan) Trans. Line.</t>
  </si>
  <si>
    <t>Being amount pertaining to capacity augmentation of 132/33 KV GSS Karmanasa and Sonenagar., NIT-387/2013 A &amp;B</t>
  </si>
  <si>
    <t>R&amp;M of 132/33 Kv GSS Sone- Nagar,Karmnasha,Ara and Dumraon, NIT- 427/2013, Pkg C</t>
  </si>
  <si>
    <t xml:space="preserve">04.03.2014 </t>
  </si>
  <si>
    <t xml:space="preserve">03.03.2015 </t>
  </si>
  <si>
    <t>06/2014</t>
  </si>
  <si>
    <t>Erection of 03 nos. 132/33 KV Transformer  Bays at GSS Rajgir, Ekangarsarai &amp; Sheikhpura  , NIT- 06/2014</t>
  </si>
  <si>
    <t>09/2014</t>
  </si>
  <si>
    <t>Construction of  03 no 132/33 Kv Transformer Bays at GSS Sasaram, Bikramganj &amp; Banjari, NIT- 09/2014</t>
  </si>
  <si>
    <t>13/2014</t>
  </si>
  <si>
    <t>Earth filling and construction of boundry wall of proposed land for 220/132/33 KV GSS Kishanganj under BRGF Ph-III Part-II, NIT- 13/2014</t>
  </si>
  <si>
    <t>134/2013</t>
  </si>
  <si>
    <t>SCT Limited, NIT-134/2013</t>
  </si>
  <si>
    <t>60/2014</t>
  </si>
  <si>
    <t>78/2014</t>
  </si>
  <si>
    <t>construction of 132/33 KV GSS of 02 nos. 132 Kv line bays each at 132/33 KV GSS ramnagar, Dalsingsarai &amp; Dhanaha, nit-78/2014</t>
  </si>
  <si>
    <t>09.02.2015</t>
  </si>
  <si>
    <t>08.02.2016</t>
  </si>
  <si>
    <t>404/2013</t>
  </si>
  <si>
    <t>Earth Filling and Construction of Boundry Wall around the acquired Area of 132/33 KV GSS Sheohar, NIT-404/2013</t>
  </si>
  <si>
    <t>408/2013</t>
  </si>
  <si>
    <t>Construction of 02 Nos 132 KV line bays extension at Sonenagar existing 132/33 kv GSS, NIT-408/2013</t>
  </si>
  <si>
    <t>05/2015, GR-03</t>
  </si>
  <si>
    <t>3'6'' height raising of boundary wall at 132/33 kV GSS campus Hajipu, NIT-05/2015, GR-03</t>
  </si>
  <si>
    <t>05/2015</t>
  </si>
  <si>
    <t>Increasing height of Boundary Wall at GSS Forbesgan,NIT-05/2015</t>
  </si>
  <si>
    <t>37/2015, Pkg B</t>
  </si>
  <si>
    <t>Construction Bay at GSS Begusarai,, Kishanganj, Sonebasha and Pusauli NIT-37/2015, Pkg B</t>
  </si>
  <si>
    <t>37/2015, Pkg A</t>
  </si>
  <si>
    <t>Construction Bay at GSS Begusarai,and Bikramganj NIT-37/2015, Pkg A</t>
  </si>
  <si>
    <t>15/2014 B</t>
  </si>
  <si>
    <t>Construction of LILO of both circuits of 220 KV Begusarai Kanti transmission line by constructing new 2X220 KV D/C transmission line to be connected  with new 220/132/33 KV GSS Samastipur, NIT-15/2014 B</t>
  </si>
  <si>
    <t>160/2013 Pkg A &amp;B</t>
  </si>
  <si>
    <t>1)construction of newe 132KV D/C Line from banka PG-Sulatanganj of route length 45 KMs along with construction of 02 nos of 132KV Bays at GSS Sulatabganj , 2) Construction of new 132 KV DC Trans Line (line length -26 KM) from GSS Lakhisarai (PG) to GSS Lakhisarai (BSPTCL0) including construction of 2 nos. 132 KV bays and PLCC and complete in all respect , NIT-160/2013 Pkg A &amp;B</t>
  </si>
  <si>
    <t>161/2013 Pkg A &amp; D</t>
  </si>
  <si>
    <t>161/2013 Pkg B&amp;C</t>
  </si>
  <si>
    <t>Re condutoring of 132 KV SC Purnea Khagaria transmission line against with ACSR panther conductor , NIT-161/2013 Pkg B&amp;C</t>
  </si>
  <si>
    <t>162/2013, Pkg A&amp;C</t>
  </si>
  <si>
    <t>Work of reconducting of 132 KV D/C MTPS - Muzaffarpur Trans Line and 132 KLV S/C MTPS Motihari Trans Line,Chapra line &amp; Betiah Line , NIT-162/2013, Pkg A&amp;C</t>
  </si>
  <si>
    <t>162/2013, Pkg B</t>
  </si>
  <si>
    <t>1. reconstruction of 132/33 KV S/C Darbhanga Pandaul transmission line and 132 KV S/C Darbhanga Samastipur transmission line 2.Reconducting of 132 KV S/C Darbhanga Pandaul Trans line and 132 KV S/C Darbhanga Samastipur line , NIT-162/2013, Pkg B</t>
  </si>
  <si>
    <t>47/2014</t>
  </si>
  <si>
    <t>construction of (i) 2nd circuit stringing of 132 KV D/c Madhepura-Saharsa trans line from LILO point to 132/33 KV GSS saharsa. (ii) LILO of one circuit of 132 KV D/C Dhaka-Sitamarhi tran line at GSS Seohar. NIT-47/2014</t>
  </si>
  <si>
    <t>168/2013, Pkg A</t>
  </si>
  <si>
    <t>Reconductoing of 220 KV Bihar Sharif to Fatuha Line, NIT-168/2013, Pkg A</t>
  </si>
  <si>
    <t>18/2015</t>
  </si>
  <si>
    <t>Construction of 132 KV DC trans line with ACSR panther conductor from Ramnagar to Gangwara, NIT-18/2015</t>
  </si>
  <si>
    <t>185/2013</t>
  </si>
  <si>
    <t>work of augmentation of 132/33 KV GSS Bodhgaya,Sipara,Fatuha, Madhepura, darbhanga,Gopalganj &amp; Begusarai.  NIT- 185/2013</t>
  </si>
  <si>
    <t>427/2013, Pkg A</t>
  </si>
  <si>
    <t>R &amp; M work at 132/33 KV GSS Chandauti Nawada &amp; Rafiganj, NIT-427/2013, Pkg A</t>
  </si>
  <si>
    <t>429/2013 A</t>
  </si>
  <si>
    <t>Construction of new 132 KV DC Trans Line  from GSS Lakhisarai (PG) to GSS Jamui (BSPTCL) of route length  48 KM along with construction of  02 nos. 132 bays at GSS Jamui , NIT- 429/2013 A</t>
  </si>
  <si>
    <t>429/2013 B</t>
  </si>
  <si>
    <t>Reconductoing of 132 KV Kahalgaon (NTPC) to Kahalgaon, NIT-429/2013 B</t>
  </si>
  <si>
    <t>186/2013</t>
  </si>
  <si>
    <t>Capacity augmentation of 220/132 KV GSS Bodhgaya &amp; Sipara by installing additional one no 160 MVA and at Fatuha, Madhepura Begusarai (02 nos.), Gopalganj, Darbhanga ,by installing additional one no. 100 MVA Transformer at each GSS and constructing corresp, work of augmentation of 132/33 KV GSS Khagaul, Bihta, Sitamarhi, Ara Nawada, Sabour, Navgachhiya, Jainagar Phulparas, supaul, Dhaka, &amp; Belaganj. NIT-186/2013</t>
  </si>
  <si>
    <t>09.12.2013</t>
  </si>
  <si>
    <t>08.03.2015</t>
  </si>
  <si>
    <t>21/2015</t>
  </si>
  <si>
    <t>Construction of 2*50MVA. 132/33kv GSS at Sheohar , NIT-21/2015</t>
  </si>
  <si>
    <t>24/2015</t>
  </si>
  <si>
    <t>Double Moose Conductor  along with thier hardware fitting at GSS Motihari, NIT- 24/2015</t>
  </si>
  <si>
    <t>350/2013</t>
  </si>
  <si>
    <t>Earth filling &amp; construction of boundary wall in proposed new 220/132/33 KV GSS Sonengar. NIT-350/2013</t>
  </si>
  <si>
    <t>36/2015</t>
  </si>
  <si>
    <t>Construction of LILO line on both circuits of 132KV 2nd Circuit Benipatti-Pupri Trans.
Line,Jandaha-Mahnar T/L.,Bettiah-Ramnagar Trans. Line, Dalsinghsarai- K. Sthan T. L. Gopalganj-Bettiah Trans. Line,Madhubani- Jaynagar T/L, NIT 36/2015 under state plan.</t>
  </si>
  <si>
    <t>32/2016 Gr 1 &amp; c2</t>
  </si>
  <si>
    <t>Civil construction of 132/33 Kv GSS SKMCH, Nit-32/2016 Gr 1 &amp; c2</t>
  </si>
  <si>
    <t>20/2016</t>
  </si>
  <si>
    <t>Nit-20/2016</t>
  </si>
  <si>
    <t>28/2011</t>
  </si>
  <si>
    <t>Construction of 4X50MVA 132/33 KV GSS Karbighhiya of 132/33 KV D/C cable lines including switching station., NIT-28/2011</t>
  </si>
  <si>
    <t>21/2016</t>
  </si>
  <si>
    <t>Construction of Doubl Storey Guest House building  at 132/33Kv GSS Triveniganj,NIT- 21/2016</t>
  </si>
  <si>
    <t>13/2016, GR-01</t>
  </si>
  <si>
    <t>Extension of Boundary Wall including Soil Filling and PCC Road at 132/33Kv GSS Raxaul, NIT-13/2016, GR-01</t>
  </si>
  <si>
    <t>104/2014, Gr-5</t>
  </si>
  <si>
    <t>PCC road &amp; Gravel Spreading GSS Khagaria, NIT-104/2014, Gr-5</t>
  </si>
  <si>
    <t>104/2014, Gr-1</t>
  </si>
  <si>
    <t>For the work of  PCC and Gravel spreading is working area of switchyard at 132/33 KV GSS Kishanganj, NIT-104/2014, Gr-1</t>
  </si>
  <si>
    <t>104/2014, Gr-2</t>
  </si>
  <si>
    <t>PCC and Gravel spreading is working area of switchyard at 132/33 KV GSS Udakishanganj, NIT-104/2014, Gr-2</t>
  </si>
  <si>
    <t>104/2014, Gr 8</t>
  </si>
  <si>
    <t>For the work of Earth filling &amp; Construction of boundary wall around the periphery of acquired land for 132/33 KV Gss Campus Kataiya, NIT- 104/2014, Gr 8</t>
  </si>
  <si>
    <t>11/2015, Gr 2</t>
  </si>
  <si>
    <t>Construction of North, South &amp; West Side boundry wall at GSS Katra under State Plan, NIT 11/2015, Gr 2</t>
  </si>
  <si>
    <t>41/2015, Pkg A</t>
  </si>
  <si>
    <t>Construction of 15ft Wide PCC Road at 132/33KV GSS Hathidah, NIT-41/2015, Pkg A</t>
  </si>
  <si>
    <t>71/2014</t>
  </si>
  <si>
    <t>R &amp; M of 132/33 KV GSS Sitamarhi Ramnagar Pandaul Chapra Siwan, NIT-71/2014</t>
  </si>
  <si>
    <t>21.03.2015</t>
  </si>
  <si>
    <t>20.03.2016</t>
  </si>
  <si>
    <t>16/2016</t>
  </si>
  <si>
    <t>Construction of 2No.132KV line bays each at 132/33 KV  GSS Banka (old) and Jammu (old) total 4 No.s of Bay, NIT- 16/2016</t>
  </si>
  <si>
    <t>18/2016</t>
  </si>
  <si>
    <t>Construction of 132Kv D/C Transmission Line from Banka- Banka(New),NIT-18/2016</t>
  </si>
  <si>
    <t>24/2014</t>
  </si>
  <si>
    <t>NIT-24/2014</t>
  </si>
  <si>
    <t>26/2015</t>
  </si>
  <si>
    <t>Work of Assembly of 50 MVA Transformer including all work of erection ,testing and Commissioning'at GSS Purnea, Arraia, Dhamdaha, Dalsinghsarai, Pandaul, Madhubani, NIT-26/2015</t>
  </si>
  <si>
    <t>350/200/2013</t>
  </si>
  <si>
    <t>Eart Filling &amp; Construction of Boundary wall Around the land of 220/132/33 KV GSS, Sonenagar, NIT-350/200/2013</t>
  </si>
  <si>
    <t>26/2015, GR 3</t>
  </si>
  <si>
    <t>Reconstruction of Boundary Wall at 132/33KV GSS Samastipur NIT-26/2015, GR 3</t>
  </si>
  <si>
    <t>26/2015 Gr 4</t>
  </si>
  <si>
    <t>Construction of Drainage system at 132/33 KV GSS Campur Arrah NIT-26/2015 Gr 4</t>
  </si>
  <si>
    <t>26/2016, GR 4</t>
  </si>
  <si>
    <t>Construction of Double storied control room building including electrical illumination &amp; fitting at 132/33kv GSS Kataiya NIT-26/2016, GR
4</t>
  </si>
  <si>
    <t>90/2015</t>
  </si>
  <si>
    <t>Construction of 2x50 MVA, 132/33 KV GSS at Bhabhua , NIT-90/2015</t>
  </si>
  <si>
    <t>Construction of associated 132 KV line Bays (No. of Bays-05) for second Circuit Stringing of  existing 132 KV double Circuit Single Strung NIT No. 02/PR/BSPTCL/2016/State Plan</t>
  </si>
  <si>
    <t>315/2013</t>
  </si>
  <si>
    <t>Work of capacity augmentation of 132/33GSS Forbesganj,Katihar, Kishanganj , and Saharsa NIT No. 315/2013</t>
  </si>
  <si>
    <t>03.12.2013</t>
  </si>
  <si>
    <t>02.03.2015</t>
  </si>
  <si>
    <t>301/2015</t>
  </si>
  <si>
    <t>capacity augmention of 220/132/33KV GSS Bodh Gaya, NIT-301/2015</t>
  </si>
  <si>
    <t>427/2013 D</t>
  </si>
  <si>
    <t>R&amp;M work of 132/33 KV GSS at Sultanganj, Sabour &amp; Kahalgaon. NIT-427/2013 D</t>
  </si>
  <si>
    <t>04.03.2014</t>
  </si>
  <si>
    <t>03.03.2015</t>
  </si>
  <si>
    <t>427/2013 Pkg-E</t>
  </si>
  <si>
    <t>R&amp;M Work of 132/33 Kv GSS Saharsha and Katihar NIT No. 427/2013 Pkg-E</t>
  </si>
  <si>
    <t>31/2015</t>
  </si>
  <si>
    <t>Construction of Tr Ln Purnea - Saharsha NIT No. 31/2015</t>
  </si>
  <si>
    <t>168/2014, Pkg B</t>
  </si>
  <si>
    <t>Re-condunctoring of220 KV D/C Biharsharif- Bodhgaya Transmission Line, NIT-168/2014, Pkg B</t>
  </si>
  <si>
    <t>89/2013</t>
  </si>
  <si>
    <t>Earth Filling and Construction Of Boundary wall of Proposed land for 220/132/33KV GSS Supaul (Laukahi), NIT-89/2013</t>
  </si>
  <si>
    <t>467/2013</t>
  </si>
  <si>
    <t>Earth Filling and Construction Of Boundary wall of Proposed land for 220/132/33KV GSS Samastipur, NIT-467/2013</t>
  </si>
  <si>
    <t>28/2016</t>
  </si>
  <si>
    <t>Construction of drain along road and expended metalfencing in area of proposed 132 KV line Kv GSS jandaha NIT No. 28/2016</t>
  </si>
  <si>
    <t>482/PR/BSPTCL/2013</t>
  </si>
  <si>
    <t>Construction Of 132 KV bay Extension at remote at GSS samastipur NIT No.- 482/PR/BSPTCL/2013</t>
  </si>
  <si>
    <t>97/2015</t>
  </si>
  <si>
    <t>Construction of Bays at GSS Gaihat, 97/2015</t>
  </si>
  <si>
    <t>Being consultancy charge paid to PGCIL for towards construction of 02 nos. 132 KV bays at 400/220 KV GSS Banka (PG) for evacuation of power from 400/220 KV Banka (PG)</t>
  </si>
  <si>
    <t>Capital Expenditure - Deposit Works</t>
  </si>
  <si>
    <t>01/2015</t>
  </si>
  <si>
    <t>Constriction of 132 KV SC trans line on DC tower from GSS Dalsinghsarai to TSS Bachwara and construction of 01 no. 132 KV line bay at Dalsinghsarai GSS to feed power to TSS Bachwara , NIT-01/2015</t>
  </si>
  <si>
    <t>181/2011</t>
  </si>
  <si>
    <t>Augmentation of 132 KV GSS Kahalgaon by 1 X 50 MVA 132/33 KV power transformer and construction of one no. 132 KV bay and 03 nos. 33 KV bays , NIT-181/2011</t>
  </si>
  <si>
    <t>23/2013</t>
  </si>
  <si>
    <t>Augmentation of 132 KV GSS Kahalgaon by 1 X 50 MVA 132/33 KV power transformer and construction of one no. 132 KV bay and 03 nos. 33 KV bays , NIT-23/2013</t>
  </si>
  <si>
    <t>Construction of  132KV traction transmission   line (2-phase strung) on D/C tower with ACSR panther conductor between GSS Runnisaidpur &amp; TSS Bajpatti GSS Narkatiyaganj-TSS Raxaul GSS Dhaka - TSS Bairgania , NIT-27/2018</t>
  </si>
  <si>
    <t>29/2016</t>
  </si>
  <si>
    <t>Construction of 132 KV D/C transmission Line over river crossing span with ACSR Panther conductor on turnkey basis , NIT-29/2016</t>
  </si>
  <si>
    <t>49/2016</t>
  </si>
  <si>
    <t>for supply/delivery of equipments required for shifting/height raising of  132KV D/C transmission line(Sonenagar-Garhwa-Rihand)
,NIT-49/2016</t>
  </si>
  <si>
    <t>77/2014</t>
  </si>
  <si>
    <t>Construction of 132 KV L4 &amp; L5 line Bays at BTPS after dismentling old existing bays on turnkey basis, NIT-77/2014</t>
  </si>
  <si>
    <t>98/2015</t>
  </si>
  <si>
    <t>Dismantling of 04 nos. Towers of 132 KV SC trans line from LOC No. 254 to 257 and its rerouting and   construction of 01 Nos 132 KV line bay at GSS Madhepura, NIT-98/2015</t>
  </si>
  <si>
    <t>13.06.2016</t>
  </si>
  <si>
    <t>12.03.2017</t>
  </si>
  <si>
    <t>Other Misc. Deposit</t>
  </si>
  <si>
    <t>Deposit-Office Equipment</t>
  </si>
  <si>
    <t>Construction of 2 nos. 132KV Line Bays at 132/33kv GSS Musrakh, NIT-20/2016</t>
  </si>
  <si>
    <t>04/2017</t>
  </si>
  <si>
    <t>Construction Of 132KV two phase railway trans. Line from 132/33 KV GSS Nalanda To TSS Nalanda (Approx 06KM) and construction of 01 no. dedicated 132kv line bay at 132/33KV
Nalanda, NIT-4/2017</t>
  </si>
  <si>
    <t>Building WIP</t>
  </si>
  <si>
    <t>Office Eqipment'</t>
  </si>
  <si>
    <t>Land</t>
  </si>
  <si>
    <t>Common Pool</t>
  </si>
  <si>
    <t>22/PR/BSPTCL/2017</t>
  </si>
  <si>
    <t>Furniture (22/PR/BSPTCL/2017)</t>
  </si>
  <si>
    <t>NIT-11/2016, construction of two no 33 KV line bays Grid Sub-Station at Supaul on turnkey basis</t>
  </si>
  <si>
    <t xml:space="preserve">04.05.2016 </t>
  </si>
  <si>
    <t>03.10.2016</t>
  </si>
  <si>
    <t>58/PR/BSPCL/2015</t>
  </si>
  <si>
    <t>33KV line bay at GSS Raxaul for 33/11 KV PSS Maina Tand (58/PR/BSPCL/2015)</t>
  </si>
  <si>
    <t>33/PR/BSPTCL/2017</t>
  </si>
  <si>
    <t>Construction of four nos of 132KV single circuit transmission line (2-phase strung) from GSS Motipur to TSS Mahawal, GSS Motihari to TSS Jivdhara, GSS Bettiah to TSS Majhaulia and GSS Ramnagar to TSS Harinagar (33/PR/BSPTCL/2017)</t>
  </si>
  <si>
    <t>34/PR/BSPTCL/2017</t>
  </si>
  <si>
    <t>power supply from GSS Motipur to Mahaval, GSS Motihari to TSS Jivdhara, GSS Bettiah to TSS Majhaulia, GSS Ramnagar to TSS Harinagar (34/PR/BSPTCL/2017)</t>
  </si>
  <si>
    <t>35/PR/BSPTCL/2017</t>
  </si>
  <si>
    <t>36/2017, Gr-04</t>
  </si>
  <si>
    <t>Special repair and maintenance of B &amp;C type quarter, Guard Room, Parking  Shed and control room building at  132/33 KV GSS Dhaka, NIT- 36/2017, Gr-04</t>
  </si>
  <si>
    <t>10/PR/BSPCL/2015</t>
  </si>
  <si>
    <t>for transportation, insurance, installation  erection incuding associated civil works testing and commissioning and performance Testing for construction of 132 KV line bays, one at sabour &amp; Banka (10/PR/BSPCL/2015)</t>
  </si>
  <si>
    <t>16/PR/BSPCL/2017</t>
  </si>
  <si>
    <t>Supply and installation of 138 nos. 2T 5star split Air-   conditioner with sablizer and A.C. Wiring at 46 nos. GSS i.e. 03 nos. 2T 5star split Air- Conditioners each at 46 nos GSS (16/PR/BSPCL/2017)</t>
  </si>
  <si>
    <t>26/PR/BSPCL/2017</t>
  </si>
  <si>
    <t>design, manufacture, testing ,supply and delivery of 33 KV Current Transformers of different rating  (26/PR/BSPCL/2017)</t>
  </si>
  <si>
    <t>33/PR/BSPCL/2016</t>
  </si>
  <si>
    <t>for erection and commissioning of 27 No’s. ACDB and 28 No’s DCDB (for 40 Nos. feeder((33/PR/BSPCL/2016)</t>
  </si>
  <si>
    <t>40/PR/BSPTCL/2017 Package-B</t>
  </si>
  <si>
    <t>for procurement of different type and Sizes of Power &amp; Control Cables and cable termination kits package B:-33KV and 132KV cables &amp; termination kit (40/PR/BSPTCL/2017 Package-B
)</t>
  </si>
  <si>
    <t>53/2016</t>
  </si>
  <si>
    <t>for supply and retrofifitting/installation of differential protection relay to be used in Grid Sub-Station of BSPTCL, NIT-53/2016</t>
  </si>
  <si>
    <t>96/2016</t>
  </si>
  <si>
    <t>Restoration work of collapsed tower of 132 KV DC Kahalgoan-Sultanganj Trans. Line., NIT- 96/2016</t>
  </si>
  <si>
    <t>98/PR/BSPTCL/2015</t>
  </si>
  <si>
    <t>supply of equipment and material for Construction of one no 33 KV Grid Sub-Station at Raxual for 33/11 KV PSS Mainatand (98/PR/BSPTCL/2015)</t>
  </si>
  <si>
    <t>Misc. Others IRF</t>
  </si>
  <si>
    <t>Computer &amp; Accessories</t>
  </si>
  <si>
    <t>Procurement and Construction of 220/132KV Sub-station at Pusauli and addittional 02 nos. of 220KV bays at existing Dehri Grid Sub-station</t>
  </si>
  <si>
    <t>36/2017, Gr-01</t>
  </si>
  <si>
    <t>Special repair and maintenance of division office and construction of 1 unit septic tanks at 132/33 KV Campus, Motihari NIT-36/2017, Gr-01</t>
  </si>
  <si>
    <t>10/PR/BSPTCL/2020</t>
  </si>
  <si>
    <t>For Re-Construction of Damaged Eastern Side Boundary Wall at 132/33Kv GSS, Digha. , 10/PR/BSPTCL/2020</t>
  </si>
  <si>
    <t>102/PR/BSPTCL/2018</t>
  </si>
  <si>
    <t>Local sand filling , PCC and Gravel work in switchyard at 132/33 KV GSS Mithapur, 102/PR/BSPTCL/2018 Sl. No-02</t>
  </si>
  <si>
    <t>11/PR/BSPTCL/2018</t>
  </si>
  <si>
    <t>Earth Filling and Construction of Boundary wall with espanded metal fencing for construction of 02 nos. 132 kV line bay at 132/33 kv GSS Supaul, 11/PR/BSPTCL/2018</t>
  </si>
  <si>
    <t>99/PR/BSPTCL/2018</t>
  </si>
  <si>
    <t>Supply &amp; Installation of Furniture in different GSS, 99/PR/BSPTCL/2018</t>
  </si>
  <si>
    <t>115/PR/BSPTCL/2018</t>
  </si>
  <si>
    <t>117/PR/BSPTCL/2018</t>
  </si>
  <si>
    <t>123/PR/BSPTCL/2018</t>
  </si>
  <si>
    <t>Construction of cable trench in switchyard at 220/132/33 KV Super Grid Biharsharif,
123/PR/BSPTCL/2018</t>
  </si>
  <si>
    <t>13/PR/BSPTCL/2018</t>
  </si>
  <si>
    <t>Special repair and maintance of GM cum CE residence (A type) including electrical work at 132/33 KV GSS muzaffarpur, 13/PR/BSPTCL/2018</t>
  </si>
  <si>
    <t>13/PR/BSPTCL/2019</t>
  </si>
  <si>
    <t>132/PR/BSPTCL/2018</t>
  </si>
  <si>
    <t>construction of store shed at campus of transmission circle office sabour, Bhagalpur , 132/PR/BSPTCL/2018</t>
  </si>
  <si>
    <t>14/PR/BSPTCL/2018</t>
  </si>
  <si>
    <t>41/PR/BSPTCL/2019</t>
  </si>
  <si>
    <t>Renovation work of IB including Electrical wiring &amp; Supply of Furniture at 132/33 KV GSS Muzaffarpur, 41/PR/BSPTCL/2019</t>
  </si>
  <si>
    <t>97/PR/BSPTCL/2018</t>
  </si>
  <si>
    <t>For enovation of Store -1 and 2 for transmission Division T&amp;C Division &amp; L&amp;M Division office at 132/33Kv GSS Chhapra., 97/PR/BSPTCL/2018, Sl.No.:-02</t>
  </si>
  <si>
    <t>20/2019</t>
  </si>
  <si>
    <t>2 Phase TR Line from Sabour-to Sabour TSS , NIT-20/2019</t>
  </si>
  <si>
    <t>Const of Line bay at GSS Pandaul &amp; Rosera , NIT- 24/2018</t>
  </si>
  <si>
    <t>Completed</t>
  </si>
  <si>
    <t>Furniture &amp; Electrical Wiring in E-type quarter at division &amp; LMSD office at Jahanabad (116/PR/BSPTCL/2018)</t>
  </si>
  <si>
    <t>Requirement of furniture for newly constucted control room &amp; inspection room at 132/33 Kv GSS Kataiya NIT 05/2020</t>
  </si>
  <si>
    <t>NIT-12/PR/BSPTCL/2014</t>
  </si>
  <si>
    <t>Darbhanga to Darbhanga &amp; Darbhanga to Samastipur Tr. Line(15/PR/BSPTCL/2014 pkg- A)</t>
  </si>
  <si>
    <t>Procurement of 01 No. 100MVA 220/132 KV Power Transformer for Hajipur,
18/PR/BSPTCL/2014</t>
  </si>
  <si>
    <t>capitalisation of construction of 132 KV D/C Transmission Line with ACSR Panther Conductor between Dalsinghsarai to Kusheswarsthan (59.481 KM)., 20/PR/BSPTCL/2014 PKG B</t>
  </si>
  <si>
    <t>2nd Circuit Stringing of 132 KV Muzaffarpur to Vaishali and 132 KV Bettiah to Raxaul and 132 KV Motihari to Dhaka to Sitamarhi, 234/PR/BSPTCL/2013, PKG A,B,C</t>
  </si>
  <si>
    <t>Work of augmentation of 132/33 KV GSS Sultanganj, Kahalgaon &amp; Banka., 322/PR/BSPTCL/2013, Pkg-A,</t>
  </si>
  <si>
    <t>Aug of GSS 132/33Kv HJP,Pandaul,G-Ganj, Swn, Moti, 322/PR/BSPTCL/2013, Pkg-B,</t>
  </si>
  <si>
    <t>Interest on Loan ADB</t>
  </si>
  <si>
    <t>Crop Compensation against Unidentified NIT</t>
  </si>
  <si>
    <t>As per Reconciliation</t>
  </si>
  <si>
    <t>Railway Charges against Unidentified NIT</t>
  </si>
  <si>
    <t>220/132/33 KV GSS Gaurichak patna under state plan, 01/PR/BSPTCL/2018  Gr. No.-01</t>
  </si>
  <si>
    <t>Const of 1 NO Bay at Banka GS an Supervision Charge for 10MW SolarPV Project at Banka</t>
  </si>
  <si>
    <t>Misc Civil Work at GSS Banmankhi, 50/PR/BSPTCL/2016 GRrNo 04</t>
  </si>
  <si>
    <t>Construction of 220/132 Kv GSS , Darbhanga, 42/PR/BSPTCL/2014, Gr-03</t>
  </si>
  <si>
    <t>Construction of 220/132/33 Kv GSS Gaurichak, 42/PR/BSPTCL/2016- GR 04</t>
  </si>
  <si>
    <t>Supply of Automatic Relay Test Kit at Central Store Fatuha, 23/PR/BSPTCL/2015</t>
  </si>
  <si>
    <t>Line Work at Madhubnai-Jainagar, Madhubni- Pandaul, 75/PR/BSPTCL/2015</t>
  </si>
  <si>
    <t>Const. Of Boundry Wall at GSS Chandauti &amp; Maintenance of quarter at GSS Bodhgaya, 90/PR/BSPTCL/2015 Gr No.-11</t>
  </si>
  <si>
    <t>Maintenance of Quarter at Dumraon GSS, 90/PR/BSPTCL/2015 Gr No.-10</t>
  </si>
  <si>
    <t>Maintenance of Qr at GSS Biharsharif, 90/PR/BSPTCL/2015 Gr. No.;-18</t>
  </si>
  <si>
    <t>Cons. Of Drainage System at 132/33 KV GSS,Ara, 90/PR/BSPTCL/2015 Gr-06</t>
  </si>
  <si>
    <t>Construction of Boundry Wall along with entry road , 32/PR/BSPTCL/2016 GR-02</t>
  </si>
  <si>
    <t>Special repair &amp; maintenance of quater of E-8 &amp; F-12 type of total 20 nos. at 132/33 KV GSS Hathidah, Biharsharif, 90/PR/BSPTCL/2015 Gr- 17</t>
  </si>
  <si>
    <t>Construction of Boundry Wall and PCC Road at GSS Gopalganj, 90/PR/BSPTCl/2015 Gr-05</t>
  </si>
  <si>
    <t>Repair &amp; Maintenance of Quarter &amp; Office Building at GSS Muzaffarpur, 90/PR/BSPTCL/2015 Gr No.-01</t>
  </si>
  <si>
    <t>Special R&amp;M of 13 Quarter at GSS Motihari, 90/PR/BSPTCL/2015, Gr-02</t>
  </si>
  <si>
    <t>Reconstruction of Boundary Wall &amp; Earth Filling
)(GSS Sabour, 06/PR/BSPTCL/2014 Gr. No.:-01</t>
  </si>
  <si>
    <t>PCC Road)(GSS Kataiya, 75/PR/BSPTC/2014 Gr- 02</t>
  </si>
  <si>
    <t>Providing PCC and gravel spreading in working area of switchyard at 132/33 KV GSS Muzaffarpur, 53/PR/BSPTCL/2015 Gr. No-03</t>
  </si>
  <si>
    <t>Providing PCC and gravel spreading in working area of switchyard at 132/33 KV GSS Bettaih, 89/PR/BSPTCL/2014 Gr No-04</t>
  </si>
  <si>
    <t>Reconductoring of Fatuha-Gaighat(D/C) Trans.Line, 82/PR/BSPTCL/2015</t>
  </si>
  <si>
    <t>Construction of PCC Road for 132/33Kv GSS Khagaria, 55/PR/BSPTCL/2014 GR No. 02</t>
  </si>
  <si>
    <t>PCC Road)(GSS Pandaul, 53/PR/BSPTCL/2014 Gr-02</t>
  </si>
  <si>
    <t>Construction of Boundry Wall at GSS Belaganj,Gaya, 90/PR/BSPTCL/2015 Gr no-21</t>
  </si>
  <si>
    <t>Special repair &amp; maintenance of quater of E-8 &amp; F-8 type of 16 nos. at 132/33 KV GSS Arrah, 90/PR/BSPTCl/2015 Gr-09</t>
  </si>
  <si>
    <t>PCC Road &amp; Gravel spreading at GSS Gaurichak, 08/PR/BSPTCL/2016</t>
  </si>
  <si>
    <t>PCC Road at GSS Supaul</t>
  </si>
  <si>
    <t>Special repair &amp; Maintance of Quaters of C-1 , D- 3 and F-30 type of total 34 nos. at 132/33 KV GSS Birpur, 90/PR/BSPTCL/2015 Gr No.-14</t>
  </si>
  <si>
    <t>Special repair &amp; Maintance of Quaters of KF-4, KH-11 and KL-11 type of total 26 nos. at 132/33 KV GSS Kataiya, 90/PR/BSPTCL/2015 Gr No.- 15</t>
  </si>
  <si>
    <t>Civil Work at GSS Katihar, 89/PR/BSPTCL/2014 Gr No 05</t>
  </si>
  <si>
    <t>Boundary Wall)(GSS Ramnagar, 75/PR/BSPTCL/2014 Gr-01</t>
  </si>
  <si>
    <t>Extn of Control Room, GSS Muzaffarpur, 94/PR/BSPTCL/2015</t>
  </si>
  <si>
    <t>Special repair &amp; maintenance of quater of E-4 &amp; F-8 type of 12 nos. at 132/33 KV GSS Jamalpur, 90/PR/BSPTCL/2015 Gr-24</t>
  </si>
  <si>
    <t>Supply of 590Kl of EHV Grade Transformer oil, NIT-118/2013</t>
  </si>
  <si>
    <t>Unidentified NIT &amp; Work, Po-PO-13, Dt-19.03.14 &amp; LOI-2275, Dt-24.09.13</t>
  </si>
  <si>
    <t>Special repair &amp; maintenance of quater of F-8 &amp; G-8 Type of total 16 nos. at 132/33 KV Bettiah,95/PR/BSPTCl/2015 Gr No-01</t>
  </si>
  <si>
    <t>Special repair &amp; Maintance of Quaters of F-4 type of total 4 nos. at 132/33 KV GSS Ramnagar, 13/PR/BSPTCL/2015 Gr. No.-02</t>
  </si>
  <si>
    <t>Special repair &amp; Maintance of Quaters of C-1 and E-8 type of 09 nos. at 132/33 KV Khagariya and replacement of door, window a7 Chajja over window of store shed at Trans. Division Begusarai, 13/PR/BSPTCl/2015 Gr. No.-03</t>
  </si>
  <si>
    <t>Special R&amp;M of Quarter at GSS Sabour, 13/PR/BSPTCl/2015 Gr. No.-04</t>
  </si>
  <si>
    <t>Boundary Wall at GSS Muzaffarpur, 44/PR/BSPTCL/2014 Gr-03</t>
  </si>
  <si>
    <t>Construction of damage Boundary wall for raising of height at 132/33 KV GSS Runisaidpur, 90/PR/BSPTCL/2015 Gr No-08</t>
  </si>
  <si>
    <t>Construction of PCC raod at 132/33 KV GSS Jamalpur,55/PR/BSPTCL/2014 Gr. No.- 03</t>
  </si>
  <si>
    <t>Maintenence of 7 Nos Qr. At GSS Sultanganj, 90/PR/BSPTCL/2015 Gr. No.:- 25</t>
  </si>
  <si>
    <t>Civil Work at GSS Bettiah, 28/PR/BSPTCL/2016 Gr-01</t>
  </si>
  <si>
    <t>Const. Of Boundry Wall at GSS Chandauti &amp; Maintenance of quarter at GSS Bodhgaya</t>
  </si>
  <si>
    <t>Construction of Boundary wall at Transmission Colony at Rafiganj, 90/PR/BSPTCL/2015 Gr No.- 22</t>
  </si>
  <si>
    <t>Biharsharif Begusarai Trans. Line</t>
  </si>
  <si>
    <t>Reconstruction of Boundary wall &amp; Special R&amp;m of IB along with road and boundary wall inside IB , spreading and concerteing block of M 40 grade from main gate to tr circle office road and const of 3 no new store shed at 132/33Kv gSS Purnea, 42/PR/BSPTCL/2016 Gr No-02</t>
  </si>
  <si>
    <t>Construction of Approach road including 04 Nos culvert at 132/33Kv GSS Hathua, 50/PR/BSPTCL/2016 Gr No-03</t>
  </si>
  <si>
    <t>Work of construction of Approach road including culvert  at GSS Benipatti,
50/PR/BSPTCL/2016 GR. No.-01</t>
  </si>
  <si>
    <t>Providing PCC &amp;  Gravel spreading in working area of switchyard at 220/132/33 KV GSS Darbhanga, 53/PR/BSPTCL/2015 Gr. No-04</t>
  </si>
  <si>
    <t>Construction of Boundary Wall,Trans Colony Gaya, 89/PR/BSPTCL/2014 Gr-10</t>
  </si>
  <si>
    <t>Boundary wall at GSS Darbhanga, 53/PR/BSPTCL/2015 Gr-02</t>
  </si>
  <si>
    <t>PCC Road at GSS Motihari, 89/PR/BSPTCL/2014, GR-02</t>
  </si>
  <si>
    <t>Construction of Boundary wall,GSS Katra, 90/PR/BSPTCL/2015 Gr-02</t>
  </si>
  <si>
    <t>Construction of Training Institute  at Sipara, 433/PR/BSPTCL/2013</t>
  </si>
  <si>
    <t>Reconstruction of Boundary walls for 132/33 KV GSS Sultanganj, 53/PR/BSPTCl/2015 Gr. No.-01</t>
  </si>
  <si>
    <t>PCC Road GSS Forbesganj, 89/PR/BSPTCL/2014 Gr-06</t>
  </si>
  <si>
    <t>special repair &amp; maintance of Quaters of E-4, F- 16 type of 16 nos. at 132/33 KV GSS Baripahari, Biharsharif, 90/PR/BSPTCL/2015 Gr No.-16</t>
  </si>
  <si>
    <t>Special repair &amp; Maintance of Quaters of D-04 and E-12 type of 16 nos. at 132/33 KV GSS Fathua. Special repair &amp; maintenance of quaters of G-8 type 132/33 KV GSS Gaighat and Special repair &amp; Maintance of Quaters of D-1 at 132/33 KV GSS masaudi, 90/PR/BSPTCL/2015 Gr-23</t>
  </si>
  <si>
    <t>Special repair &amp; maintenance of quater of C-1, D- 8, F-8 &amp; G-16 type of total 33 nos. at 132/33 KV GSS Purnea and C type at 132/33 KV GSS at Katihar, 95/PR/BSPTCl/2015 Gr No-05</t>
  </si>
  <si>
    <t>Work of construction of Approach road including 4 culvert at GSS Jhanjharpur, 50/PR/BSPTCL/2016 GR. No.-05</t>
  </si>
  <si>
    <t>Construction of approach road including 04 Nos culvert at 132/33Kv GSS Rosera, 50/PR/BSPTCL/2016 Gr No 02</t>
  </si>
  <si>
    <t>13 No 50MVA Transformer, 67/PR/BSPTCl/2013</t>
  </si>
  <si>
    <t>Design Manufacture, Testing,Supply &amp; Delivery of 02 nos. 150MVA, 220/132/33 KV Auto Transformer,116/PR/BSEB/2012</t>
  </si>
  <si>
    <t>Boundary wall at GSS Hajipur, 53/PR/BSPTCL/2014 Gr-03</t>
  </si>
  <si>
    <t>Unidentified NIT, For Const. of 132 KV Tr. Line Lauriya Sugar Mill to GSS Ram Nagar</t>
  </si>
  <si>
    <t>Const of GSS Sherghati</t>
  </si>
  <si>
    <t>Construction of Sherghati Bodhgaya Trans. Lin</t>
  </si>
  <si>
    <t>Const of Fatuha -Gighat TR Line</t>
  </si>
  <si>
    <t>Lease Rent</t>
  </si>
  <si>
    <t>Const of Compound Wall of bihta, 60/PR/BSPHCL/2013</t>
  </si>
  <si>
    <t>Imamganj &amp; Associated Line</t>
  </si>
  <si>
    <t>Tehta &amp; Sherghati GSS Line, 190/PR/BSEB/2009</t>
  </si>
  <si>
    <t>Construction of 132/33 KV GSS Jandaha with associated transmission Line, 232/PR/BSEB/2010</t>
  </si>
  <si>
    <t>Karbighia GSS &amp; Associated Line, 28/PR/BSEB/2011</t>
  </si>
  <si>
    <t>Ekma &amp; Associated Line, 167/PR/BSEB/2010</t>
  </si>
  <si>
    <t>132 KV Line over Bagmati river crossing</t>
  </si>
  <si>
    <t>132 KV Line over Budhi Gandak river crossing, 179/PR/BSEB2010</t>
  </si>
  <si>
    <t>Construction of Associated 132KV Line bays for Second Circuit Stringing of Existing double circuit Single  strung atDumraon, Buxar, Goh etc, 03/PR/BSPTCL/2016</t>
  </si>
  <si>
    <t>Boundry ball at GSS Jamalpur, 55/PR/BSPTCL/2014 Gr-05</t>
  </si>
  <si>
    <t>Boundary Wall,GSS Saharsa, 89/PR/BSPTCL/2014 Gr No 08</t>
  </si>
  <si>
    <t>Boundary Wall,GSS Saharsa, 5/PR/BSPTCL/2014 Gr No 05</t>
  </si>
  <si>
    <t>providing PCC road for 132/33 KV Saharsa, 75/PR/BSPTCL/2014 Gr no.-03</t>
  </si>
  <si>
    <t>Erection, testing &amp; commissioning of 08 nos transmission towers on pile foundation and open foundation of 132 KV S/C Muzaffarpur- Sitamarhi trans line.</t>
  </si>
  <si>
    <t>Construction of Boundary Wall at 132/33 KV Khagaria, 89/PR/BSPTCL/2014 GR -01</t>
  </si>
  <si>
    <t>Widening of exsting road for transpost of heavy Transformer for 132/33 GSS Nirmali</t>
  </si>
  <si>
    <t>Construction of (2x160 MVA+3x50MVA) 220/132/33 Kv GSS, Tajpur (With SAS) (Dstrict- Samastiur) and Residential Quarters under State Plan on Turnkey Basis against NIT- 34/PR/BSPTCL/2018</t>
  </si>
  <si>
    <t>Construction of 220/132/33 KV (2X160+3x50MVA) GSS at Garaul (Dist. Vaishali) on turnkey basis NIT No 39/PR/BSPTCL/2018.</t>
  </si>
  <si>
    <t>20.07.2020</t>
  </si>
  <si>
    <t>Construction of 220/132/33 KV, (2x200 + 3x50) MVA GSS at Raxaul District- NIT 40/PR/BSPTCL/2018</t>
  </si>
  <si>
    <t>Construction of Transmission lines of 220/132 kv D/C Sheikhopursarai(BGCL)- GSS Asthawan,GSS Biharsarif- GSS Asthawan,Asthawan- Rajgir GSS,Asthawan- Nalanda, &amp; Asthawan- Barh GSS. NIT 58/PR/BSPTCL/2018</t>
  </si>
  <si>
    <t>Construction of 132 kv D/C Bakhtiyarpur(New) to Harnaut(BSPTCL) &amp; Baripahari to Harnaut transmission line with ACSR Panther Conductor. NIT 78/PR/BSPTCL/2018</t>
  </si>
  <si>
    <t>1. Construction of 220kV D/c Pusauli (PG)- Sahpuri LILO Karmnasha (new) Transmission line with single moose (Line length-12 Ckm) on turnkey basis. 2. Construction of 220kV D/c Pusauli (BSPTCL)- Karmnasha (New) Transmission Line with twin moose (Line length 80 Ckm) on turnkey basis NIT No.- 56/PR/BSPTCL/2018</t>
  </si>
  <si>
    <t>Construction of 220 KV D/C Saharsa( New)- Khagaria(New) Transmission line with ACSR Zebra Conductor (Approx Route Length-80KM) under State Plan against NIT No.
57/PR/BSPTCL/2018</t>
  </si>
  <si>
    <t>Re-Conductoring of 132KV Chandauti-Sonenagr S/C Trans. Line(L-30) and 132 KV Chandauti- Rafiganj-Sonenagar Trans. Line(L-31) with HTLS Conductor NIT 109/PR/BSPTCL/2018</t>
  </si>
  <si>
    <t>Construction of 132 KV D/C Transmission Line for LILO of Chandauti-Sonenagar (L-30) 132 KV S/C Transmission Line and Chandauti-Rafiganj- Sonenagar (L-31) 132 KV S/C Transmission Line at GSS Chandauti (New) with HTLS Conductor (equivalent to Panther Conductor) on Turnkey Basis (Route Length- 46 KM) NIT 110/PR/BSPTCL/2018</t>
  </si>
  <si>
    <t>i)Construction of 132 KV LLO line on 132KV S/C Dehri-Banjari  Transmission line to new GSS Kerpa  (ii) Re-conductoring of existing 132 KV S/C transmission line from Dehri to Banjari (iii) Re-conductoring of existing 132 KV D/C transmission line from Dehri to Sonenagar with HTLS(equivalent to panther) Conductor(Approx CKM=29KM NIT 108/PR/BSPTCL/2018</t>
  </si>
  <si>
    <t>Construction of LILO of One Ckt of 132Kv D/C Kishanganj(Old)-Forbesganj Transmission Line at Palasi GSS with ACSR Panther Conductor (line Length- 20 RKM) against NIT- 69/PR/BSPTCL/2018</t>
  </si>
  <si>
    <t>14.01.2019</t>
  </si>
  <si>
    <t>13.01.2020</t>
  </si>
  <si>
    <t>Construction of 132Kv D/C Karmnasa (new)- Ramgarh Tr Line on single mooze. 2.
Construction of 132KV D/c Karmnasa (new)- Karmnasa Tr line on single mooze.NIT No.-
55/PR/BSPTCl/2018</t>
  </si>
  <si>
    <t>(i)Construction of 220 KV D/C Samastipur (new) GSS - Tajpur  GSS.(ii) Construction of 220 KV D/C Tajpur  GSS - Garaul  GSS.(iii) Construction of 132 KV D/C Shahpur Patori  GSS - Tajpur  GSS. NIT 66/PR/BSPTCL/2018</t>
  </si>
  <si>
    <t>20.04.2020</t>
  </si>
  <si>
    <t>Construction of following Transmission lines on Turnkey basis: i) 220 KV D/C Muzaffarpur(PG)- Garaul Transmission Line with ACSR Zebra Conductor (Line Length-20 RKM) ii) 132 KV   D/C Garaul-MahnarTransmission Line with ACSR Panther Conductor (Line Length- 45   RKM) iii) LILO of both circuit of 132 KV D/C Muzaffarpur-vaishali Transmission Line at  Garaul GSS with ACSR Panther Conductor (Line Length- 2x15 RKM) iv) 132 KV D/C  Transmission line from GSS Chhapra(New)- Ekma with ACSR Panther Conductor (Line Length - 45 RKM) NIT No- 50/PR/BSPTCL/2018</t>
  </si>
  <si>
    <t>20.05.2020</t>
  </si>
  <si>
    <t>Supply, Installation , testing&amp; commsisioning of DLMS complaint .2s class ABT type energy meter with implementation of 100% metering.Data Acquisition and Online ABT monitoring  for the transmission &amp; sub transmission substation upto 33Kv Level , NIT- 37/PR/BSPTCL/2017</t>
  </si>
  <si>
    <t>28.03.2018</t>
  </si>
  <si>
    <t>27.06.2019</t>
  </si>
  <si>
    <t>Construction of the following lines:(i) 220/132/33 KV D/C Chapra, Amnaur - MZP Transmission line. (ii) 132KV D/C Chapra, Amnaur - Vaishali Transmission line. NIT 51/PR/BSPTCL/2018</t>
  </si>
  <si>
    <t>Construction of the following lines: (i) 132 KV D/C Saharsa (Old) - Banmakhi Transmission line. (ii) 132KV D/C Saharsa (Old) - Udaikishanganj Transmission line.(iii) 132KV D/C Madhepura - Sonebarsa Transmission line NIT 53/PR/BSPTCL/2018</t>
  </si>
  <si>
    <t>20.01.2020</t>
  </si>
  <si>
    <t>Construction of 220 KV D/C Saharsa(New)- Begusarai Transmission line with ACSR Zebra Conductor (Approx Route Length-100KM) under State Plan against NIT No.
54/PR/BSPTCL/2018.</t>
  </si>
  <si>
    <t>21.01.2019</t>
  </si>
  <si>
    <t>Construction of 220 kV D/C Raxaul (new) Gopalganj with twin moose conductor. NIT 62/PR/BSPTCL/2018</t>
  </si>
  <si>
    <t>20.04.2021</t>
  </si>
  <si>
    <t>Construction of 132 KV line bays 02 nos. at GSS Phulparas. &amp; Construction of 132 KV line bays 02 nos. at GSS Laukahi. NIT 63/PR/BSPTCL/2018</t>
  </si>
  <si>
    <t>Construction of 02 nos. 132 KV line bays  each at GSS Muzaffarpur &amp; Vaishali against NIT 65/PR/BSPTCL/2018</t>
  </si>
  <si>
    <t>13.07.2019</t>
  </si>
  <si>
    <t>Construction of 02 No. 220Kv Line Bay at 220/132/33Kv  GSS Kishanganj (New) and Construction of 02 Nos 1320Kv Line Bays at 132/33Kv GSS Araria on Turnkey NIT 67/PR/BSPTCL/2018</t>
  </si>
  <si>
    <t>13.10.2019</t>
  </si>
  <si>
    <t>Construction of 220Kv D/C by making LILO arrangement of both circuits of 220Kv D/C Purnea(PG) -Begusarai Transmission Line to 220/132/33Kv GSS Korha GSS on Turnkey Basis against NIT- 70/PR/BSPTCL/2018</t>
  </si>
  <si>
    <t>Construction of LILO of 132 KV DCSS Benipatti - Pupari Transmission line at Sitamarhi (new) and LILO of both ckt. of 132 KV Raxaul - Bettiah D/C Transmission line at Raxaul (new) with ACSR Panther Conductor. NIT No.-
71/PR/BSPTCL/2018</t>
  </si>
  <si>
    <t>Construction of 2nd circuit stringing of 220KV DCSS Darbhanga-Samastipur Transmission Line with ACSR Zebra Conductor NIT 72/PR/BSPTCL/2018</t>
  </si>
  <si>
    <t>14.10.2019</t>
  </si>
  <si>
    <t>Supply, erection, testing and commissioning of Reliable communication and Data Acquisition  for implementation of Integrated Communication system upto 132 KV in Bihar with AMC for 6 years. NIT 79/PR/BSPTCL/2018</t>
  </si>
  <si>
    <t>for Construction of 02 nos. of 220 KV line bays at Begusarai GSS &amp; 02 Nos. 220 KV line bays at Khagaria (New) GSS with SAS on turnkey basis NIT 68/PR/BSPTCL/2018</t>
  </si>
  <si>
    <t>Re-Conductoring of 132KV Biharsarif-Baripahari D/C Trans. Line(L-14) and 132 KV Sipara- Mithapur-Karbigahiya Trans. Line(L-07) with HTLS Conductor  . NIT 107/PR/BSPTCL/2018</t>
  </si>
  <si>
    <t>Reconductoring of (i) 132Kv Muzaffarpur - SKMCH S/C Transmission Line with HTLS conductor (line length 20.5RKM) along with invovment 01 no. of Pile foundation . (ii) 132Kv Kanti- SKMCH D/C transmission line with HTLS conductor (line length 14.28 RKM) -NIT 114/PR/BSPTCL/2018</t>
  </si>
  <si>
    <t>05.01.2019</t>
  </si>
  <si>
    <t>04.10.2019</t>
  </si>
  <si>
    <t>Capacity augmentation of different GSS by Addition /Replacement by 200 MVA Power Transformer alongwith associated bays on Turnkey Basis at GSS Khagaul &amp; Sipara NIT No.- 49/PR/BSPTCL2018</t>
  </si>
  <si>
    <t>For supply contract for design, Manufacture, Assembly, testing,  supply, delivery, unloading at site, placing on plinth, erection, testing &amp; commissioning of 04 nos. 20 MVA, 132/33 KV Transformer on turnkey basis NIT 22/PR/BSPTCL/2018</t>
  </si>
  <si>
    <t>Construction of (2x50) MVA, 132/33 KV GSS Paliganj (Dist.- Patna) and 02 Nos. 132 KV Line Bay Extension at remote end on turnkey basis NIT No.-03/PR/BSPTCL/2018</t>
  </si>
  <si>
    <t>Construction of 220/132/33 KV, (2x160 + 3x50) MVA, GSS Asthawan including Residential Quarters with Construction of 02 Nos. 132 KV Line Bays &amp; 06 Nos. 132 KV Line Bays at remote end on turnkey basis. NIT 41/PR/BSPTCL/2018</t>
  </si>
  <si>
    <t>Construction of 220/132/33 KV (2x200 MVA + 3x50MVA) GSS Karmnasha (new) NIT No.- 38/PR/BSPTCL/2018</t>
  </si>
  <si>
    <t>Construction of (2x160 MVA+3x50MVA) 220/132/33 KV GSS, Thakurganj (with SAS) (District-Kishanganj) and Residential Quarters under State Plan on turnkey basiS, against NIT No. 35/PR/BSPTCL/2018</t>
  </si>
  <si>
    <t>Construction of (i) LILO of Barh-Patna 400KV D/C (Quad) Trans. Line at Bakhtiyarpur (New) (10RKM)(ii) Bakhtiyarpur (New) - Sheikhpura (new) 220 KV D/C Trans. Line (51RKM)(iii) Bakhtiyarpur (New) - Hathidah (new) 220 KV D/C Trans. Line (52RKM)(iv) Bakhtiyarpur (New) - Fatuha (BSPTCL) 220 KV D/C Trans. Line (28RKM) on turnkey basis. NIT 77/PR/BSPTCL/2018</t>
  </si>
  <si>
    <t>Construction of the following lines: (i) 132 KV D/C Thakurganj - Araria Transmission line with ACSR Panther Conductor (ii) 220 KV D/C Kishanganj (New) - Thakurganj Transmission line with ACSR Zebra Conductor. NIT 52/PR/BSPTCL/2018</t>
  </si>
  <si>
    <t>Construction o f (2x500+2x160) MVA 400/220/132 KV GIS Grid Sub-Station Bakhtiyarpur with SAS under turnkey basis.  NIT No. 15/PR/BSPTCL/2019. retendered from 73/2018</t>
  </si>
  <si>
    <t>26.11.2019</t>
  </si>
  <si>
    <t>25.05.2021</t>
  </si>
  <si>
    <t>For erection including associated civil works, testing and commissioning including performance testing of all the equipments supplied under supply contract and all other services specified in the tender documents required for construction of 220KV D/C transmission line from GSS Amnour(BGCL) to 220/132/33KV GSS Digha(New) on turnkey basis. NIT 64/PR/BSPTCL/2018</t>
  </si>
  <si>
    <t>Construction of onstrcution of 4 Nos of 132/33Kv Transformer Bay in Saran, Koshi, Bhagalpur on Turnkey NIT 121/PR/BSPTCL/2018</t>
  </si>
  <si>
    <t>24.11.2019</t>
  </si>
  <si>
    <t>Construction of 132 KV line bays 03 nos. of 132/33 KV Transformer Bays in Biharsharif and Dehri-on Sone NIT 122/PR/BSPTCL/2018</t>
  </si>
  <si>
    <t>Supply, erection, testing and commissioning of 05 Nos. of  50 MVA Power Transformer with construction/modification of foundation  in Transmission Circle Purnea &amp; Bhagalpur on turnkey basis under State Plan against NIT 128/PR/BSPTCL/2018</t>
  </si>
  <si>
    <t>24.02.2020</t>
  </si>
  <si>
    <t>Supply, erection, testing and commissioning of 05 Nos. of  50 MVA Power Transformer with construction/modification of foundation  in Transmission Circle Patna &amp; Dehri-on -sone on turnkey basis under State Plan against NIT No. 129/PR/BSPTCL/2018</t>
  </si>
  <si>
    <t>Construction of  4 Nos of 220 KV GIS bays and 4 nos of 132 KV GIS bays at 220/132/33 KV GSS Chhapra(new), Amnaur against NIT No.- 16/PR/BSPTCL/2019</t>
  </si>
  <si>
    <t>Construction of 2 Nos of 220 KV GIS Bays at 220/132/33 KV GSS Gopalganj  against NIT No.- 02/PR/BSPTCL/2019</t>
  </si>
  <si>
    <t>Construction of 04 Nos. 220 KV GIS Line Bays at GSS Sheikhpura(GIS, BGCL) &amp; 02 nos. 220 KV GIS Line Bays at GSS Hathidah (GIS, BGCL) (Total 06 nos. of GIS Line Bays)  on turnkey basis against NIT No. 08/PR/BSPTCL/2019</t>
  </si>
  <si>
    <t>Construction of 220 KV D/C Transmission Line for LILO of both circuits of 220 KV D/C Gaya (PG)- Sonenagar Trans. Line at both 220/132/33 KV GSS Bodhgaya &amp; 400/220/132 KV GSS Chandauti (New) on Turn Key Basis NIT
100/PR/BSPTCL/2018</t>
  </si>
  <si>
    <t>Construction of 2x80MVA, 132/33 KV Gas Insulated Sub-station at Board colony Patna on turnkey basis against NIT No.
17/PR/BSPTCL/2019 under State Plan</t>
  </si>
  <si>
    <t>Construction of 132 KV D/C transmission line with cable from 220/132/33 KV Gas Insulated Sub-station at Digha (new) to 132/33 KV Gas Insulated Sub-station at Board colony (CKM – 7 KM) and construction of 132 KV D/C transmission line with cable from 220/132/33 KV Gas Insulated Sub-station at Digha (new) to Digha (Old) (CKM – 1 KM  ) on turnkey basis against NIT No. 19/PR/BSPTCL/2019</t>
  </si>
  <si>
    <t>Successful completion of balance work of construction of 220 KV D/C Transmission Line from GSS Dehri to GSS Pusauli, ACSR Zebra Conductor. (RL-63Km) against NIT No.
07/PR/BSPTCL/2020</t>
  </si>
  <si>
    <t>Construction 132 KV transmission line from Laukahi to Phulparas with HTLS Conductor NIT 111/PR/BSPTCL/2018</t>
  </si>
  <si>
    <t>07.02.2019</t>
  </si>
  <si>
    <t>06.02.2020</t>
  </si>
  <si>
    <t>Line shifting of tower of 132 KV S/C Purnea- Dhamdaha Transmission Line due to construction of Goat Rearing and breeding Centre at maranga, Purnea, NIT-135/2018</t>
  </si>
  <si>
    <t>Construction of 2X 200 MVA + 2X80 MVA ), 220/132/33 KV GIS at Digha (New) against NIT No. 18/PR/BSPTCL/2019 under state plan.</t>
  </si>
  <si>
    <t>47/PR/BSPTCL/2018</t>
  </si>
  <si>
    <t xml:space="preserve">Construction of 132 KV  transmission line (2-Phase) from Jamalpur (BSPTCL) to TSS Jamalpur of route length 5.0KM (4.0 KM through overhead and 01 KM through Underground XLPE cable) and  one no associated 132 KV Bay at Jamalpur  on turnkey basis </t>
  </si>
  <si>
    <t xml:space="preserve">15.01.2019 </t>
  </si>
  <si>
    <t>14.11.2019</t>
  </si>
  <si>
    <t>Deposit Work</t>
  </si>
  <si>
    <t>03/PR/BSPTCL/2020</t>
  </si>
  <si>
    <t>construction of  one no of  D/C transmission line for river crossing (Chanan river) with 01 no pile foundation and 01 no  open foundation required for erection of 33 KV feeder  from 132/33 kv GSS Banka to new 33/11 KV Gokula PSS on  turnkey basis under Deposit Scheme</t>
  </si>
  <si>
    <t>05.05.2020</t>
  </si>
  <si>
    <t>05.11.2020</t>
  </si>
  <si>
    <t>18/PR/BSPTCL/2018</t>
  </si>
  <si>
    <t>For shifting/Height raising of 132 KV D/C Biharsharif-Sheikhpura transmission line  between Railway station Barbigha-Sheikhpura in Dist-Sheikhpura from LOC no-127 to 130 on turnkey basis. NIT-18/PR/BSPTCL/2018</t>
  </si>
  <si>
    <t>11/PR/BSPTCL/2019</t>
  </si>
  <si>
    <t xml:space="preserve">construction of 132 KV S/C transmission line (2-Phase) from Naugachia (BSPTCL)-Naugachia TSS (Approx-RL-3KM) on turnkey basis under Deposit head </t>
  </si>
  <si>
    <t>01.07.2019</t>
  </si>
  <si>
    <t>31.03.2020</t>
  </si>
  <si>
    <t>7/pkg-I/ADB/BSEB/2010</t>
  </si>
  <si>
    <t>01/PR/BSPTCL/2019</t>
  </si>
  <si>
    <t>TR line Nalanda and Railway TSS Nalanda, NIT- 01/2019</t>
  </si>
  <si>
    <t>15.06.2019</t>
  </si>
  <si>
    <t>14.03.2020</t>
  </si>
  <si>
    <t>60/PR/BSPTCL/2018</t>
  </si>
  <si>
    <t>Construction of 220 KV D/C Sitamarhi (new) GSS - Raxaul (new) GSS on Twin Moose. NIT 60/PR/BSPTCL/2018</t>
  </si>
  <si>
    <t>59/PR/BSPTCL/2014 Pkj-D</t>
  </si>
  <si>
    <t>19/PR/BSPTCL/2017</t>
  </si>
  <si>
    <t>Construction of 06 nos. of 132kV D/C towers from Ara (PG) to tower loc. No. 01 with ACSR Panther Conductor for connectivity of 2nd circuit of 132kV D/C Ara (PG) – Jagdishpur Transmission Line</t>
  </si>
  <si>
    <t>46/PR/BSPTCL/2015</t>
  </si>
  <si>
    <t>Relocation/Rerouting of 132 KV D/C transmission line(Sonenagar-Garhwa-Rihand) along with height raising work at two places from location no-30 to 48(Approx line length-10CKM) on turnkey basis.</t>
  </si>
  <si>
    <t>35/PR/BSPTCL/2015</t>
  </si>
  <si>
    <t>Construction of 132KV Transmission lines connecting the revenue GSS Bakhri, Ballia, Manjhaul, Nirmali, Triveniganj, Banmankhi, Manihari and Piro against NIT No.
35/PR/BSPTCL/2015</t>
  </si>
  <si>
    <t>02/PR/BSPTCL/2017</t>
  </si>
  <si>
    <t>Construction of 132 KV S/C Transmission Line for Solar PV project of M/s Alfa Infraprop Pvt. Ltd. at Bhagaura from 132/33 KV GSS Rafiganj and                    2) Construction of 01 Nos. of 132 KV line bay at GSS Rafiganj for connecting solar PV project of M/s Alfa Infraprop Pvt. Ltd.</t>
  </si>
  <si>
    <t>06/PR/BSPTCL/2020</t>
  </si>
  <si>
    <t>Successful completion of balance work of construction of 132 KV DCSS Transmission Line from 132/33 KV GSS Bettiah to 132/33 KV GSS Thakraha with Panther Conductor against NIT No. 06/PR/BSPTCL/2020</t>
  </si>
  <si>
    <t>28.02.2021</t>
  </si>
  <si>
    <t>61/PR/BSPTCL/2018</t>
  </si>
  <si>
    <t>Construction of 220 KV D/C Sitamarhi (new) GSS - Motipur (new) GSS on Twin Moose. &amp; Construction of 132 KV D/C Sitamarhi (new) GSS - Runnisaidpur  GSS on Twin Moose. NIT 61/PR/BSPTCL/2018</t>
  </si>
  <si>
    <t>52/PR/BSPTCL/2016</t>
  </si>
  <si>
    <t>1. .For Construction of 23 Nos Pile Foundation in River koshi Including Setting of stubs and  earting system for the connectivity of 220 Kv D/C transmission Line from Laukahi to Supaul
,NIT-52/2016</t>
  </si>
  <si>
    <t>29.03.2017</t>
  </si>
  <si>
    <t>28.09.2017</t>
  </si>
  <si>
    <t>36.68 Cr</t>
  </si>
  <si>
    <t>82/PR/BSPTCL/2014</t>
  </si>
  <si>
    <t>(i) construction of 132 KV S/C transmission lines on D/C Tower from 132/33 KV Dhaka GSS to upcoming Pakridayal GSS
(ii) Construction of New 132 KV S/C Transmission line on D/C Tower from 220/132 KV Motipur GSS to upcoming Chakiya GSS
(iii) LILO of 132 KV S/C of Jainagar-Phulparas Transmission Line at upcoming Jhanjharpur GSS NIT No 82/PR/BSPTCL/2014</t>
  </si>
  <si>
    <t>76/PR/BSPTCL/2018</t>
  </si>
  <si>
    <t>Construction of 02 nos. 132 KV line bays  at GSS Runnisaidpur &amp; 02 nos. 220KV line bay at GSS Motipur against NIT 76/PR/BSPTCL/2018</t>
  </si>
  <si>
    <t>04/PR/BSPTCL/2014</t>
  </si>
  <si>
    <t xml:space="preserve">Construction of new 220 KV S/C Trans. Line on D/C Tower and associated 01 No. 330KV Bay at GSS Sipara(Gaurichak) for connecting 220/132/33 KV GSS Sipara(Gaurichak) with 400/220 KV Patna(PG) for evacuation of power from PGCIL </t>
  </si>
  <si>
    <t xml:space="preserve"> 24/PR/BSPTCL/2016</t>
  </si>
  <si>
    <t>Construction of 132 KV D/C Transmission Line between 220/132/33 KV Bihta (New) GSS and 132/33KV Upcoming Paliganj GSS NIT No.- 24/PR/BSPTCl/2016</t>
  </si>
  <si>
    <t>16/PR/BSPTCL/2014</t>
  </si>
  <si>
    <t>construction of 132KV D/C Udakishanj-Sonebarsha Trans. Line(Approx Length- 55 Rkm) and construction of 132 KV D/C Kusheshwarsthan-Sonebarsha Trans. Line (Approx Length-75 Rkm)</t>
  </si>
  <si>
    <t xml:space="preserve">12/PR/BSPTCL/2016 </t>
  </si>
  <si>
    <t>Construction of LILO line on both circuits of 220 KV Begusarai- Purnea (PG)Transmission line at Khagariya new 220/132/33 KV GSS against NIT 12/PR/BSPTCL/2016 Pkg-A under state plan.</t>
  </si>
  <si>
    <t xml:space="preserve">19/PR/BSPTCL/2014 Package-C </t>
  </si>
  <si>
    <t>construction of 132 kv DCtransmission line with ACSR penthor conductor from Kishanganj(new) to Forbisganj (approx line length 85 RKM) under special plan/BRGF part 2 Kishanganj project Bihar, NIT-19/2014, Pkg C</t>
  </si>
  <si>
    <t>19.11.2014</t>
  </si>
  <si>
    <t>18.02.2016</t>
  </si>
  <si>
    <t>58/PR/BSPTCL/2014</t>
  </si>
  <si>
    <t>construction of(i)2x220 KV D/C Trans. Line from Kishanganj(New) to Kishanganj(PG)(LL-2x4 RKM) &amp;(ii) Const. of 132 KV D/C Trans. Line from Kishanganj(New) to Kishangang(Existing)(Apprx LL-11 RKM)(BRGF Ph-III Part-II)</t>
  </si>
  <si>
    <t>06.02.2015</t>
  </si>
  <si>
    <t>05.02.2016</t>
  </si>
  <si>
    <t>10/PR/BSPTCL/2018</t>
  </si>
  <si>
    <t>For design, manufacture, testing at manufacturer’s works and delivery of equipments required for construction of  one no of 132 KV single circuit transmission line (2-Phase strung) on D/C tower from Masrakh GSS to Rajpatti TSS &amp; one no of 132 KV Bay at GSS Masrakh on turnkey basis</t>
  </si>
  <si>
    <t>25/PR/BSPTCL/2018</t>
  </si>
  <si>
    <t>construction of  132KV traction transmission line (2-phase strung) on D/C tower between GSS Pandaul &amp; TSS Pandaul with ACSR panther conductor(Line length -08 RKM) and construction of 132 KV S/C transmission line (2- Ph strung) on D/C tower between GSS Rosera &amp; TSS Hasanpur, NIT-25/2018</t>
  </si>
  <si>
    <t>86/PR/BSPCL/2015</t>
  </si>
  <si>
    <t>construction of 132/33 KV 3x50
MVA Jamui and Banka GSS against NIT 86/PR/BSPTCL/2015</t>
  </si>
  <si>
    <t xml:space="preserve"> 131/PR/BSPTCL/2018</t>
  </si>
  <si>
    <t>construction of 01 no 132 KV line bay at GSS Sabour for Railway TSS on turnkey basis, NIT- 131/2018</t>
  </si>
  <si>
    <t xml:space="preserve">24/PR/BSPTCL/2015 </t>
  </si>
  <si>
    <t>Strengthening of 132 KV &amp; 33 KV main bus and transfer bus by double moose &amp;quad moose respectively of different GSS of BSPTCL NIT no. 24 /PR/BSPTCL/2015</t>
  </si>
  <si>
    <t>126/PR/BSPTCL/2018</t>
  </si>
  <si>
    <t>For Supply,Erection,testing and commissioning of 06 Nos.of 50 MVA Power Transformer with Construction/Modification of foundation in Transmission Circle Saran, Koshi &amp; Darbhanga NIT 126/PR/BSPTCL/2018</t>
  </si>
  <si>
    <t>61/PR/BSPTCL/2015</t>
  </si>
  <si>
    <t>Renovation &amp; Up gradation of Protection and Control Systems of 220/132KV Grid Substation  at Biharsharif, Fatuha, Bodhgaya, Dehri On Sone, Khagaul and 132/33KV Grid Substation Kataiya on turnkey basis 61/2015</t>
  </si>
  <si>
    <t>PSDF</t>
  </si>
  <si>
    <t>30/PR/BSPTCL/2015</t>
  </si>
  <si>
    <t xml:space="preserve">work of capicity augmentation by addition of 50 MVA, 132/33 KV Power Transformer at GSS Jakkanpur, Bariparahi, Chandauti, Jehanabad,Sitamarhi &amp; Begusarai and replacement of 20 MVA, 132/33 KV Power transformer at GSS Dumraon, Raxaul &amp; Purnea with construction/modification of associated 132 KV &amp; 33 KV Transformer bays </t>
  </si>
  <si>
    <t>48/PR/BSPTCL/2015</t>
  </si>
  <si>
    <t>R&amp;M Work of 132/33 KV GSS Rajgir &amp; Gaighat, NIT-48/2015</t>
  </si>
  <si>
    <t>427/PR/BSPTCL/2013 Package F</t>
  </si>
  <si>
    <t>R&amp;M of 132/33 Kv GSS Lakhisarai,Jamui &amp; Hathidah , NIT-427/2013 F</t>
  </si>
  <si>
    <t>62/PR/BSPTCL/2014 pkg B</t>
  </si>
  <si>
    <t>Construction of 132/33 KV Grid Sub-station, Belsand (2X10MVA), Shahpur Patori (2X20MVA) and Benipur (2X10MVA), NIT- 62/BSPTCL/2014
Pkg-B under state plan on turnkey basis against NIT No.-62/PR/BSPTCL/2014</t>
  </si>
  <si>
    <t>94/PR/BSPTCL/2014</t>
  </si>
  <si>
    <t>132/33Kv GSS Rosera NIT No. 94/2014</t>
  </si>
  <si>
    <t>20.05.15</t>
  </si>
  <si>
    <t>04.07.16</t>
  </si>
  <si>
    <t>82.10 Cr</t>
  </si>
  <si>
    <t>34/PR/BSPTCL/2015 Package B</t>
  </si>
  <si>
    <t>Work of construction of Trans. Lines for Connecting to upcoming new 132 kv line bay 01 no. each at Musrakh, Benipatti &amp; Jandaha GSS</t>
  </si>
  <si>
    <t>33/PR/BSPTCL/2014</t>
  </si>
  <si>
    <t>Construction of 2 x160+2x50 MVA
,220/132/33KV GSS Laukahi, NIT-33/2014,</t>
  </si>
  <si>
    <t>98/PR/BSPTCL/2014</t>
  </si>
  <si>
    <t>Construction of 132 kv 2 no Bays each at 132kv GSS DARBGANGA  &amp; Gangwra NIT No.- 98/2014</t>
  </si>
  <si>
    <t>21.12.15</t>
  </si>
  <si>
    <t>6.04 Cr</t>
  </si>
  <si>
    <t>46/PR/BSPTCL/2018</t>
  </si>
  <si>
    <t>for  Capacity augmentation of GSS Hajipur,Gopalganj &amp; Darbhanga by replacement of power Transformer. NIT  46/PR/BSPTCL/2018</t>
  </si>
  <si>
    <t>39/PR/BSPTCL/2017</t>
  </si>
  <si>
    <t>Const of 220/132/33Kv GSS Darbhanga, 39/PR/BSPTCL/2017</t>
  </si>
  <si>
    <t>04/PR/BSPTCL/2016</t>
  </si>
  <si>
    <t>Construction of 8 Nos. 132KV line bays at Pandaul-01Nos., Madhubani-02Nos, Jainagar-02, Phulparas-01Nos, Ekma-01Nos and Kusheshwarsthan-01Nos under state plan  against NIT No. 04/PR/BSPTCL/2016</t>
  </si>
  <si>
    <t>91/PR/BSPTCL/2014</t>
  </si>
  <si>
    <t>Construction of  2 x20MVA , 132/33KV GSS Tarapur, Teghra and Simri Bakhtiyarpur against NIT 91/2014.</t>
  </si>
  <si>
    <t>90/PR/BSPTCL/2014</t>
  </si>
  <si>
    <t>132/33Kv GSS Bhabhua</t>
  </si>
  <si>
    <t xml:space="preserve">08/PR/BSPTCL/2017 </t>
  </si>
  <si>
    <t>3X50 MVA,132/33 KV  GSS
Kerpa, 08/PR/BSPTCL/2017</t>
  </si>
  <si>
    <t>61/PR/BSPTCL/2014</t>
  </si>
  <si>
    <t>Construction of 132/33KV Grid Sub-Station At Piro(Bhojpur) ( 2X20MVA) NIT No.- 61/PR/BSPTCL/2014</t>
  </si>
  <si>
    <t xml:space="preserve"> 95/PR/BSPTCL/2018</t>
  </si>
  <si>
    <t>Capacity augmentation by addition of 3rd 160 MVA,220/132/ KV ICT along with associated transformer bays at  Sonenagar (New) GSS  NIT 95/PR/BSPTCL/2018</t>
  </si>
  <si>
    <t>84/PR/BSPTCL/2015</t>
  </si>
  <si>
    <t>Construction of 3x50MVA, 132/33KV GSS Ramgarh (Kaimur dist.) and Warislaiganj (Nawada Dist.) on turnkey basis against NIT No.- 84/PR/BSPTCl/15</t>
  </si>
  <si>
    <t>68/PR/BSPTCL/2014</t>
  </si>
  <si>
    <t>Construction of 11 Nos. of line bays at Sherghati - 01,Imamganj - 01, Sonenagar-02, Aurangaba-02, Ara-02, Jagdishpur-03 &amp; 1 No. of T/F bay at Sherghati agaisnt NIT
No.-68/PR/BSPTCL/14</t>
  </si>
  <si>
    <t>120/PR/BSPTCL/2018</t>
  </si>
  <si>
    <t>for construction of 05 No’s of 132/33 KV transformer bays in Gaya transmission circle  on turnkey basis  NIT 120/PR/BSPTCL/2018</t>
  </si>
  <si>
    <t xml:space="preserve">62/PR/BSPTCL/2013 </t>
  </si>
  <si>
    <t>Construction of (2X160 MVA+2X50 MVA),220/132/33 KV GSS at Bihta(Patna) &amp; associated 220,132 &amp; 33 kv bays extension at remote end on turnkey basis, NIT-62/2013</t>
  </si>
  <si>
    <t xml:space="preserve">01/PR/BSPTCL/2016 </t>
  </si>
  <si>
    <t>Construction of 08 nos. 132 KV Line bays  each at
-Belaganj 01no. , Hulasganj-01 no., Jehanabad -01 no., Tekari-02 no., Ataula-01 no. ,Chandauti-01 no., Nawada-01 no. under Trans. Circle, Gaya for 2nd ckt. stringing of existing 132  KV DCSS, NIT- 01/2016</t>
  </si>
  <si>
    <t xml:space="preserve">127/PR/BSPTCL/2018 </t>
  </si>
  <si>
    <t>For Supply of 6 Nos of 50MVA Transformer with Construction/modification of foundations in transmission Circle  NIT 127/PR/BSPTCL/2018</t>
  </si>
  <si>
    <t>62/PR/BSPTCL/2014 pkg A</t>
  </si>
  <si>
    <t>125/PR/BSPTCL/2018</t>
  </si>
  <si>
    <t>For Supply of 6 Nos 50MVA Power Transformer with Construction/Modification of Foundation in Transmission Circle, Muzaffarpur NIT 125/PR/BSPTCL/2018</t>
  </si>
  <si>
    <t>54/PR/BSPTCL/2015</t>
  </si>
  <si>
    <t>Construction of 02 nos. 220 KV line bays at 220 KV Darbhanga GSS, NIT-54/2015</t>
  </si>
  <si>
    <t>36/PR/BSPTCL/2018</t>
  </si>
  <si>
    <t>Augmentation of Existing gSS Ekma ( 1x20MVA+1x50MVA) by 3x50MVA capacity against NIT-36/PR/BSPTCL/2018</t>
  </si>
  <si>
    <t>15.04.2020</t>
  </si>
  <si>
    <t>24/PR/BSPTCL/2014</t>
  </si>
  <si>
    <t>Construction of 2x160 MVA + 2X50 MVA,220/132/33 KV Sub Station at Motipur</t>
  </si>
  <si>
    <t xml:space="preserve"> 85/PR/BSPTCL/2018</t>
  </si>
  <si>
    <t>Construction of 02 nos. 132KV Line bays each at 132/33KV Grid- Substation Mahnar &amp; Shahpurpatori and Construction of 02nos. 220KV Line bays at 220/132/33KV GSS Samastipur(New) on Turnkey basis under State Plan against  NIT No. 85/PR/BSPTCL/2018.</t>
  </si>
  <si>
    <t>07/PR/BSPTCL/2015</t>
  </si>
  <si>
    <t>Construction Of 2 Nos.132 KV Line Bays each at 132/33 KV GSS,SKMCH &amp; SITAMARHI(Total 4 Nos of 132 KV Line Bays)</t>
  </si>
  <si>
    <t>06/PR/BSPTCL/2016</t>
  </si>
  <si>
    <t>work of        R&amp;M of 04 nos of 132/33 KV  Grid Substations Muzaffarpur, Darbhanga, Bettiah and Motihari on turnkey basis on Firm price against NIT No :- 06/PR/BSPTCL/2016 under state plan.</t>
  </si>
  <si>
    <t>63/PR/BSPTCL/2014-Pkg-A</t>
  </si>
  <si>
    <t>Construction of 132/33kV GSS at Manjhaul , Ballia   and Bakhari against  NIT- 63/PR/BSPTCL/2014, Package- (A)</t>
  </si>
  <si>
    <t>05/PR/BSPTCL/2014 Pkg A</t>
  </si>
  <si>
    <t>construction of 2 Nos. 132 KV Line Bay at 132/33 KV Udakishanj GSS, Construction of 4 Nos. of 132 KV Line bay at 132/33 KV Kusheshwarsthan GSS,  Construction of 4 Nos. of 132 KV Line bay at 132/33 KV Sonebersa GSS, Construction of 1 No 132/33 KV Transformer Bay at 132/33 KV Kataiya GSS, NIT-05/2014, Pkg A</t>
  </si>
  <si>
    <t xml:space="preserve">05/PR/BSPTCL/2016 </t>
  </si>
  <si>
    <t>Construction of Associated 132KV Line bays for Second Circuit Stringing of Existing double circuit Single  strung at Begusarai, NIT- 5/2016</t>
  </si>
  <si>
    <t>02.03.2016</t>
  </si>
  <si>
    <t>01.09.2016</t>
  </si>
  <si>
    <t>41/PR/BSPTCL/2015</t>
  </si>
  <si>
    <t>Construction of (2x160 + 2x50) MVA, 220/132/33KV Grid Sub- Station in KHAGARIA (New) under State Plan in between 220KV D/C Purnea (PG) – Begusarai Transmission Line., NIT- 41/2015</t>
  </si>
  <si>
    <t>27.08.2015</t>
  </si>
  <si>
    <t>23.05.2018</t>
  </si>
  <si>
    <t>27.02.2017</t>
  </si>
  <si>
    <t>37/PR/BSPTCL/2018</t>
  </si>
  <si>
    <t>Construction of 132/33KV (2X50 MVA) GSS at Palasi (Dist. Araria) on turnkey basis. NIT No.- 37/PR/BSPTCL/18</t>
  </si>
  <si>
    <t>86/PR/BSPTCL/2018</t>
  </si>
  <si>
    <t>Construction of 220/132 KV (2x100) MVA GSS at Korha with SAS and additional / augmentation of 160 MVA, 220/132 KV Transformer at 220/132/33 KV GSS Kishanganj (new) on turnkey basis  NIT 86/PR/BSPTCL/2018</t>
  </si>
  <si>
    <t>85/PR/BSPTCL/2015</t>
  </si>
  <si>
    <t>Construction of 132/33KV GSS Siwan-New, NIT-85/2015</t>
  </si>
  <si>
    <t>06/PR/BSPTCL/2017</t>
  </si>
  <si>
    <t>Capacitor bank 36KV for improvement of voltage</t>
  </si>
  <si>
    <t>PSDF Cap.</t>
  </si>
  <si>
    <t>34/PR/BSPTCL/2015 Package A</t>
  </si>
  <si>
    <t>Construction of 132Kv Line Bay at GSS Dhaka and Motipur. NIT-34/2015, Pkg A</t>
  </si>
  <si>
    <t>113/PR/BSPTCL/2018</t>
  </si>
  <si>
    <t>Re-Conductring of (i) 132KV S/C Kahalgaon(BSPTCL)- Kahalgaon (NTPC) Trans. Line (CKM-7KM) (ii) 132 KV S/C Kahalgaon- Sabour Trans. Line(CKM-27KM transmission line with HTLS(equivalent to panther) Conductor(Approx CKM=27KM). NIT 113/PR/BSPTCL/2018</t>
  </si>
  <si>
    <t>05.02.2019</t>
  </si>
  <si>
    <t>04.02.2020</t>
  </si>
  <si>
    <t>32/PR/BSPTCL/2016 Gr. No.-01</t>
  </si>
  <si>
    <t>Double storied control room building  at 132/33 KV GSS Siwan</t>
  </si>
  <si>
    <t>As per Reconciliati on</t>
  </si>
  <si>
    <t>468/PR/BSPTCL/2013</t>
  </si>
  <si>
    <t>Earth Filling &amp; Construction of boundary wall of proposed land for 220/132/33 KV GSS Mushahari ,Muzaffarpur(Under BRGF Ph-III Part-I), NIT-468/2013</t>
  </si>
  <si>
    <t>13/PR/BSPTCL/2020</t>
  </si>
  <si>
    <t>Construction and renovation of Store shed, PCC Road, Sump Room, Landscaping, Open Platform, Drainage System, Height raising of Boundary Wall etc. at GSS Jakkanpur</t>
  </si>
  <si>
    <t>01/PR/BSPTCL/2021</t>
  </si>
  <si>
    <t>Construction of 04 Nos of 132Kv Line Bay with SAS and construction of S/Y Control Panel Room at 400/220/132 Kv GSS Saharsha(New)</t>
  </si>
  <si>
    <t>05.07.2021</t>
  </si>
  <si>
    <t>04.07.22</t>
  </si>
  <si>
    <t>02/PR/BSPTCL/2019</t>
  </si>
  <si>
    <t>02/PR/BSPTCL/2020</t>
  </si>
  <si>
    <t xml:space="preserve">construction of D/C transmission line for river crossing (Ganga) with 03 no’s pile foundation &amp; 220 KV transmission tower for connectivity of 33 KV line for Raghopur PSS near Kachchi Dargah on turnkey basis under Deposit scheme </t>
  </si>
  <si>
    <t>03/PR/BSPTCL/2018</t>
  </si>
  <si>
    <t>03/PR/BSPTCL/2021</t>
  </si>
  <si>
    <t xml:space="preserve">construction of 02 no’s 220 KV AIS line bays at GSS Fatuha BSPTCL &amp; 02 no’s 132 KV AIS line bays at GSS Harnaut BSPTCL on turnkey basis </t>
  </si>
  <si>
    <t>22.09.2021</t>
  </si>
  <si>
    <t>21.06.2022</t>
  </si>
  <si>
    <t xml:space="preserve">04/PR/BSPTCL/2020 </t>
  </si>
  <si>
    <t>construction of 132 KV D/C transmission line with 05 no’s of pile foundation for river crossing (Koshi)(Route length-03RKM) require for 33 KV feeder from 132/33 KV Simri Bakhtiyarpur GSS to U/C Alani PSS(Block-Salkhua) at Saharsa district on turnkey basis under Deposit Scheme</t>
  </si>
  <si>
    <t>08.05.2020</t>
  </si>
  <si>
    <t>07.11.2020</t>
  </si>
  <si>
    <t>04/PR/BSPTCL/2021</t>
  </si>
  <si>
    <t>Construction of 01 no of 132 KV line bay at 132/33 GSS Kataiya &amp; stringing of 2nd circuit on DCSS of 132 KV Kataiya-Kusaha transmission line  on turnkey basis.</t>
  </si>
  <si>
    <t>08.07.2021</t>
  </si>
  <si>
    <t>07.04.2022</t>
  </si>
  <si>
    <t>08/PR/BSPTCL/2019</t>
  </si>
  <si>
    <t>08/PR/BSPTCL/2020</t>
  </si>
  <si>
    <t>Reconstruction of Boundary Wall at 132/33 KV GSS Supaul</t>
  </si>
  <si>
    <t>09/PR/BSPTCL/2020</t>
  </si>
  <si>
    <t>Construction of Retaining wall and Boundary Wall at 132/33KV GSS Campus Jaynagar</t>
  </si>
  <si>
    <t>10/PR/BSPTCL/2016</t>
  </si>
  <si>
    <t>Construction of 132/33 KV GSS at Korha &amp; Nathnagar.</t>
  </si>
  <si>
    <t>100/PR/BSPTCL/2018</t>
  </si>
  <si>
    <t>11/PR/BSPTCL/2021</t>
  </si>
  <si>
    <t>Construction of 132/33 KV 2X50 MVA GSS Barachatti(Dist.-Gaya) along with construction of 02 Nos. of 132 KV Line bays at GSS Chandauti &amp; 132/33 KV 2X50 MVA Bhore(Dist-Gaya).</t>
  </si>
  <si>
    <t>17.08.2021</t>
  </si>
  <si>
    <t>16.11.2022</t>
  </si>
  <si>
    <t>110/PR/BSPTCL/2018</t>
  </si>
  <si>
    <t>05.02.2020</t>
  </si>
  <si>
    <t>111/PR/BSPTCL/2018</t>
  </si>
  <si>
    <t>114/PR/BSPTCL/2018</t>
  </si>
  <si>
    <t>119/PR/BSPTCL/2018</t>
  </si>
  <si>
    <t>Shifting of dilapidated residential quarter of SDO, Jagdishpur for clearance of ROW obstruction falling in alignment of Ara – Jagdishpur Transmission line.</t>
  </si>
  <si>
    <t>12/PR/BSPTCL/2018</t>
  </si>
  <si>
    <t xml:space="preserve">construction of 132 KV DCSS   (2-Phase) transmission line from GSS Wazirganj (BSPTCL) to TSS Tilaiya (Line-length-21KM) and 01 no 132 KV Line bay at GSS Wazirganj (BSPTCL) on turnkey basis </t>
  </si>
  <si>
    <t>5.10.2018</t>
  </si>
  <si>
    <t>05.10.2018</t>
  </si>
  <si>
    <t>04.07.2019</t>
  </si>
  <si>
    <t>12/PR/BSPTCL/2020</t>
  </si>
  <si>
    <t>for construction of 132 KV D/C transmission line(01RKM) with ACSR panther conductor for crossing of falgu river with 03 no’s of pile foundation for connectivity of 33 KV line for PSS Bhusunda (Distt-Gaya) on turnkey basis under Deposit Scheme of SBPDCL</t>
  </si>
  <si>
    <t>121/PR/BSPTCL/2018</t>
  </si>
  <si>
    <t>122/PR/BSPTCL/2018</t>
  </si>
  <si>
    <t>16/PR/BSPTCL/2019</t>
  </si>
  <si>
    <t>16/PR/BSPTCL/2021</t>
  </si>
  <si>
    <t xml:space="preserve"> Re-conductoring of 132 kv Transmission Line from 400/132 Kv GIS Motihari (DMTCL) to 132/33 Kv GSS Motihari with HTLS (equivalent to panther) except GAP conductor</t>
  </si>
  <si>
    <t>13.08.2021</t>
  </si>
  <si>
    <t>17/PR/BSPCL/2018</t>
  </si>
  <si>
    <t>17/PR/BSPTCL/2019</t>
  </si>
  <si>
    <t>17/PR/BSPTCL/2021</t>
  </si>
  <si>
    <t>re-conductoring of 132Kv Transmission Line from GSS Kishanganj (New) to GSS Kishanganj (Old) with HTLS (equivalent to Panther) except GAP Conductor (Approx route Length-9.7 RKM)</t>
  </si>
  <si>
    <t>06.08.2021</t>
  </si>
  <si>
    <t>05.02.2022</t>
  </si>
  <si>
    <t>18/PR/BSPTCL/2019</t>
  </si>
  <si>
    <t>19/PR/BSPTCL/2019</t>
  </si>
  <si>
    <t>19/PR/BSPTCL/2021</t>
  </si>
  <si>
    <t>construction of 04 no’s 220 KV line bays, Its erection, testing &amp; commissioning at GSS Bodhgaya with associated works mentioned in scope of works</t>
  </si>
  <si>
    <t>23/PR/BSPTCL/2021</t>
  </si>
  <si>
    <t xml:space="preserve">For  1) Construction of DCDS 400KV from Buxar Thermal Power Plant to Naubatpur (BGCL) with twin Moose conductor.(RL-123KM)                                                                                                                                                                   2) Construction of DCDS 220KV from Buxar Thermal Power Plant to GSS Karamnasa with twin Moose conductor.(RL-90KM)                                                                                                                                                                            3) Construction of DCDS 220KV from Buxar Thermal Power Plant to GSS Dehri- on -Sone with single Zebra conductor.(RL- 120KM)                                                                                                                                                            on turnkey basis </t>
  </si>
  <si>
    <t>24/PR/BSPTCL/2018</t>
  </si>
  <si>
    <t>24/PR/BSPTCL/2020</t>
  </si>
  <si>
    <t>Construction of 02 no’s of 220 KV line bay, demolish of old quarters and construction of new quarters along with extension of control room and associated civil works at 220/132/33 KV GSS Begusarai.</t>
  </si>
  <si>
    <t>23.03.2021</t>
  </si>
  <si>
    <t>22.03.2022</t>
  </si>
  <si>
    <t>24/PR/BSPTCL/2021</t>
  </si>
  <si>
    <t xml:space="preserve"> for  Construction of DCDS 220 KV T/L from Buxar thermal power plant to GSS Dumraon (New),BGCL with twin moose conductor(RL-72 Km) on Turnkey. </t>
  </si>
  <si>
    <t>23.11.2021</t>
  </si>
  <si>
    <t>23.02.2023</t>
  </si>
  <si>
    <t>24/PR/BSPTCL/2022</t>
  </si>
  <si>
    <t>25/PR/BSPTCL/2021</t>
  </si>
  <si>
    <t xml:space="preserve">Construction of 02 no’s 220 KV AIS line bays at Dehri on Sone BSPTCL with associated work mentioned in the scope of works on turnkey basis under </t>
  </si>
  <si>
    <t>02.11.2021</t>
  </si>
  <si>
    <t>01.11.2022</t>
  </si>
  <si>
    <t>27/PR/BSPTCL/2018</t>
  </si>
  <si>
    <t>27/PR/BSPTCL/2019</t>
  </si>
  <si>
    <t>For Design, Manufacture, assdemble, testing, Supply, erection, testing and commissioning of 04 sets of 220V, 60/50 A and 29 sets of 220V, 45/30 A automatic float &amp; float cum boost battery chargers for VRLA type 10 sets of 220 V, 45/30 A automatic float &amp; float cum boost battery chargers for tubular type battery sets</t>
  </si>
  <si>
    <t>28/PR/BSPTCL/2019</t>
  </si>
  <si>
    <t xml:space="preserve">For  Height raising of tower/Conductor of 132 KV D/C Biharsharif –Hathidah transmission line between tower location no-323 to 326 and 220 KV D/C Biharsharif – Begusarai transmission line between location no-105 to 108 under Deposit </t>
  </si>
  <si>
    <t>28/PR/BSPTCL/2020</t>
  </si>
  <si>
    <t>Construction of BSPTCL (Re-conductoring of following transmission lines with HTLS (equivalent to Panther) conductor on turnkey basis under state plan:- 1. 132 KV D/C Barauni TPS - Begusarai Trans Line (CKM- 24KM) 2. 132 KV D/C Lakhisarai (PGCIL) – Lakhisarai Trans Line (CKM-32KM))</t>
  </si>
  <si>
    <t>31.03.2021</t>
  </si>
  <si>
    <t>30.12.2021</t>
  </si>
  <si>
    <t>29/PR/BSPTCL/2019</t>
  </si>
  <si>
    <t>construction of  one no of 132 KV  line bay with bus extension at GSS Bikramganj and construction of 132 KV 2-phase DCSS transmission line from GSS Bikramganj to upcoming TSS Bikramganj (Line length-18 RKM) with ACSR panther conductor on turnkey basis.</t>
  </si>
  <si>
    <t>31/PR/BSPTCL/2018</t>
  </si>
  <si>
    <t xml:space="preserve"> construction of 132 KV, 2-Phase, single circuit transmission line on double circuit tower between GSS Sheikhpura (Line-length-15KM) &amp; TSS Sheikhpura and corresponding 132 KV line bay at 132/33KV GSS Sheikhpura on turnkey basis </t>
  </si>
  <si>
    <t xml:space="preserve">Work order for supply, erection, testing &amp; commissioning  of 07 sets of 220V, 300Ah &amp; 01 set of 220V, 200Ah Tubular Acid Type sub station  battery sets against NIT No. 32/PR/BSPTCL/2018 under Trans. O&amp;M Head on FIRM Prices. </t>
  </si>
  <si>
    <t xml:space="preserve">For design, manufacture, testing at manufacture’s works and delivery of equipments required for restoration of different transmission lines(Total-06 nos) of BSPTCL by constructing pile foundations (Total-14 no’s)/Height rising (01 no) on turnkey basis under O &amp; M Head on firm price </t>
  </si>
  <si>
    <t>37/PR/BSPTCL/2017</t>
  </si>
  <si>
    <t>07.04.2021</t>
  </si>
  <si>
    <t>38/PR/BSPTCL/2018</t>
  </si>
  <si>
    <t>39/PR/BSPTCL/2018</t>
  </si>
  <si>
    <t>39/PR/BSPTCL/2019</t>
  </si>
  <si>
    <t>For supply, erection, testing &amp; commissioning  of 01 sets of 220V, 200 AH, 11 sets of 220V, 300AH &amp; 1 set of 220 V, 500 AH Tubular Acid Type sub- station battery sets including dismantling works wherever applicable under Trans. O&amp;M Head  on FIRM Prices.</t>
  </si>
  <si>
    <t>40/PR/BSPTCL/2018</t>
  </si>
  <si>
    <t>40/PR/BSPTCL/2021</t>
  </si>
  <si>
    <t>For Design, manufacture, assembely, testing, Supply and delivery of 175 nos. of contactless type potential detector under Trans. (O&amp;M) Plant &amp; Machinery Head, on FIRM Prices.</t>
  </si>
  <si>
    <t>41/PR/BSPTCL/2018</t>
  </si>
  <si>
    <t>50/PR/BSPTCL/2018</t>
  </si>
  <si>
    <t>51/PR/BSPTCL/2018</t>
  </si>
  <si>
    <t>52/PR/BSPTCL/2018</t>
  </si>
  <si>
    <t>53/PR/BSPTCL/2018</t>
  </si>
  <si>
    <t>54/PR/BSPTCL/2018</t>
  </si>
  <si>
    <t>56/PR/BSPTCL/2018</t>
  </si>
  <si>
    <t>57/PR/BSPTCL/2018</t>
  </si>
  <si>
    <t>58/PR/BSPTCL/2018</t>
  </si>
  <si>
    <t>62/PR/BSPTCL/2018</t>
  </si>
  <si>
    <t>63/PR/BSPTCL/2018</t>
  </si>
  <si>
    <t>64/PR/BSPTCL/2018</t>
  </si>
  <si>
    <t>65/PR/BSPTCL/2018</t>
  </si>
  <si>
    <t>66/PR/BSPTCL/2018</t>
  </si>
  <si>
    <t>67/PR/BSPTCL/2018</t>
  </si>
  <si>
    <t>68/PR/BSPTCL/2018</t>
  </si>
  <si>
    <t>69/PR/BSPTCL/2018</t>
  </si>
  <si>
    <t>71/PR/BSPTCL/2018</t>
  </si>
  <si>
    <t>72/PR/BSPTCL/2018</t>
  </si>
  <si>
    <t>77/PR/BSPTCL/2018</t>
  </si>
  <si>
    <t>79/PR/BSPTCL/2018</t>
  </si>
  <si>
    <t>31/PKG-K-1/BSPTCL/ADB/2016</t>
  </si>
  <si>
    <t xml:space="preserve">Procurement &amp; Construction for   Reconductoring of 132KV Transmission lines on Turnkey Basis under ADB Funded Package K-1
</t>
  </si>
  <si>
    <t>32/PKG-L-1/BSPTCL/ADB/2016</t>
  </si>
  <si>
    <t xml:space="preserve">Procurement &amp; Construction for  Reconductoring of 220KV &amp; 132KV Transmission lines on Turnkey Basis under ADB Funded  Package L-1.
</t>
  </si>
  <si>
    <t>12/PR/BSPTCL/2021</t>
  </si>
  <si>
    <t>I. LILO of 132 KV Barhi- Rajgir (L-29) and Barhi-Nalanda (L-28) Transmission line each at GSS Bhore (Each line length -1 KM) NIT No-12/PR/BSPTCL/2021
II. LILO of 132 KV Sonenagar - Chandauti (LL-38 RKM) 
NIT No-12/PR/BSPTCL/2021
III. 132 KV D/C Chandauti (New) to GSS Barachatti Transmission Line (RL-35 RKM) NIT No-12/PR/BSPTCL/2021</t>
  </si>
  <si>
    <t>05/PR/BSPTCL/2021</t>
  </si>
  <si>
    <t>Construction of 132KV D/C Raxaul (New)  to Raxaul (old) Transmission line (Line length-20 RKM), 2nd Ckt Stringing of 132 KV Raxaul(Old) -Parwanipur line (07 RKM) &amp; construction of 2 nos. 132 KV Line Bays at 220/132/33 KV GSS Raxaul (Under Principal Funding of MEAagaisnt NIT No:-05/PR/BSPTCL/2021</t>
  </si>
  <si>
    <t>09.07.2021</t>
  </si>
  <si>
    <t>08.07.2022</t>
  </si>
  <si>
    <t>40/PR/BSPTCL/2020</t>
  </si>
  <si>
    <t>Construction of 220 KV double circuit transmission line from GSS Begusarai to IOCL Barauni Refinery  (15 RKM) partly on monopole tower and shifting of 4 nos. of 220 KV Towers of existing transmission line required for M/s IOCL on M/C monopole Towers agaainst NIT NO:-40/PR/BSPTCL/2020</t>
  </si>
  <si>
    <t>30.06.2021</t>
  </si>
  <si>
    <t>29.06.2022</t>
  </si>
  <si>
    <t>07/PR/BSPTCL/2020</t>
  </si>
  <si>
    <t>37/PR/BSPTCL/2021</t>
  </si>
  <si>
    <t>38/PR/BSPTCL/2020</t>
  </si>
  <si>
    <t>Work for restoration of 132 KV Kishanganj (New) - Barsoi Transmission line with involvement of 06 nos. pile foundation &amp; its associated works. 38/PR/BSPTCL/2020</t>
  </si>
  <si>
    <t>Revised SDOC: 30.06.2022</t>
  </si>
  <si>
    <t>13/PR/BSPTCL/2021</t>
  </si>
  <si>
    <t>I. Construction of 132/33 KV 3x MVA GSS Nabinagar (Dist.: - Aurangabad)
II. Construction of 132/33 KV 2x50 GSS Daudnagar (Dist.: - Aurangabad) NIT No-13/PR/BSPTCL/2021 NIT No-13/PR/BSPTCL/2021</t>
  </si>
  <si>
    <t>08.12.2021</t>
  </si>
  <si>
    <t>72/PR/BSPTCL/2015</t>
  </si>
  <si>
    <t>Second Circuit Stringing of Existing 03 Nos. of 132 KV Double Circuit Single Strung Transmission Line:
i) GSS Belagunj to tapping point of L-32 &amp; L-33 Trans. Line 2.5 CKM
ii)132 KV Gaya-Tekari and 132 KV Tekari-Goh
51.8 CKM
iii)132 KV Jehanabad-Ataula (Karpi) 22.57 CKM Under Transmission Circle Gaya on Turnkey Basis
under State Plan on FIRM  prices against NIT No.- 72/PR/BSPTCL/15</t>
  </si>
  <si>
    <t xml:space="preserve">87/2015 </t>
  </si>
  <si>
    <t>Construction of 132 KV Transmission Lines required for the connectivity of power to upcoming new 132/33 KV Grid Sub Stations at Korha (Distt- Katihar),Nathnagar (Distt.- Bhagalpur) and Jamui(new) on turnkey basis under State Plan (R.L.=190 CKM) against NIT No.-87/PR/BSPTCL/2015</t>
  </si>
  <si>
    <t>Civil Works Buildings at various Location (TCC Bhagalpur, Dharbhanga, Madhepura, Muz, Purnea, Patna)</t>
  </si>
  <si>
    <t>Training institute at 132/33 KV GSS Gaurichak and Various Location TCC Bhagalpur, TCC Patna, TCC Chapra)</t>
  </si>
  <si>
    <t>Furniture &amp; Fixture at HQ, TC Muz, Patna (East, West), Purnea, Vaishali, Dharbhanga</t>
  </si>
  <si>
    <t>Land Owned Under Full Title</t>
  </si>
  <si>
    <t>Misc. Line Works</t>
  </si>
  <si>
    <t>Office Equipments</t>
  </si>
  <si>
    <t>Other Misc. Civil Works</t>
  </si>
  <si>
    <t>Plant &amp; Machinery</t>
  </si>
  <si>
    <t>ADB/IRF</t>
  </si>
  <si>
    <t>46/PR/BSPTCL/2021</t>
  </si>
  <si>
    <t>Construction of following on turnkey basis under IRF (i) Construction of 01 Nos. of 132/33 KV Transformer bays each at GSS Nirmali &amp; GSS Rosera (ii) Construction of 01 No. 220/132 KV transformer bay at GSS Pusauli &amp; (iii) Construction of new transformer foundation for 50 MVA Power Transformer at 03 locations for transformers against NIT No: - 46/PR/BSPTCL/2021</t>
  </si>
  <si>
    <t>13.06.2022</t>
  </si>
  <si>
    <t>12.06.2023</t>
  </si>
  <si>
    <t>09/PR/BSPTCL/2022</t>
  </si>
  <si>
    <t>Supply, installation, testing &amp; commissioning of Device Language Message Specification (DLMS) compliant 0.2s class ABT type energy meter with implementation of 100% metering, data acquisition and ABT monitoring for the transmission &amp; sub-transmission substations from 220 KV level to 33KV level, Monthly Energy Accounting and Service Maintenance for a period of 5 years under “Assistance to States for Capital Investment 2022-23” Scheme against NIT No.:- 09/PR/BSPTCL/2022</t>
  </si>
  <si>
    <t>08 (Eight) months from the date of issue of NOA</t>
  </si>
  <si>
    <t xml:space="preserve"> 14/PR/BSPTCL/2022 </t>
  </si>
  <si>
    <t xml:space="preserve">Re-conductoring of  following 12 Nos. 132 KV Transmission Lines with HTLS equivalent to ACSR Panther :- (i) 132 kV Gopalganj to  Mashrakh, (ii) 132 kV Mashrakh to Siwan, (iii) 132 kV Siwan to Hathua (iv) 132 kV Hatuha to Gopalganj, (v) 132 kV Samastipur to Darbhanga, (vi) 132 Kv Gangwara to Pandaul, (vii) 132 kV Purnea to  Katihar, (viii) 132 kV  Chhapra to Hajipur, (ix)  132 kV Kataiya to  Supaul , (x) 132 kV Madhepura to Supaul, (xi)  132 kV Hajipur (New) to  Hajipur   &amp; (xii)  132 kV Samastipur(New) to Samastipur under “Assistance to States for Capital Investment 2022-23” Scheme against NIT No.:- 14/PR/BSPTCL/2022 </t>
  </si>
  <si>
    <t>02.08.2022</t>
  </si>
  <si>
    <t>07 (Seven) months from the date of issue of NOA</t>
  </si>
  <si>
    <t>Construction of 2 nos. of 220KV GIS bays at GSS Dumraon (BGCL) &amp; 01 no of 220KV GIS bay at Darbhanga (DMTCL) on turnkey basis against NIT No.:- 44/PR/BSPTCL/20221</t>
  </si>
  <si>
    <t>12.07.2022</t>
  </si>
  <si>
    <t>12 (Twelev) months from the date of issue of NOA</t>
  </si>
  <si>
    <t>33/PR/BSPTCL/2021</t>
  </si>
  <si>
    <r>
      <rPr>
        <b/>
        <sz val="12"/>
        <rFont val="Book Antiqua"/>
        <family val="1"/>
      </rPr>
      <t>1</t>
    </r>
    <r>
      <rPr>
        <sz val="12"/>
        <rFont val="Book Antiqua"/>
        <family val="1"/>
      </rPr>
      <t xml:space="preserve">.construction of  05 nos. of  132 KV Transmission tower (including 03 nos. of pile foundation) ,stringing with ACSR panther conductor for crossing of 33 KV line from GSS  Ramnagar  to PSS Chautarava over Massan River near Dainmarwa Village </t>
    </r>
    <r>
      <rPr>
        <b/>
        <sz val="12"/>
        <rFont val="Book Antiqua"/>
        <family val="1"/>
      </rPr>
      <t xml:space="preserve">2. </t>
    </r>
    <r>
      <rPr>
        <sz val="12"/>
        <rFont val="Book Antiqua"/>
        <family val="1"/>
      </rPr>
      <t>Construction of 02 nos. of  132 KV Transmission tower , stringing with ACSR panther conductor for crossing of 33 KV line from GSS Ramnagar to PSS Bagha over Masssan River near Juda Village under deposit head on turnkey basis  against  NIT No.-33/PR/BSPTCL/2021</t>
    </r>
  </si>
  <si>
    <t>09.03.2022</t>
  </si>
  <si>
    <t>Construction of 02 nos. of 220 KV GIS line bays (related with Garaul GSS)</t>
  </si>
  <si>
    <t>Construction of 220 KV&amp; 132 KV transmission line by monopole/ narrow base tower for interconnectivity/ redundancy of GSS in and around Patna</t>
  </si>
  <si>
    <t>Reconductoring of Chandauti-Tekari 132 KVD/CTransmission line by HTLS</t>
  </si>
  <si>
    <t>14/PR/BSPTCL/2021</t>
  </si>
  <si>
    <t>LILO of 132 KV Sonenagar - Rihand (Ckt-I) Transmission line at GSS Nabinagar (RL-15 RKM) NIT No-14/PR/BSPTCL/2021</t>
  </si>
  <si>
    <t>12.08.2021</t>
  </si>
  <si>
    <t>11.11.2022</t>
  </si>
  <si>
    <t>10/PR/BSPTCL/2021</t>
  </si>
  <si>
    <t>15/PR/BSPTCL/2021</t>
  </si>
  <si>
    <t>16.08.2021</t>
  </si>
  <si>
    <t>15.11.2022</t>
  </si>
  <si>
    <t>08.06.2023</t>
  </si>
  <si>
    <t>Work order for supply &amp; installation of optimizer storage in accounts wing and corridor west Block of BSPTCL, Vidyut Bhawan-II, Patna.</t>
  </si>
  <si>
    <t>Plan</t>
  </si>
  <si>
    <t>P2</t>
  </si>
  <si>
    <t>Civil</t>
  </si>
  <si>
    <t>Construction of 132 KV DC Transmission line from Motihari (400/132 Kv) GSS to Motihari (132/33KV) GSS , nit-60/2014</t>
  </si>
  <si>
    <t>1.Reconducorting of 132 KV SC BTPS Naugachia transmission line and 132 KV Baripahari Fathua Gaighat Mithapur Jakanpur  with panther conductor, 2.  Re-conductoring of 132 KV D/C Trans.  line. Biharsharif-Hathidah T/L (RL-65 kms.) and 132 KV S/C Hathidah-Lakhisarai T/Line (RL-28 kms.) , NIT-161/2013 Pkg A &amp; D</t>
  </si>
  <si>
    <t>Reconductoring of 132 KV SC BTPS Naugachiapur transmission line and 132 KV Baripahari Fathua Gaighat Mithapur Jakanpur  with panther conductor</t>
  </si>
  <si>
    <t>Renovation and rising height of boundary wall of 220/132 KV GSS Campus Gaurichak, 14/PR/BSPTCL/2018</t>
  </si>
  <si>
    <t>Cancelled</t>
  </si>
  <si>
    <t>for Restoration of 220KV BTPS -Hajipur D/C  Trans line with invironment of 07 nos. pile foundation and all associated work.</t>
  </si>
  <si>
    <t>73/2015</t>
  </si>
  <si>
    <t>O&amp;M</t>
  </si>
  <si>
    <t>CIVIL</t>
  </si>
  <si>
    <t>ICB 28</t>
  </si>
  <si>
    <t>387/2013 A &amp;B</t>
  </si>
  <si>
    <t>427/2013, Pkg C</t>
  </si>
  <si>
    <t>116/PR/BSPTCL/2018</t>
  </si>
  <si>
    <t>05/2020</t>
  </si>
  <si>
    <t>12/PR/BSPTCL/2014</t>
  </si>
  <si>
    <t>15/PR/BSPTCL/2014 pkg- A</t>
  </si>
  <si>
    <t>18/PR/BSPTCL/2014</t>
  </si>
  <si>
    <t>20/PR/BSPTCL/2014 PKG B</t>
  </si>
  <si>
    <t>234/PR/BSPTCL/2013</t>
  </si>
  <si>
    <t>322/PR/BSPTCL/2013, Pkg-A</t>
  </si>
  <si>
    <t>322/PR/BSPTCL/2013, Pkg-B</t>
  </si>
  <si>
    <t>01/PR/BSPTCL/2018  Gr. No.-01</t>
  </si>
  <si>
    <t>50/PR/BSPTCL/2016 GRrNo 04</t>
  </si>
  <si>
    <t>42/PR/BSPTCL/2014, Gr-03</t>
  </si>
  <si>
    <t>42/PR/BSPTCL/2016- GR 04</t>
  </si>
  <si>
    <t>23/PR/BSPTCL/2015</t>
  </si>
  <si>
    <t>75/PR/BSPTCL/2015</t>
  </si>
  <si>
    <t>90/PR/BSPTCL/2015 Gr No.-11</t>
  </si>
  <si>
    <t>90/PR/BSPTCL/2015 Gr No.-10</t>
  </si>
  <si>
    <t>90/PR/BSPTCL/2015 Gr. No.;-18</t>
  </si>
  <si>
    <t>90/PR/BSPTCL/2015 Gr-06</t>
  </si>
  <si>
    <t>2/PR/BSPTCL/2016 GR-02</t>
  </si>
  <si>
    <t>90/PR/BSPTCL/2015 Gr- 17</t>
  </si>
  <si>
    <t>90/PR/BSPTCl/2015 Gr-05</t>
  </si>
  <si>
    <t>90/PR/BSPTCL/2015 Gr No.-01</t>
  </si>
  <si>
    <t>90/PR/BSPTCL/2015, Gr-02</t>
  </si>
  <si>
    <t>06/PR/BSPTCL/2014 Gr. No.:-01</t>
  </si>
  <si>
    <t>75/PR/BSPTC/2014 Gr- 02</t>
  </si>
  <si>
    <t>53/PR/BSPTCL/2015 Gr. No-03</t>
  </si>
  <si>
    <t>89/PR/BSPTCL/2014 Gr No-04</t>
  </si>
  <si>
    <t>82/PR/BSPTCL/2015</t>
  </si>
  <si>
    <t>55/PR/BSPTCL/2014 GR No. 02</t>
  </si>
  <si>
    <t>53/PR/BSPTCL/2014 Gr-02</t>
  </si>
  <si>
    <t>42/PR/BSPTCL/2014 Gr-02</t>
  </si>
  <si>
    <t>90/PR/BSPTCL/2015 Gr no-21</t>
  </si>
  <si>
    <t>90/PR/BSPTCl/2015 Gr-09</t>
  </si>
  <si>
    <t>08/PR/BSPTCL/2016</t>
  </si>
  <si>
    <t>42/PR/BSPTCL/2014 Gr No.-01</t>
  </si>
  <si>
    <t>90/PR/BSPTCL/2015 Gr No.-14</t>
  </si>
  <si>
    <t>90/PR/BSPTCL/2015 Gr No.- 15</t>
  </si>
  <si>
    <t>89/PR/BSPTCL/2014 Gr No 05</t>
  </si>
  <si>
    <t>75/PR/BSPTCL/2014 Gr-01</t>
  </si>
  <si>
    <t>94/PR/BSPTCL/2015</t>
  </si>
  <si>
    <t>90/PR/BSPTCL/2015 Gr-24</t>
  </si>
  <si>
    <t>118/2013</t>
  </si>
  <si>
    <t>PO-13, Dt-19.03.14 &amp; LOI-2275</t>
  </si>
  <si>
    <t>95/PR/BSPTCl/2015 Gr No-01</t>
  </si>
  <si>
    <t>13/PR/BSPTCL/2015 Gr. No.-02</t>
  </si>
  <si>
    <t>13/PR/BSPTCl/2015 Gr. No.-03</t>
  </si>
  <si>
    <t>13/PR/BSPTCl/2015 Gr. No.-04</t>
  </si>
  <si>
    <t>44/PR/BSPTCL/2014 Gr-03</t>
  </si>
  <si>
    <t>90/PR/BSPTCL/2015 Gr No-08</t>
  </si>
  <si>
    <t>55/PR/BSPTCL/2014 Gr. No.- 03</t>
  </si>
  <si>
    <t>90/PR/BSPTCL/2015 Gr. No.:- 25</t>
  </si>
  <si>
    <t>28/PR/BSPTCL/2016 Gr-01</t>
  </si>
  <si>
    <t>90/PR/BSPTCL/2015 Gr No.- 22</t>
  </si>
  <si>
    <t>50/PR/BSPTCL/2016 Gr No-03</t>
  </si>
  <si>
    <t>50/PR/BSPTCL/2016 GR. No.-01</t>
  </si>
  <si>
    <t>53/PR/BSPTCL/2015 Gr. No-04</t>
  </si>
  <si>
    <t>89/PR/BSPTCL/2014 Gr-10</t>
  </si>
  <si>
    <t>53/PR/BSPTCL/2015 Gr-02</t>
  </si>
  <si>
    <t>89/PR/BSPTCL/2014, GR-02</t>
  </si>
  <si>
    <t>90/PR/BSPTCL/2015 Gr-02</t>
  </si>
  <si>
    <t>433/PR/BSPTCL/2013</t>
  </si>
  <si>
    <t>53/PR/BSPTCl/2015 Gr. No.-01</t>
  </si>
  <si>
    <t>89/PR/BSPTCL/2014 Gr-06</t>
  </si>
  <si>
    <t>90/PR/BSPTCL/2015 Gr No.-16</t>
  </si>
  <si>
    <t>90/PR/BSPTCL/2015 Gr-23</t>
  </si>
  <si>
    <t>95/PR/BSPTCl/2015 Gr No-05</t>
  </si>
  <si>
    <t>50/PR/BSPTCL/2016 GR. No.-05</t>
  </si>
  <si>
    <t>50/PR/BSPTCL/2016 Gr No 02</t>
  </si>
  <si>
    <t>67/PR/BSPTCl/2013</t>
  </si>
  <si>
    <t>116/PR/BSEB/2012</t>
  </si>
  <si>
    <t>53/PR/BSPTCL/2014 Gr-03</t>
  </si>
  <si>
    <t>Wo-417 dt 28.02.12</t>
  </si>
  <si>
    <t>Unidentified NIT &amp; Work, Po-05, Wo-417 dt 28.02.12</t>
  </si>
  <si>
    <t>60/PR/BSPHCL/2013</t>
  </si>
  <si>
    <t>190/PR/BSEB/2009</t>
  </si>
  <si>
    <t>232/PR/BSEB/2010</t>
  </si>
  <si>
    <t>28/PR/BSEB/2011</t>
  </si>
  <si>
    <t>167/PR/BSEB/2010</t>
  </si>
  <si>
    <t>179/PR/BSEB/2010</t>
  </si>
  <si>
    <t>03/PR/BSPTCL/2016</t>
  </si>
  <si>
    <t>55/PR/BSPTCL/2014 Gr-05</t>
  </si>
  <si>
    <t>89/PR/BSPTCL/2014 Gr No 08</t>
  </si>
  <si>
    <t>5/PR/BSPTCL/2014 Gr No 05</t>
  </si>
  <si>
    <t>75/PR/BSPTCL/2014 Gr no.-03</t>
  </si>
  <si>
    <t>89/PR/BSPTCL/2014 GR -01</t>
  </si>
  <si>
    <t>34/PR/BSPTCL/2018</t>
  </si>
  <si>
    <t>78/PR/BSPTCL/2018</t>
  </si>
  <si>
    <t>109/PR/BSPTCL/2018</t>
  </si>
  <si>
    <t>108/PR/BSPTCL/2018</t>
  </si>
  <si>
    <t>55/PR/BSPTCl/2018</t>
  </si>
  <si>
    <t>70/PR/BSPTCL/2018</t>
  </si>
  <si>
    <t>107/PR/BSPTCL/2018</t>
  </si>
  <si>
    <t>49/PR/BSPTCL2018</t>
  </si>
  <si>
    <t>22/PR/BSPTCL/2018</t>
  </si>
  <si>
    <t>35/PR/BSPTCL/2018</t>
  </si>
  <si>
    <t>15/PR/BSPTCL/2019 &amp; 73/2018</t>
  </si>
  <si>
    <t>128/PR/BSPTCL/2018</t>
  </si>
  <si>
    <t>129/PR/BSPTCL/2018</t>
  </si>
  <si>
    <t>135/2018</t>
  </si>
  <si>
    <t>Design Manufacture assembly, testing, supply and delivery of 15 nos of leakage insulator detector cum tower footing impedance measuring kit</t>
  </si>
  <si>
    <t>25/PR/BSPTCL/2022</t>
  </si>
  <si>
    <t>Construction of 132/33KV GSS Maharajganj- NIT/93/2014.
Construction of 132/33KV GSS Narkatiyaganj - NIT-93/2014
Construction of 132/33KV GSS Hathua NIT-93/2014
Construction of 132/33KV GSS Areraj, NIT-93/2014</t>
  </si>
  <si>
    <t>Construction of 132/33KV GSS Chakiya-NIT-62A/2014
Construction of 132/33KV GSS Jhanjharpur
Construction of 132/33KV GSS Pakridayal</t>
  </si>
  <si>
    <t>R&amp;M of 132/33KV GSS at Kishanganj, Jamalpur and Purnea against  NIT no. 07/PR/BSPTCL/2016</t>
  </si>
  <si>
    <t>01/2014, Pkg B</t>
  </si>
  <si>
    <t>01/2014, L&amp;T</t>
  </si>
  <si>
    <t>02/PR/BSPTCL/2016</t>
  </si>
  <si>
    <t>Special repair and maintenance of IB and construction of septic tanks at 132/33 KV GSS Motihari, 117/PR/BSPTCL/2018 Sl. No.:-02, 03</t>
  </si>
  <si>
    <t>Construction of New  Store Shed , PCC and Garvel spreading at GSS Sheetalpur, Boundary Wall GSS Motihari 42/PR/BSPTCL/2014 Gr No.-01</t>
  </si>
  <si>
    <t>Duplicate as Sl. No. 190 Mode of Finance not matched</t>
  </si>
  <si>
    <t>Duplicate as Sl. No. 189 Mode of Finance not matched</t>
  </si>
  <si>
    <t>P1</t>
  </si>
  <si>
    <t>Duplicate as Sl. No. 10, Mode of Finance not matched; P1</t>
  </si>
  <si>
    <t>Duplicate as Sl. No. 9, Mode of Finance not matched;P1</t>
  </si>
  <si>
    <t>Duplicate as Sl. No. 86 Mode of Finance not matched;P1</t>
  </si>
  <si>
    <t>Duplicate as Sl. No. 85 Mode of Finance not matched; P1</t>
  </si>
  <si>
    <t>Duplicate as Sl. No. 88 Mode of Finance not matched; P1</t>
  </si>
  <si>
    <t>Duplicate as Sl. No. 87, Mode of Finance not matched; P1</t>
  </si>
  <si>
    <r>
      <t xml:space="preserve">Implementation of Balance Work Of Scheduling
, Accounting Metering and Settlement of Transaction(Samast) in Bihar, </t>
    </r>
    <r>
      <rPr>
        <i/>
        <sz val="12"/>
        <rFont val="Book Antiqua"/>
        <family val="1"/>
      </rPr>
      <t>- 115/PR/BSPTCL/2018</t>
    </r>
  </si>
  <si>
    <r>
      <t xml:space="preserve">Construction of 220 KV line bay at 220/132/33KV GSS Darbhanga &amp; PCC for Construction of 02 Nos, 132 KV line bays at GSS Supaul (Existing), </t>
    </r>
    <r>
      <rPr>
        <i/>
        <sz val="12"/>
        <rFont val="Book Antiqua"/>
        <family val="1"/>
      </rPr>
      <t>NIT-13/PR/BSPTCL/2019</t>
    </r>
  </si>
  <si>
    <t>Summary of Capitalization</t>
  </si>
  <si>
    <t>Particulars</t>
  </si>
  <si>
    <t>Total Projected Capitalization</t>
  </si>
  <si>
    <t>Projected Capitalization by P1</t>
  </si>
  <si>
    <t>Projected Capitalization by P2</t>
  </si>
  <si>
    <t>12th Plan Ongoing Project</t>
  </si>
  <si>
    <t>12th Plan Old Projects</t>
  </si>
  <si>
    <t>Railway crossing 132 kv D/C 
Forbesganj-Kishanganj, NIT-59/2014, 
D</t>
  </si>
  <si>
    <t>13th Plan Other Project</t>
  </si>
  <si>
    <t>13th Plan Upcoming Project</t>
  </si>
  <si>
    <t>32/PR/BSPTCL/2018</t>
  </si>
  <si>
    <t>Capicity Augmentation  of  biharshariff, Fatuha, Bodhgaya, Dehri on Sone , Khagaul and  GSS kataiya</t>
  </si>
  <si>
    <t>New Project</t>
  </si>
  <si>
    <t>20.04.2022</t>
  </si>
  <si>
    <t>10.12.2019</t>
  </si>
  <si>
    <t>09.12.2020</t>
  </si>
  <si>
    <t>11.11.2019</t>
  </si>
  <si>
    <t>10.04.2021</t>
  </si>
  <si>
    <t>03.06.2022</t>
  </si>
  <si>
    <t>02.12.2021</t>
  </si>
  <si>
    <t>01.06.2020</t>
  </si>
  <si>
    <t>31.05.2021</t>
  </si>
  <si>
    <t>08.03.2019</t>
  </si>
  <si>
    <t>08.12.2019</t>
  </si>
  <si>
    <t>04.07.2021</t>
  </si>
  <si>
    <t>11.12.2020</t>
  </si>
  <si>
    <t>10.06.2021</t>
  </si>
  <si>
    <t>09.10.2018</t>
  </si>
  <si>
    <t>08.07.2019</t>
  </si>
  <si>
    <t>15/PR/BSPTCL/2022</t>
  </si>
  <si>
    <t>Construction of 132/33 KV 2X50 MVA GSS Barari (Dist.-Bhagalpur), 132/33 KV 2X50 MVA GSS Bagha (Dist.-West Champaran) &amp; 132/33 KV 2X50 MVA GSS Murliganj (Dist.-</t>
  </si>
  <si>
    <t>Re-conductoring of 01 no. 220kV trans. Line with HTLS Conductor(Zebra   equivalent) &amp; 05 nos. trans. Lines with HTLS conductor(Panther equivalent) against NIT No. 15/PR/BSPTCL/2022</t>
  </si>
  <si>
    <t>01.03.2023</t>
  </si>
  <si>
    <t>BRGF+State Plan</t>
  </si>
  <si>
    <t>Special Central Funded Scheme</t>
  </si>
  <si>
    <t>ICB 8</t>
  </si>
  <si>
    <t>Ratan Kumar.</t>
  </si>
  <si>
    <t>Shankar Kumar</t>
  </si>
  <si>
    <t>CE (P-II)</t>
  </si>
  <si>
    <t>CE (P-I)</t>
  </si>
  <si>
    <t>LILO of both circuit of 132 KV GIS Goradih- GSS Sabour D/C Transmission Line at GSS Barari with ACSR Panther 2. D/C GSS Udakishanganj - GSS Murliganj Transmission Line (RL-50 KM)with ACSR Panther Conductor. 3. LILO of 132 KV Ramnagar- Dhanaha transmission Line (RKM- 40 Km) NIT No 15/PR/BSPTCL/2021</t>
  </si>
  <si>
    <t>R&amp;M of 02 nos. 220/132/33KV GSS Bodhgaya and Khagaul on turnkey basis  against  NIT No.-24/PR/BSPTCL/2022</t>
  </si>
  <si>
    <t>R&amp;M of 04 nos. 132/33KV GSS Jehanabad, Banjari, Shekhpura &amp; Hajipur on turnkey basis  against  NIT No.-25/PR/BSPTCL/2022</t>
  </si>
  <si>
    <t>State Plan+ IRF</t>
  </si>
  <si>
    <t>Regulatory Approval Reference No.</t>
  </si>
  <si>
    <t>Page No. 158, Sl. No. 1 of MYT Order</t>
  </si>
  <si>
    <t>Page No. 194, Sl. No. 2-5 of MYT Order</t>
  </si>
  <si>
    <t>Page No. 194, Sl. No. 10 of MYT Order</t>
  </si>
  <si>
    <t>Page No. 194, Sl. No. 11 of MYT Order</t>
  </si>
  <si>
    <t>Page No. 195, Sl. No. 13 of MYT Order</t>
  </si>
  <si>
    <t>Page No. 195, Sl. No. 14 of MYT Order</t>
  </si>
  <si>
    <t>Page No. 195, Sl. No. 17 of MYT Order</t>
  </si>
  <si>
    <t>Page No. 195, Sl. No. 18 of MYT Order</t>
  </si>
  <si>
    <t>Page No. 195, Sl. No. 19 of MYT Order</t>
  </si>
  <si>
    <t>Page No. 195, Sl. No. 20 of MYT Order</t>
  </si>
  <si>
    <t>Page No. 195, Sl. No. 21 of MYT Order</t>
  </si>
  <si>
    <t>Page No. 196, Sl. No. 25 of MYT Order</t>
  </si>
  <si>
    <t>Page No. 196, Sl. No. 26 of MYT Order</t>
  </si>
  <si>
    <t>Page No. 196, Sl. No. 27 of MYT Order</t>
  </si>
  <si>
    <t>Page No. 196, Sl. No. 28 of MYT Order</t>
  </si>
  <si>
    <t>Page No. 196, Sl. No. 29 of MYT Order</t>
  </si>
  <si>
    <t>Page No. 197, Sl. No. 30 of MYT Order</t>
  </si>
  <si>
    <t>Page No. 197, Sl. No. 31 of MYT Order</t>
  </si>
  <si>
    <t>Page No. 197, Sl. No. 32 of MYT Order</t>
  </si>
  <si>
    <t>Page No. 197, Sl. No. 35 of MYT Order</t>
  </si>
  <si>
    <t>Page No. 198, Sl. No. 37 of MYT Order</t>
  </si>
  <si>
    <t>Page No. 198, Sl. No. 38 of MYT Order</t>
  </si>
  <si>
    <t>Page No. 198, Sl. No. 40 of MYT Order</t>
  </si>
  <si>
    <t>Page No. 198, Sl. No. 39 of MYT Order</t>
  </si>
  <si>
    <t>Page No. 198, Sl. No. 45 of MYT Order</t>
  </si>
  <si>
    <t>Page No. 199, Sl. No. 46 of MYT Order</t>
  </si>
  <si>
    <t>Page No. 199, Sl. No. 47 of MYT Order</t>
  </si>
  <si>
    <t>Page No. 199, Sl. No. 48 of MYT Order</t>
  </si>
  <si>
    <t>Page No. 199, Sl. No. 49 of MYT Order</t>
  </si>
  <si>
    <t>Page No. 199, Sl. No. 50 of MYT Order</t>
  </si>
  <si>
    <t>Page No. 199, Sl. No. 52 of MYT Order</t>
  </si>
  <si>
    <t>Page No. 201, Sl. No. 58 of MYT Order</t>
  </si>
  <si>
    <t>Page No. 201, Sl. No. 60 of MYT Order</t>
  </si>
  <si>
    <t>Page No. 201, Sl. No. 61 of MYT Order</t>
  </si>
  <si>
    <t>Page No. 236, Sl. No. 392 of MYT Order</t>
  </si>
  <si>
    <t>Page No. 201, Sl. No. 64 of MYT Order</t>
  </si>
  <si>
    <t>Page No. 202, Sl. No. 65 of MYT Order</t>
  </si>
  <si>
    <t>Page No. 202, Sl. No. 66 of MYT Order</t>
  </si>
  <si>
    <t>Page No. 202, Sl. No. 67 of MYT Order</t>
  </si>
  <si>
    <t>Page No. 202, Sl. No. 70 of MYT Order</t>
  </si>
  <si>
    <t>Page No. 203, Sl. No. 74 of MYT Order</t>
  </si>
  <si>
    <t>Page No. 203, Sl. No. 75 of MYT Order</t>
  </si>
  <si>
    <t>Page No. 203, Sl. No. 76 of MYT Order</t>
  </si>
  <si>
    <t>Page No. 203, Sl. No. 77 of MYT Order</t>
  </si>
  <si>
    <t>Page No. 203, Sl. No. 81 of MYT Order</t>
  </si>
  <si>
    <t>Page No. 204, Sl. No. 82 of MYT Order</t>
  </si>
  <si>
    <t>Page No. 204, Sl. No. 84 of MYT Order</t>
  </si>
  <si>
    <t>Page No. 204, Sl. No. 86 of MYT Order</t>
  </si>
  <si>
    <t>Page No. 269, Sl. No. 87 of MYT Order</t>
  </si>
  <si>
    <t>Page No. 165, Sl. No. 6 of MYT Order</t>
  </si>
  <si>
    <t>Page No. 165, Sl. No. 8 of MYT Order</t>
  </si>
  <si>
    <t>Page No. 205, Sl. No. 91 of MYT Order</t>
  </si>
  <si>
    <t>Page No. 205, Sl. No. 92 of MYT Order</t>
  </si>
  <si>
    <t>Page No. 205, Sl. No. 93 of MYT Order</t>
  </si>
  <si>
    <t>Page No. 205, Sl. No. 95 of MYT Order</t>
  </si>
  <si>
    <t>Page No. 205, Sl. No. 96 of MYT Order</t>
  </si>
  <si>
    <t>Page No. 205, Sl. No. 98 of MYT Order</t>
  </si>
  <si>
    <t>Page No. 205, Sl. No. 99 of MYT Order</t>
  </si>
  <si>
    <t>Page No. 206, Sl. No. 101 of MYT Order</t>
  </si>
  <si>
    <t>Page No. 206, Sl. No. 104 of MYT Order</t>
  </si>
  <si>
    <t>Page No. 206, Sl. No. 105 of MYT Order</t>
  </si>
  <si>
    <t>Page No. 206, Sl. No. 106 of MYT Order</t>
  </si>
  <si>
    <t>Page No. 206, Sl. No. 109 of MYT Order</t>
  </si>
  <si>
    <t>Page No. 206, Sl. No. 110 of MYT Order</t>
  </si>
  <si>
    <t>Page No. 207, Sl. No. 115 of MYT Order</t>
  </si>
  <si>
    <t>Page No. 207, Sl. No. 114 of MYT Order</t>
  </si>
  <si>
    <t>Page No. 207, Sl. No. 113 of MYT Order</t>
  </si>
  <si>
    <t>Page No. 207, Sl. No. 112 of MYT Order</t>
  </si>
  <si>
    <t>Page No. 207, Sl. No. 111 of MYT Order</t>
  </si>
  <si>
    <t>Page No. 208, Sl. No. 116 of MYT Order</t>
  </si>
  <si>
    <t>Page No. 208, Sl. No. 117 of MYT Order</t>
  </si>
  <si>
    <t>Page No. 208, Sl. No. 118 of MYT Order</t>
  </si>
  <si>
    <t>Page No. 208, Sl. No. 120 of MYT Order</t>
  </si>
  <si>
    <t>Page No. 208, Sl. No. 121 of MYT Order</t>
  </si>
  <si>
    <t>Page No. 208, Sl. No. 122 of MYT Order</t>
  </si>
  <si>
    <t>Page No. 208, Sl. No. 124 of MYT Order</t>
  </si>
  <si>
    <t>Page No. 209, Sl. No. 125 of MYT Order</t>
  </si>
  <si>
    <t>Page No. 209, Sl. No. 126 of MYT Order</t>
  </si>
  <si>
    <t>Page No. 178, Sl. No. 147 of MYT Order</t>
  </si>
  <si>
    <t>Page No. 209, Sl. No. 127 of MYT Order</t>
  </si>
  <si>
    <t>Page No. 211, Sl. No. 149 of MYT Order</t>
  </si>
  <si>
    <t>Page No. 209, Sl. No. 129 of MYT Order</t>
  </si>
  <si>
    <t>Page No. 209, Sl. No. 130 of MYT Order</t>
  </si>
  <si>
    <t>Page No. 209, Sl. No. 131 of MYT Order</t>
  </si>
  <si>
    <t>Page No. 209, Sl. No. 132 of MYT Order</t>
  </si>
  <si>
    <t>Page No. 209, Sl. No. 133 of MYT Order</t>
  </si>
  <si>
    <t>Page No. 209, Sl. No. 134 of MYT Order</t>
  </si>
  <si>
    <t>Page No. 209, Sl. No. 135 of MYT Order</t>
  </si>
  <si>
    <t>Page No. 209, Sl. No. 136 of MYT Order</t>
  </si>
  <si>
    <t>Page No. 210, Sl. No. 137 of MYT Order</t>
  </si>
  <si>
    <t>Page No. 210, Sl. No. 138 of MYT Order</t>
  </si>
  <si>
    <t>Page No. 210, Sl. No. 139 of MYT Order</t>
  </si>
  <si>
    <t>Page No. 210, Sl. No. 140 of MYT Order</t>
  </si>
  <si>
    <t>Page No. 210, Sl. No. 142 of MYT Order</t>
  </si>
  <si>
    <t>Page No. 210, Sl. No. 143 of MYT Order</t>
  </si>
  <si>
    <t>Page No. 210, Sl. No. 145 of MYT Order</t>
  </si>
  <si>
    <t>Page No. 210, Sl. No. 146 of MYT Order</t>
  </si>
  <si>
    <t>Page No. 210, Sl. No. 147 of MYT Order</t>
  </si>
  <si>
    <t>Page No. 210, Sl. No. 148 of MYT Order</t>
  </si>
  <si>
    <t>Page No. 211, Sl. No. 150 of MYT Order</t>
  </si>
  <si>
    <t>Page No. 211, Sl. No. 151 of MYT Order</t>
  </si>
  <si>
    <t>Page No. 211, Sl. No. 152 of MYT Order</t>
  </si>
  <si>
    <t>Page No. 211, Sl. No. 158 of MYT Order</t>
  </si>
  <si>
    <t>Page No. 211, Sl. No. 160 of MYT Order</t>
  </si>
  <si>
    <t>Page No. 212, Sl. No. 161 of MYT Order</t>
  </si>
  <si>
    <t>Page No. 212, Sl. No. 162 of MYT Order</t>
  </si>
  <si>
    <t>Page No. 212, Sl. No. 163 of MYT Order</t>
  </si>
  <si>
    <t>Page No. 212, Sl. No. 165 of MYT Order</t>
  </si>
  <si>
    <t>Page No. 212, Sl. No. 166 of MYT Order</t>
  </si>
  <si>
    <t>Page No. 212, Sl. No. 167 of MYT Order</t>
  </si>
  <si>
    <t>Page No. 212, Sl. No. 168 of MYT Order</t>
  </si>
  <si>
    <t>Page No. 212, Sl. No. 169 of MYT Order</t>
  </si>
  <si>
    <t>Page No. 212, Sl. No. 174 of MYT Order</t>
  </si>
  <si>
    <t>Page No. 213, Sl. No. 175 of MYT Order</t>
  </si>
  <si>
    <t>Page No. 213, Sl. No. 177 of MYT Order</t>
  </si>
  <si>
    <t>Page No. 213, Sl. No. 178 of MYT Order</t>
  </si>
  <si>
    <t>Page No. 213, Sl. No. 179 of MYT Order</t>
  </si>
  <si>
    <t>Page No. 213, Sl. No. 180 of MYT Order</t>
  </si>
  <si>
    <t>Page No. 213, Sl. No. 181 of MYT Order</t>
  </si>
  <si>
    <t>Page No. 213, Sl. No. 182 of MYT Order</t>
  </si>
  <si>
    <t>Page No. 214, Sl. No. 184 of MYT Order</t>
  </si>
  <si>
    <t>Page No. 214, Sl. No. 185 of MYT Order</t>
  </si>
  <si>
    <t>Page No. 214, Sl. No. 187 of MYT Order</t>
  </si>
  <si>
    <t>Page No. 214, Sl. No. 189 of MYT Order</t>
  </si>
  <si>
    <t>Page No. 214, Sl. No. 190 of MYT Order</t>
  </si>
  <si>
    <t>Page No. 214, Sl. No. 191 of MYT Order</t>
  </si>
  <si>
    <t>Page No. 214, Sl. No. 192 of MYT Order</t>
  </si>
  <si>
    <t>Page No. 215, Sl. No. 194 of MYT Order</t>
  </si>
  <si>
    <t>Page No. 215, Sl. No. 195 of MYT Order</t>
  </si>
  <si>
    <t>Page No. 215, Sl. No. 196 of MYT Order</t>
  </si>
  <si>
    <t>Page No. 215, Sl. No. 197 of MYT Order</t>
  </si>
  <si>
    <t>Page No. 215, Sl. No. 198 of MYT Order</t>
  </si>
  <si>
    <t>Page No. 215, Sl. No. 199 of MYT Order</t>
  </si>
  <si>
    <t>Page No. 215, Sl. No. 200 of MYT Order</t>
  </si>
  <si>
    <t>Page No. 215, Sl. No. 201 of MYT Order</t>
  </si>
  <si>
    <t>Page No. 215, Sl. No. 202 of MYT Order</t>
  </si>
  <si>
    <t>Page No. 215, Sl. No. 203 of MYT Order</t>
  </si>
  <si>
    <t>Page No. 215, Sl. No. 204 of MYT Order</t>
  </si>
  <si>
    <t>Page No. 215, Sl. No. 205 of MYT Order</t>
  </si>
  <si>
    <t>Page No. 216, Sl. No. 206 of MYT Order</t>
  </si>
  <si>
    <t>Page No. 216, Sl. No. 207 of MYT Order</t>
  </si>
  <si>
    <t>Page No. 216, Sl. No. 208 of MYT Order</t>
  </si>
  <si>
    <t>Page No. 216, Sl. No. 209 of MYT Order</t>
  </si>
  <si>
    <t>Page No. 216, Sl. No. 210 of MYT Order</t>
  </si>
  <si>
    <t>Page No. 216, Sl. No. 211 of MYT Order</t>
  </si>
  <si>
    <t>Page No. 216, Sl. No. 212 of MYT Order</t>
  </si>
  <si>
    <t>Page No. 216, Sl. No. 213 of MYT Order</t>
  </si>
  <si>
    <t>Page No. 173, Sl. No. 90 of MYT Order</t>
  </si>
  <si>
    <t>Page No. 173, Sl. No. 92 of MYT Order</t>
  </si>
  <si>
    <t>Page No. 173, Sl. No. 93 of MYT Order</t>
  </si>
  <si>
    <t>Page No. 174, Sl. No. 94 of MYT Order</t>
  </si>
  <si>
    <t>Page No. 174, Sl. No. 95 of MYT Order</t>
  </si>
  <si>
    <t>Page No. 174, Sl. No. 96 of MYT Order</t>
  </si>
  <si>
    <t>Page No. 174, Sl. No. 97 of MYT Order</t>
  </si>
  <si>
    <t>Page No. 174, Sl. No. 98 of MYT Order</t>
  </si>
  <si>
    <t>Page No. 174, Sl. No. 99 of MYT Order</t>
  </si>
  <si>
    <t>Page No. 174, Sl. No. 100 of MYT Order</t>
  </si>
  <si>
    <t>Page No. 174, Sl. No. 101 of MYT Order</t>
  </si>
  <si>
    <t>Page No. 174, Sl. No. 102 of MYT Order</t>
  </si>
  <si>
    <t>Page No. 175, Sl. No. 103 of MYT Order</t>
  </si>
  <si>
    <t>Page No. 175, Sl. No. 104 of MYT Order</t>
  </si>
  <si>
    <t>Page No. 175, Sl. No. 105 of MYT Order</t>
  </si>
  <si>
    <t>Page No. 175, Sl. No. 106 of MYT Order</t>
  </si>
  <si>
    <t>Page No. 175, Sl. No. 107 of MYT Order</t>
  </si>
  <si>
    <t>Page No. 210, Sl. No. 144 of MYT Order</t>
  </si>
  <si>
    <t>Page No. 296, Sl. No. 186 of MYT Order</t>
  </si>
  <si>
    <t>Page No. 306, Sl. No. 229 of MYT Order</t>
  </si>
  <si>
    <t>Page No. 306, Sl. No. 230 of MYT Order</t>
  </si>
  <si>
    <t>Page No. 175, Sl. No. 115 of MYT Order</t>
  </si>
  <si>
    <t>Page No. 176, Sl. No. 119 of MYT Order</t>
  </si>
  <si>
    <t>Page No. 176, Sl. No. 120 of MYT Order</t>
  </si>
  <si>
    <t>Page No. 176, Sl. No. 122 of MYT Order</t>
  </si>
  <si>
    <t>Page No. 176, Sl. No. 123 of MYT Order</t>
  </si>
  <si>
    <t>Page No. 176, Sl. No. 124 of MYT Order</t>
  </si>
  <si>
    <t>Page No. 176, Sl. No. 125 of MYT Order</t>
  </si>
  <si>
    <t>Page No. 176, Sl. No. 126 of MYT Order</t>
  </si>
  <si>
    <t>Page No. 176, Sl. No. 127 of MYT Order</t>
  </si>
  <si>
    <t>Page No. 176, Sl. No. 128 of MYT Order</t>
  </si>
  <si>
    <t>Page No. 218, Sl. No. 239 of MYT Order</t>
  </si>
  <si>
    <t>Page No. 164, Sl. No. 48 of MYT Order</t>
  </si>
  <si>
    <t>Page No. 177, Sl. No. 129 of MYT Order</t>
  </si>
  <si>
    <t>Page No. 177, Sl. No. 130 of MYT Order</t>
  </si>
  <si>
    <t>Page No. 177, Sl. No. 131 of MYT Order</t>
  </si>
  <si>
    <t>Page No. 177, Sl. No. 132 of MYT Order</t>
  </si>
  <si>
    <t>Page No. 177, Sl. No. 133 of MYT Order</t>
  </si>
  <si>
    <t>Page No. 177, Sl. No. 134 of MYT Order</t>
  </si>
  <si>
    <t>Page No. 177, Sl. No. 135 of MYT Order</t>
  </si>
  <si>
    <t>Page No. 177, Sl. No. 136 of MYT Order</t>
  </si>
  <si>
    <t>Page No. 177, Sl. No. 137 of MYT Order</t>
  </si>
  <si>
    <t>Page No. 177, Sl. No. 138 of MYT Order</t>
  </si>
  <si>
    <t>Page No. 177, Sl. No. 139 of MYT Order</t>
  </si>
  <si>
    <t>Page No. 177, Sl. No. 140 of MYT Order</t>
  </si>
  <si>
    <t>Page No. 177, Sl. No. 141 of MYT Order</t>
  </si>
  <si>
    <t>Page No. 177, Sl. No. 142 of MYT Order</t>
  </si>
  <si>
    <t>Page No. 177, Sl. No. 143 of MYT Order</t>
  </si>
  <si>
    <t>Page No. 220, Sl. No. 257 of MYT Order</t>
  </si>
  <si>
    <t>Page No. 178, Sl. No. 144 of MYT Order</t>
  </si>
  <si>
    <t>Page No. 222, Sl. No. 294 of MYT Order</t>
  </si>
  <si>
    <t>Page No. 178, Sl. No. 145 of MYT Order</t>
  </si>
  <si>
    <t>Page No. 178, Sl. No. 146 of MYT Order</t>
  </si>
  <si>
    <t>Page No. 178, Sl. No. 148 of MYT Order</t>
  </si>
  <si>
    <t>Page No. 178, Sl. No. 149 of MYT Order</t>
  </si>
  <si>
    <t>Page No. 178, Sl. No. 150 of MYT Order</t>
  </si>
  <si>
    <t>Page No. 178, Sl. No. 151 of MYT Order</t>
  </si>
  <si>
    <t>Page No. 178, Sl. No. 152 of MYT Order</t>
  </si>
  <si>
    <t>Page No. 178, Sl. No. 153 of MYT Order</t>
  </si>
  <si>
    <t>Page No. 180, Sl. No. 175 of MYT Order</t>
  </si>
  <si>
    <t>Page No. 220, Sl. No. 258 of MYT Order</t>
  </si>
  <si>
    <t>Page No. 178, Sl. No. 154 of MYT Order</t>
  </si>
  <si>
    <t>Page No. 178, Sl. No. 155 of MYT Order</t>
  </si>
  <si>
    <t>Page No. 180, Sl. No. 174 of MYT Order</t>
  </si>
  <si>
    <t>Page No. 223, Sl. No. 300 of MYT Order</t>
  </si>
  <si>
    <t>Page No. 178, Sl. No. 156 of MYT Order</t>
  </si>
  <si>
    <t>Page No. 179, Sl. No. 157 of MYT Order</t>
  </si>
  <si>
    <t>Page No. 220, Sl. No. 266 of MYT Order</t>
  </si>
  <si>
    <t>Page No. 320, Sl. No. 301 of MYT Order</t>
  </si>
  <si>
    <t>Page No. 179, Sl. No. 158 of MYT Order</t>
  </si>
  <si>
    <t>Page No. 179, Sl. No. 159 of MYT Order</t>
  </si>
  <si>
    <t>Page No. 179, Sl. No. 160 of MYT Order</t>
  </si>
  <si>
    <t>Page No. 179, Sl. No. 161 of MYT Order</t>
  </si>
  <si>
    <t>Page No. 179, Sl. No. 162 of MYT Order</t>
  </si>
  <si>
    <t>Page No. 179, Sl. No. 163 of MYT Order</t>
  </si>
  <si>
    <t>Page No. 179, Sl. No. 164 of MYT Order</t>
  </si>
  <si>
    <t>Page No. 179, Sl. No. 165 of MYT Order</t>
  </si>
  <si>
    <t>Page No. 179, Sl. No. 166 of MYT Order</t>
  </si>
  <si>
    <t>Page No. 179, Sl. No. 167 of MYT Order</t>
  </si>
  <si>
    <t>Page No. 180, Sl. No. 168 of MYT Order</t>
  </si>
  <si>
    <t>Page No. 180, Sl. No. 169 of MYT Order</t>
  </si>
  <si>
    <t>Page No. 180, Sl. No. 170 of MYT Order</t>
  </si>
  <si>
    <t>Page No. 180, Sl. No. 171 of MYT Order</t>
  </si>
  <si>
    <t>Page No. 180, Sl. No. 172 of MYT Order</t>
  </si>
  <si>
    <t>Page No. 180, Sl. No. 173 of MYT Order</t>
  </si>
  <si>
    <t>Page No. 180, Sl. No. 177 of MYT Order</t>
  </si>
  <si>
    <t>Page No. 221, Sl. No. 272 of MYT Order</t>
  </si>
  <si>
    <t>Page No. 221, Sl. No. 273 of MYT Order</t>
  </si>
  <si>
    <t>Page No. 181, Sl. No. 181 of MYT Order</t>
  </si>
  <si>
    <t>Page No. 181, Sl. No. 182 of MYT Order</t>
  </si>
  <si>
    <t>Page No. 181, Sl. No. 183 of MYT Order</t>
  </si>
  <si>
    <t>Page No. 181, Sl. No. 185 of MYT Order</t>
  </si>
  <si>
    <t>Page No. 181, Sl. No. 186 of MYT Order</t>
  </si>
  <si>
    <t>Page No. 181, Sl. No. 187 of MYT Order</t>
  </si>
  <si>
    <t>Page No. 181, Sl. No. 188 of MYT Order</t>
  </si>
  <si>
    <t>Page No. 181, Sl. No. 189 of MYT Order</t>
  </si>
  <si>
    <t>Page No. 221, Sl. No. 274 of MYT Order</t>
  </si>
  <si>
    <t>Page No. 221, Sl. No. 275 of MYT Order</t>
  </si>
  <si>
    <t>Page No. 221, Sl. No. 276 of MYT Order</t>
  </si>
  <si>
    <t>Page No. 221, Sl. No. 277 of MYT Order</t>
  </si>
  <si>
    <t>Page No. 221, Sl. No. 278 of MYT Order</t>
  </si>
  <si>
    <t>Page No. 221, Sl. No. 279 of MYT Order</t>
  </si>
  <si>
    <t>Page No. 221, Sl. No. 280 of MYT Order</t>
  </si>
  <si>
    <t>Page No. 221, Sl. No. 281 of MYT Order</t>
  </si>
  <si>
    <t>Page No. 221, Sl. No. 282 of MYT Order</t>
  </si>
  <si>
    <t>Page No. 223, Sl. No. 311 of MYT Order</t>
  </si>
  <si>
    <t>Page No. 224, Sl. No. 312 of MYT Order</t>
  </si>
  <si>
    <t>Page No. 224, Sl. No. 313 of MYT Order</t>
  </si>
  <si>
    <t>Page No. 316, Sl. No. 283 of MYT Order</t>
  </si>
  <si>
    <t>Page No. 182, Sl. No. 200 of MYT Order</t>
  </si>
  <si>
    <t>Page No. 182, Sl. No. 201 of MYT Order</t>
  </si>
  <si>
    <t>Page No. 182, Sl. No. 202 of MYT Order</t>
  </si>
  <si>
    <t>Page No. 182, Sl. No. 203 of MYT Order</t>
  </si>
  <si>
    <t>Page No. 182, Sl. No. 204 of MYT Order</t>
  </si>
  <si>
    <t>Page No. 182, Sl. No. 205 of MYT Order</t>
  </si>
  <si>
    <t>Page No. 222, Sl. No. 290 of MYT Order</t>
  </si>
  <si>
    <t>Page No. 222, Sl. No. 291 of MYT Order</t>
  </si>
  <si>
    <t>Page No. 224, Sl. No. 314 of MYT Order</t>
  </si>
  <si>
    <t>Page No. 224, Sl. No. 315 of MYT Order</t>
  </si>
  <si>
    <t>Page No. 224, Sl. No. 316 of MYT Order</t>
  </si>
  <si>
    <t>Page No. 183, Sl. No. 209 of MYT Order</t>
  </si>
  <si>
    <t>Page No. 183, Sl. No. 210 of MYT Order</t>
  </si>
  <si>
    <t>Page No. 183, Sl. No. 211 of MYT Order</t>
  </si>
  <si>
    <t>Page No. 224, Sl. No. 318 of MYT Order</t>
  </si>
  <si>
    <t>Page No. 224, Sl. No. 321 of MYT Order</t>
  </si>
  <si>
    <t>Page No. 224, Sl. No. 322 of MYT Order</t>
  </si>
  <si>
    <t>Page No. 225, Sl. No. 327 of MYT Order</t>
  </si>
  <si>
    <t>Page No. 225, Sl. No. 329 of MYT Order</t>
  </si>
  <si>
    <t>Page No. 225, Sl. No. 330 of MYT Order</t>
  </si>
  <si>
    <t>Page No. 226, Sl. No. 331 of MYT Order</t>
  </si>
  <si>
    <t>Page No. 226, Sl. No. 332 of MYT Order</t>
  </si>
  <si>
    <t>Page No. 226, Sl. No. 333 of MYT Order</t>
  </si>
  <si>
    <t>Page No. 226, Sl. No. 334 of MYT Order</t>
  </si>
  <si>
    <t>Page No. 226, Sl. No. 335 of MYT Order</t>
  </si>
  <si>
    <t>Page No. 226, Sl. No. 336 of MYT Order</t>
  </si>
  <si>
    <t>Page No. 227, Sl. No. 338 of MYT Order</t>
  </si>
  <si>
    <t>Page No. 227, Sl. No. 339 of MYT Order</t>
  </si>
  <si>
    <t>Page No. 227, Sl. No. 340 of MYT Order</t>
  </si>
  <si>
    <t>Page No. 228, Sl. No. 341 of MYT Order</t>
  </si>
  <si>
    <t>Page No. 228, Sl. No. 342 of MYT Order</t>
  </si>
  <si>
    <t>Page No. 228, Sl. No. 343 of MYT Order</t>
  </si>
  <si>
    <t>Page No. 228, Sl. No. 345 of MYT Order</t>
  </si>
  <si>
    <t>Page No. 228, Sl. No. 346 of MYT Order</t>
  </si>
  <si>
    <t>Page No. 228, Sl. No. 347 of MYT Order</t>
  </si>
  <si>
    <t>Page No. 228, Sl. No. 348 of MYT Order</t>
  </si>
  <si>
    <t>Page No. 229, Sl. No. 349 of MYT Order</t>
  </si>
  <si>
    <t>Page No. 229, Sl. No. 350 of MYT Order</t>
  </si>
  <si>
    <t>Page No. 229, Sl. No. 351 of MYT Order</t>
  </si>
  <si>
    <t>Page No. 229, Sl. No. 353 of MYT Order</t>
  </si>
  <si>
    <t>Page No. 231, Sl. No. 362 of MYT Order</t>
  </si>
  <si>
    <t>Page No. 231, Sl. No. 363 of MYT Order</t>
  </si>
  <si>
    <t>Page No. 231, Sl. No. 366 of MYT Order</t>
  </si>
  <si>
    <t>Page No. 231, Sl. No. 367 of MYT Order</t>
  </si>
  <si>
    <t>Page No. 232, Sl. No. 369 of MYT Order</t>
  </si>
  <si>
    <t>Page No. 232, Sl. No. 370 of MYT Order</t>
  </si>
  <si>
    <t>Page No. 232, Sl. No. 371 of MYT Order</t>
  </si>
  <si>
    <t>Page No. 232, Sl. No. 372 of MYT Order</t>
  </si>
  <si>
    <t>Page No. 232, Sl. No. 373 of MYT Order</t>
  </si>
  <si>
    <t>Page No. 233, Sl. No. 375 of MYT Order</t>
  </si>
  <si>
    <t>Page No. 190, Sl. No. 255 of MYT Order</t>
  </si>
  <si>
    <t>Page No. 190, Sl. No. 256 of MYT Order</t>
  </si>
  <si>
    <t>Page No. 191, Sl. No. 259 of MYT Order</t>
  </si>
  <si>
    <t>Page No. 191, Sl. No. 260 of MYT Order</t>
  </si>
  <si>
    <t>Page No. 191, Sl. No. 264 of MYT Order</t>
  </si>
  <si>
    <t>Page No. 192, Sl. No. 265 of MYT Order</t>
  </si>
  <si>
    <t>Page No. 341, Sl. No. 354 of MYT Order</t>
  </si>
  <si>
    <t>Page No. 341, Sl. No. 355 of MYT Order</t>
  </si>
  <si>
    <t>Page No. 342, Sl. No. 357 of MYT Order</t>
  </si>
  <si>
    <t>Page No. 192, Sl. No. 267 of MYT Order</t>
  </si>
  <si>
    <t>Page No. 192, Sl. No. 269 of MYT Order</t>
  </si>
  <si>
    <t>Page No. 193, Sl. No. 270 of MYT Order</t>
  </si>
  <si>
    <t>Page No. 235, Sl. No. 392 of MYT Order</t>
  </si>
  <si>
    <t>Page No. 236, Sl. No. 393 of MYT Order</t>
  </si>
  <si>
    <t>Page No. 230, Sl. No. 356 of MYT Order</t>
  </si>
  <si>
    <t>Page No. 175, Sl. No. 113 of MYT Order</t>
  </si>
  <si>
    <t>Page No. 192, Sl. No. 268 of MYT Order</t>
  </si>
  <si>
    <t>Page No. 306, Sl. No. 226 of MYT Order</t>
  </si>
  <si>
    <t>Page No. 306, Sl. No. 227 of MYT Order</t>
  </si>
  <si>
    <t>Page No. 185, Sl. No. 227 of MYT Order</t>
  </si>
  <si>
    <t>Page No. 164, Sl. No. 152 of MYT Order</t>
  </si>
  <si>
    <t>Page No. 162, Sl. No. 33 of MYT Order</t>
  </si>
  <si>
    <t>Page No. 200, Sl. No. 54 of MYT Order</t>
  </si>
  <si>
    <t>Page No. 235, Sl. No. 391 of MYT Order</t>
  </si>
  <si>
    <t>Page No. 337, Sl. No. 344 of MYT Order</t>
  </si>
  <si>
    <t>Page No. 208, Sl. No. 119 of MYT Order</t>
  </si>
  <si>
    <t>Page No. 196, Sl. No. 22 of MYT Order</t>
  </si>
  <si>
    <t>Page No. 229, Sl. No. 352 of MYT Order</t>
  </si>
  <si>
    <t>Page No. 206, Sl. No. 108 of MYT Order</t>
  </si>
  <si>
    <t>Page No. 268, Sl. No. 79 of MYT Order</t>
  </si>
  <si>
    <t>Page No. 159, Sl. No. 17 of MYT Order</t>
  </si>
  <si>
    <t>Page No. 202, Sl. No. 69 of MYT Order</t>
  </si>
  <si>
    <t>Page No. 205, Sl. No. 94 of MYT Order</t>
  </si>
  <si>
    <t>Page No. 210, Sl. No. 141 of MYT Order</t>
  </si>
  <si>
    <t>Page No. 306, Sl. No. 228 of MYT Order</t>
  </si>
  <si>
    <t>Page No. 171, Sl. No. 65 of MYT Order</t>
  </si>
  <si>
    <t>Page No. 222, Sl. No. 72 of MYT Order</t>
  </si>
  <si>
    <t>Page No. 218, Sl. No. 234 of MYT Order</t>
  </si>
  <si>
    <t>Page No. 168, Sl. No. 25 of MYT Order</t>
  </si>
  <si>
    <t>Page No. 191, Sl. No. 262 of MYT Order</t>
  </si>
  <si>
    <t>Page No. 199, Sl. No. 51 of MYT Order</t>
  </si>
  <si>
    <t>Page No. 211, Sl. No. 153 of MYT Order</t>
  </si>
  <si>
    <t>Page No. 268, Sl. No. 83 of MYT Order</t>
  </si>
  <si>
    <t>Page No. 291, Sl. No. 164 of MYT Order</t>
  </si>
  <si>
    <t>Page No. 197, Sl. No. 36 of MYT Order</t>
  </si>
  <si>
    <t>Page No. 212, Sl. No. 170 of MYT Order</t>
  </si>
  <si>
    <t>Page No. 274, Sl. No. 103 of MYT Order</t>
  </si>
  <si>
    <t>Page No. 198, Sl. No. 42 of MYT Order</t>
  </si>
  <si>
    <t>Page No. 213, Sl. No. 176 of MYT Order</t>
  </si>
  <si>
    <t>Page No. 183, Sl. No. 216 of MYT Order</t>
  </si>
  <si>
    <t>Page No. 223, Sl. No. 308 of MYT Order</t>
  </si>
  <si>
    <t>Page No. 249, Sl. No. 33 of MYT Order</t>
  </si>
  <si>
    <t>Page No. 158, Sl. No. 7 of MYT Order</t>
  </si>
  <si>
    <t>Page No. 262, Sl. No. 62 of MYT Order</t>
  </si>
  <si>
    <t>Page No. 170, Sl. No. 52 of MYT Order</t>
  </si>
  <si>
    <t>Page No. 189, Sl. No. 245 of MYT Order</t>
  </si>
  <si>
    <t>Page No. 201, Sl. No. 57 of MYT Order</t>
  </si>
  <si>
    <t>Page No. 259, Sl. No. 55 of MYT Order</t>
  </si>
  <si>
    <t>Page No. 191, Sl. No. 258 of MYT Order</t>
  </si>
  <si>
    <t>Page No. 200, Sl. No. 53 of MYT Order</t>
  </si>
  <si>
    <t>Page No. 234, Sl. No. 384 of MYT Order</t>
  </si>
  <si>
    <t>Page No. 234, Sl. No. 382 of MYT Order</t>
  </si>
  <si>
    <t>Page No. 281, Sl. No. 123 of MYT Order</t>
  </si>
  <si>
    <t>Page No. 323, Sl. No. 319 of MYT Order</t>
  </si>
  <si>
    <t>Page No. 198, Sl. No. 41 of MYT Order</t>
  </si>
  <si>
    <t>Page No. 230, Sl. No. 358 of MYT Order</t>
  </si>
  <si>
    <t>Page No. 197, Sl. No. 34 of MYT Order</t>
  </si>
  <si>
    <t>Page No. 165, Sl. No. 3 of MYT Order</t>
  </si>
  <si>
    <t>Page No. 198, Sl. No. 43 of MYT Order</t>
  </si>
  <si>
    <t>Page No. 166, Sl. No. 13 of MYT Order</t>
  </si>
  <si>
    <t>Page No. 206, Sl. No. 107 of MYT Order</t>
  </si>
  <si>
    <t>Page No. 224, Sl. No. 320 of MYT Order</t>
  </si>
  <si>
    <t>Page No. 230, Sl. No. 359 of MYT Order</t>
  </si>
  <si>
    <t>Page No. 242, Sl. No. 9 of MYT Order</t>
  </si>
  <si>
    <t>Page No. 231, Sl. No. 365 of MYT Order</t>
  </si>
  <si>
    <t>Page No. 206, Sl. No. 102 of MYT Order</t>
  </si>
  <si>
    <t>Page No. 224, Sl. No. 324 of MYT Order</t>
  </si>
  <si>
    <t>Page No. 180, Sl. No. 176 of MYT Order</t>
  </si>
  <si>
    <t>Page No. 205, Sl. No. 97 of MYT Order</t>
  </si>
  <si>
    <t>Page No. 106, Sl. No. 4 of MYT Order</t>
  </si>
  <si>
    <t>Page No. 160, Sl. No. 24 of MYT Order</t>
  </si>
  <si>
    <t>Page No. 107, Sl. No. 12 of MYT Order</t>
  </si>
  <si>
    <t>Page No. 237, Sl. No. 403 of MYT Order</t>
  </si>
  <si>
    <t>Page No. 283, Sl. No. 129 of MYT Order</t>
  </si>
  <si>
    <t>Page No. 164, Sl. No. 50 of MYT Order</t>
  </si>
  <si>
    <t>Page No. 238, Sl. No. 413 of MYT Order</t>
  </si>
  <si>
    <t>Page No. 325, Sl. No. 326 of MYT Order</t>
  </si>
  <si>
    <t>Page No. 345, Sl. No. 364 of MYT Order</t>
  </si>
  <si>
    <t>Page No. 171, Sl. No. 67 of MYT Order</t>
  </si>
  <si>
    <t>Page No. 106, Sl. No. 3 of MYT Order</t>
  </si>
  <si>
    <t>Page No. 105, Sl. No. 2 of MYT Order</t>
  </si>
  <si>
    <t>Page No. 107, Sl. No. 16 of MYT Order</t>
  </si>
  <si>
    <t>Page No. 109, Sl. No. 23 of MYT Order</t>
  </si>
  <si>
    <t>Page No. 237, Sl. No. 405 of MYT Order</t>
  </si>
  <si>
    <t>Page No. 110, Sl. No. 24 of MYT Order</t>
  </si>
  <si>
    <t>Page No. 110, Sl. No. 25 of MYT Order</t>
  </si>
  <si>
    <t>Page No. 176, Sl. No. 117 of MYT Order</t>
  </si>
  <si>
    <t>Page No. 107, Sl. No. 14 of MYT Order</t>
  </si>
  <si>
    <t>Page No. 175, Sl. No. 114 of MYT Order</t>
  </si>
  <si>
    <t>Page No. 106, Sl. No. 5 of MYT Order</t>
  </si>
  <si>
    <t>Page No. 163, Sl. No. 40 of MYT Order</t>
  </si>
  <si>
    <t>Page No. 108, Sl. No. 18 of MYT Order</t>
  </si>
  <si>
    <t>Page No. 106, Sl. No. 10 of MYT Order</t>
  </si>
  <si>
    <t>Page No. 237, Sl. No. 404 of MYT Order</t>
  </si>
  <si>
    <t>Page No. 108, Sl. No. 19 of MYT Order</t>
  </si>
  <si>
    <t>Page No. 200, Sl. No. 56 of MYT Order</t>
  </si>
  <si>
    <t>Page No. 266, Sl. No. 73 of MYT Order</t>
  </si>
  <si>
    <t>Page No. 163, Sl. No. 46 of MYT Order</t>
  </si>
  <si>
    <t>Page No. 239, Sl. No. 416 of MYT Order</t>
  </si>
  <si>
    <t>Page No. 236, Sl. No. 397 of MYT Order</t>
  </si>
  <si>
    <t>Page No. 239, Sl. No. 417 of MYT Order</t>
  </si>
  <si>
    <t>Page No. 239, Sl. No. 418 of MYT Order</t>
  </si>
  <si>
    <t>Page No. 224, Sl. No. 323 of MYT Order</t>
  </si>
  <si>
    <t>FY 2024-25</t>
  </si>
  <si>
    <t>Concerned Deptt.</t>
  </si>
  <si>
    <t>Opening CWIP as on 01.04.2023</t>
  </si>
  <si>
    <t>CAPEX FY 2024-25</t>
  </si>
  <si>
    <t>Capitalization in FY 2024-25</t>
  </si>
  <si>
    <t>IDC Capitalization in FY 2024-25</t>
  </si>
  <si>
    <t>Capitalised upto 31.03.2025</t>
  </si>
  <si>
    <t>Closing CWIP as on 31.03.2025</t>
  </si>
  <si>
    <t>Building</t>
  </si>
  <si>
    <t>Civil Works</t>
  </si>
  <si>
    <t>26/PR/BSPTCL/2018</t>
  </si>
  <si>
    <t>Tr. Line Runnisaidpur &amp; TSS Bajpatti, Narkatiyaganj-TSS Raxaul &amp; GSS Dhaka - TSS Bairgania</t>
  </si>
  <si>
    <t>Capacity augmentation Under ICB No. 23/Package C-1/ BSPTCL/ADB/2016</t>
  </si>
  <si>
    <t>ICB No. 23/Package C-1/ BSPTCL/ADB/2016</t>
  </si>
  <si>
    <t>Supply, installation, testing &amp; commissioning of Device Language Message Specification (DLMS) compliant 0.2s class ABT type energy meter with implementation of 100% metering, data acquisition and ABT monitoring for the transmission &amp; sub-transmission substations from 220 KV level to 33KV level, Monthly Energy Accounting and Service Maintenance for a period of 5 years under “Assistance to States for Capital Investment 2022- 23” Scheme against NIT No.: - 09/PR/BSPTCL/2022</t>
  </si>
  <si>
    <t>Re-conductoring of following 12 Nos. 132 KV Transmission Lines with HTLS equivalent to ACSR Panther :- (i) 132 kV Gopalganj to Mashrakh, (ii) 132 kV Mashrakh to Siwan, (iii) 132 kV Siwan to Hathua (iv) 132 kV Hatuha to Gopalganj, (v) 132 kV Samastipur to Darbhanga, (vi) 132 Kv Gangwara to Pandaul, (vii) 132 kV Purnea to Katihar, (viii) 132 kV Chhapra to Hajipur, (ix) 132 kV Kataiya to Supaul , (x) 132 kV Madhepura to Supaul, (xi) 132 kV Hajipur (New) to Hajipur &amp; (xii) 132 kV Samastipur(New) to Samastipur under “Assistance to States for Capital Investment 2022-23” Scheme against NIT No.:- 14/PR/BSPTCL/2022</t>
  </si>
  <si>
    <t>1.construction of 05 nos. of 132 KV Transmission tower (including 03 nos. of pile foundation), stringing with ACSR panther conductor for crossing of 33 KV line from GSS Ramnagar to PSS Chautarava over Massan River near Dainmarwa Village 2. Construction of 02 nos. of 132 KV Transmission tower, stringing with ACSR panther conductor for crossing of 33 KV line from GSS Ramnagar to PSS Bagha over Masssan River near Juda Village under deposit head on turnkey basis against NIT No.-33/PR/BSPTCL/2021</t>
  </si>
  <si>
    <t>Construction of 2 No. of 400 KV GIS Bays at GSS Naubatpur (BGCL) &amp; Construction of 2 No. of 220 KV GIS Bays at GSS Goradih (BGCL) against NIT No. 07/PR/BSPTCL/2023</t>
  </si>
  <si>
    <t>Completion of leftover portion of works for capacity augmentation of various GSS by replacement of transformers as detailed below: - (i) 02 No. 100 MVA transformer by 200 MVA transformer at GSS Hajipur (ii) 02 No. 100 MVA transformer by 200 MVA transformer at GSS Gopalganj (iii) 01 No. 160 MVA transformer by 200 MVA transformer at GSS Darbhanga against NIT No. 51/PR/BSPTCL/2022</t>
  </si>
  <si>
    <t>Construction of 220 KV D/C Transmission Line from PGCIL Banka to BGCL Goradih with ACSR Zebra Conductor (Line Length - 39 KM) against NIT No. 49/PR/BSPTCL/2022</t>
  </si>
  <si>
    <t>Supply, Erection, Testing and Commissioning of 20 Nos. of 50 MVA, 132/33 KV, Power Transformer and its associated works by Manufacturers in Different GSSs of BSPTCL on turnkey basis against NIT No. 40/PR/BSPTCL/2022</t>
  </si>
  <si>
    <t>Construction of 07 Nos. towers (including 05 Nos. Pile foundation) for crossing of 33 KV line on 132 KV tower over Ghaghara River near Manjhi Village, Sitab Diyara, Block - Rivilganj, Distt. - Saran on turnkey basis under deposit head of NBPDCL against NIT No. 03/PR/BSPTCL/2023.</t>
  </si>
  <si>
    <t>Construction of 132 KV D/C Transmission line with HTLS conductor for interconnection of Stage - I &amp; Stage - II at NTPC, Barauni against NIT No. 13/PR/BSPTCL/2023</t>
  </si>
  <si>
    <t>Construction of 2X50 MVA, 132/33 KV GSS Bhorey (Dist. Gopalganj) with Construction of associated 02 Nos. 132 KV Line bays at GSS Hathua &amp; Construction of its associated 132 KV D/C BhoreyHathua Tr. Line with ACSR Panther Conductor (Line Length - 60 RKM) on Turnkey Basis under State Plan against NIT No. 10/PR/BSPTCL/2023</t>
  </si>
  <si>
    <t>Renovation of 04 different existing T/L of BSPTCL by construction of Pile foundation (05) No. open foundations (03) Nos. and including associated works on trunkey basis against NIT No. 11/PR/BSPTCL/2023 1) 220 KV Kishanganj (New) - Madhepura Line 2) 220 KV Laukahi - Darbhanga (DMTCL) line 3) 132 KV Kishanganj (New) - Kishanganj line 4) 132 KV Motihari - Dhaka Line</t>
  </si>
  <si>
    <t>Construction of 400/220/132 KV AIS Sub-Station at Chhapra (New) alongwith construction of associated 400 KV, 220 KV, 132 KV transmission lines and 220 KV &amp; 132 KV bays.</t>
  </si>
  <si>
    <t>Construction of 2X50 MVA 132/33 KV GSS Chandi (Dist. - Nalanda) with Construction of 02 Nos. of 132 KV Line Bays at GSS Harnaut along with construction of 132 KV D/C Transmission Line from GSS Chandi to GSS Asthawan (40 RKM) &amp; Construction of 132 KV D/C Transmission Line from GSS Chandi to GSS Harnaut (20 RKM).</t>
  </si>
  <si>
    <t>Implementation of SAS for control &amp; monitoring of existing 12 Nos. of 220/132/33 KV Susstations (Hajipur, Khagaul, Fatuha, Gaurichak, Begusarai, Bodhgaya, Dehi-on-Sone, Pusauli, Darbhanga, Gopalganj, Madhepura &amp; Bihta (New) including modification of existing IEDs and field equipment of BSPTCL against NIT No. 08/PR/BSPTCL/2023</t>
  </si>
  <si>
    <t>Construction of 2X80 MVA, 132/33 KV Gas Insulated SubStation at PMCH, Patna alongwith 2 Nos. of 132 KV GIS Line Bay Extention at 220/132/33 KV GIS Digha on turnkey basis alongwith Construction of 132 KV D/C ACSR Moose Conductor Transmission Line with Pile foundation from 220/132/33 KV GIS Digha (New) to 132/33 KV GIS PMCH</t>
  </si>
  <si>
    <t>Construction of single phase 132 KV Transmission line through underground XLPE cable from GSS Jamalpur to TSS Jamalpur as a spare cable under deposit head of Railway against NIT No. 54/PR/BSPTCL/2022.</t>
  </si>
  <si>
    <t>Deposit Work of NBPDCL</t>
  </si>
  <si>
    <t>Deposit Work of NTPC</t>
  </si>
  <si>
    <t>Deposit Head of Health Department</t>
  </si>
  <si>
    <t>Deposit Head of Railway</t>
  </si>
  <si>
    <t>Pending</t>
  </si>
  <si>
    <t>14/PR/BSPTCL/2022</t>
  </si>
  <si>
    <t>07/PR/BSPTCL/2023</t>
  </si>
  <si>
    <t>51/PR/BSPTCL/2022</t>
  </si>
  <si>
    <t>49/PR/BSPTCL/2022</t>
  </si>
  <si>
    <t>40/PR/BSPTCL/2022</t>
  </si>
  <si>
    <t>13/PR/BSPTCL/2023</t>
  </si>
  <si>
    <t>10/PR/BSPTCL/2023</t>
  </si>
  <si>
    <t>11/PR/BSPTCL/2023</t>
  </si>
  <si>
    <t>08/PR/BSPTCL/2023</t>
  </si>
  <si>
    <t>03/PR/BSPTCL/2023</t>
  </si>
  <si>
    <t>54/PR/BSPTCL/2022</t>
  </si>
  <si>
    <t>MYT order FY 2020-22 page 92, Sl. 58</t>
  </si>
  <si>
    <t>MYT Order FY 2023-26 page 249, Sl. 422</t>
  </si>
  <si>
    <t>ICB No. 25/Package E-1/BSPTCL/ADB/2016</t>
  </si>
  <si>
    <t>ICB 24/Package-D-1/BSPTCL/ADB/2016</t>
  </si>
  <si>
    <t>59/PR/BSPTCL/2014 Pkg B</t>
  </si>
  <si>
    <t>39/PR/BSPTCL/2021</t>
  </si>
  <si>
    <t>ICB 28/Package-H-1/BSPTCL/ADB/2016</t>
  </si>
  <si>
    <t>18/PR/BSPTCL/2022-1</t>
  </si>
  <si>
    <t>18/PR/BSPTCL/2022</t>
  </si>
  <si>
    <t>38/PR/BSPTCL/2021</t>
  </si>
  <si>
    <t>3x180MVA, 132KV GIS GSS Mithapur &amp; 132 KV Tr. line from  GSS Mithapur to GSS Karbigahia (38/PR/BSPTCL/2021)</t>
  </si>
  <si>
    <t>Boundary wall at  132/33 KV GSS, Hajipur(18/PR/BSPTCL/2022)</t>
  </si>
  <si>
    <t>Reconstruction of Boundary wall, earth filing and RCC Road for TSS Bay at 132/33 KV GSS,Dhaka(39/PR/BSPTCL/2021)</t>
  </si>
  <si>
    <t>Reconst. of Broken Boundary Wall along roadside &amp; switchyard at GSS Harnaut(18/PR/BSPTCL/2022-1)</t>
  </si>
  <si>
    <t>220/132/33 KV Transformer bays at GSS Katra, Masaurahi,Digha and Khagaul(59/PR/BSPTCL/2014 Pkg B)</t>
  </si>
  <si>
    <t>33KV Line Bays in Form of Indoor VCB Panel at 14 Nos. AIS Substation Under Transmission Circle Dehri-On-Sone( ICB 28/Package-H-1/BSPTCL/ADB/2016)</t>
  </si>
  <si>
    <t xml:space="preserve">33KV Line Bays in Form of Indoor VCB Panel under TC Purnea(ICB No. 25/Package E-1/ BSPTCL/ADB/2016)_x000D_
</t>
  </si>
  <si>
    <t>33KV Line Bays in Form of Indoor VCB Panel at 06 nos. AIS Substation Under Transmission Circle Bhagalpur( ICB 24/Package-D-1/BSPTCL/ADB/2016)</t>
  </si>
  <si>
    <t xml:space="preserve">Work order for supply &amp; erection of 04 sets of 220V,500Ah, 45 sets of 220V, 300Ah &amp; 12 sets of 48V, 300 Ah VRLA (Valve-Regulated Lead-Acid Battery)  Type sub- station battery sets against NIT No. 17/PR/BSPTCL/2018 under Trans. O&amp;M Head on FIRM Prices. </t>
  </si>
  <si>
    <t>44/PR/BSPTCL/2021</t>
  </si>
  <si>
    <t>Duplicate Sl 452</t>
  </si>
  <si>
    <t>22/PR/BSPTCL/2023
23/PR/BSPTCL/2023</t>
  </si>
  <si>
    <t>25/PR/BSPTCL/2023</t>
  </si>
  <si>
    <t>24/PR/BSPTCL/2023</t>
  </si>
  <si>
    <t>77.36 Cr. from PSDF and 22.25 Cr. IRF</t>
  </si>
  <si>
    <t>Opening CWIP as on 01.04.2022</t>
  </si>
  <si>
    <t>Capex</t>
  </si>
  <si>
    <t>Capitalization</t>
  </si>
  <si>
    <t>PSDF/IRF</t>
  </si>
  <si>
    <t>18/PR/BSPTCL/2023</t>
  </si>
  <si>
    <t>Reconductoring work of 02 Nos. 220 KV &amp; 06 Nos. 132 KV Transmission Line with HTLS Conductor project against NIT 18/PR/BSPTCL/2023</t>
  </si>
  <si>
    <t>State Plan/ BRGF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</si>
</sst>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dd\.mm\.yyyy;@"/>
    <numFmt numFmtId="165" formatCode="dd\.mm\.yy;@"/>
    <numFmt numFmtId="166" formatCode="0.0"/>
  </numFmts>
  <fonts count="18">
    <font>
      <sz val="11"/>
      <color theme="1"/>
      <name val="Calibri"/>
      <charset val="134"/>
      <scheme val="minor"/>
    </font>
    <font>
      <b/>
      <sz val="12"/>
      <color theme="1"/>
      <name val="Book Antiqua"/>
      <family val="1"/>
    </font>
    <font>
      <sz val="12"/>
      <color theme="1"/>
      <name val="Book Antiqua"/>
      <family val="1"/>
    </font>
    <font>
      <b/>
      <sz val="14"/>
      <name val="Book Antiqua"/>
      <family val="1"/>
    </font>
    <font>
      <sz val="12"/>
      <name val="Book Antiqua"/>
      <family val="1"/>
    </font>
    <font>
      <b/>
      <sz val="12"/>
      <name val="Book Antiqua"/>
      <family val="1"/>
    </font>
    <font>
      <sz val="11"/>
      <color theme="1"/>
      <name val="Calibri"/>
      <family val="2"/>
      <scheme val="minor"/>
    </font>
    <font>
      <sz val="10"/>
      <name val="Arial"/>
      <family val="2"/>
    </font>
    <font>
      <sz val="10"/>
      <color rgb="FF000000"/>
      <name val="Times New Roman"/>
      <family val="1"/>
    </font>
    <font>
      <i/>
      <sz val="12"/>
      <name val="Book Antiqua"/>
      <family val="1"/>
    </font>
    <font>
      <sz val="12"/>
      <name val="Book Antiqua"/>
      <family val="1"/>
    </font>
    <font>
      <b/>
      <sz val="12"/>
      <name val="Book Antiqua"/>
      <family val="1"/>
    </font>
    <font>
      <b/>
      <sz val="14"/>
      <name val="Book Antiqua"/>
      <family val="1"/>
    </font>
    <font>
      <sz val="12"/>
      <color theme="1"/>
      <name val="Book Antiqua"/>
      <family val="1"/>
    </font>
    <font>
      <sz val="12"/>
      <color rgb="FF000000"/>
      <name val="Book Antiqua"/>
      <family val="1"/>
    </font>
    <font>
      <b/>
      <sz val="12"/>
      <color theme="1"/>
      <name val="Book Antiqua"/>
      <family val="1"/>
    </font>
    <font>
      <b/>
      <sz val="14"/>
      <color theme="1"/>
      <name val="Book Antiqua"/>
      <family val="1"/>
    </font>
    <font>
      <sz val="22"/>
      <name val="Book Antiqua"/>
      <family val="1"/>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3">
    <xf numFmtId="0" fontId="0" fillId="0" borderId="0"/>
    <xf numFmtId="43" fontId="6" fillId="0" borderId="0" applyFont="0" applyFill="0" applyBorder="0" applyAlignment="0" applyProtection="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7" fillId="0" borderId="0"/>
    <xf numFmtId="43" fontId="6" fillId="0" borderId="0" applyFont="0" applyFill="0" applyBorder="0" applyAlignment="0" applyProtection="0"/>
    <xf numFmtId="0" fontId="6" fillId="0" borderId="0">
      <alignment vertical="center"/>
    </xf>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8" fillId="0" borderId="0" applyFont="0" applyFill="0" applyBorder="0" applyAlignment="0" applyProtection="0"/>
    <xf numFmtId="0" fontId="8" fillId="0" borderId="0"/>
    <xf numFmtId="0" fontId="6" fillId="0" borderId="0"/>
    <xf numFmtId="0" fontId="7"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8" fillId="0" borderId="0" applyFont="0" applyFill="0" applyBorder="0" applyAlignment="0" applyProtection="0"/>
  </cellStyleXfs>
  <cellXfs count="186">
    <xf numFmtId="0" fontId="0" fillId="0" borderId="0" xfId="0"/>
    <xf numFmtId="0" fontId="1" fillId="0" borderId="1" xfId="0" applyFont="1" applyBorder="1" applyAlignment="1">
      <alignment horizontal="center" vertical="center"/>
    </xf>
    <xf numFmtId="43" fontId="5" fillId="0" borderId="1" xfId="1" applyFont="1" applyFill="1" applyBorder="1" applyAlignment="1">
      <alignment horizontal="center" vertical="center" wrapText="1"/>
    </xf>
    <xf numFmtId="43" fontId="4" fillId="0" borderId="1" xfId="1" applyFont="1" applyFill="1" applyBorder="1" applyAlignment="1">
      <alignment horizontal="center" vertical="center" wrapText="1"/>
    </xf>
    <xf numFmtId="43" fontId="13" fillId="0" borderId="0" xfId="1" applyFont="1" applyFill="1"/>
    <xf numFmtId="43" fontId="10" fillId="0" borderId="0" xfId="1" applyFont="1" applyFill="1" applyAlignment="1">
      <alignment horizontal="center" vertical="center" wrapText="1"/>
    </xf>
    <xf numFmtId="43" fontId="10" fillId="0" borderId="0" xfId="1" applyFont="1" applyFill="1" applyAlignment="1">
      <alignment vertical="center" wrapText="1"/>
    </xf>
    <xf numFmtId="0" fontId="13" fillId="0" borderId="0" xfId="0" applyFont="1" applyAlignment="1">
      <alignment vertical="center"/>
    </xf>
    <xf numFmtId="0" fontId="13"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xf>
    <xf numFmtId="0" fontId="15" fillId="0" borderId="1" xfId="0" applyFont="1" applyBorder="1" applyAlignment="1">
      <alignment vertical="center"/>
    </xf>
    <xf numFmtId="43" fontId="13" fillId="0" borderId="1" xfId="1" applyFont="1" applyBorder="1" applyAlignment="1">
      <alignment vertical="center"/>
    </xf>
    <xf numFmtId="43" fontId="15" fillId="0" borderId="1" xfId="1" applyFont="1" applyBorder="1" applyAlignment="1">
      <alignment vertical="center"/>
    </xf>
    <xf numFmtId="43" fontId="2" fillId="0" borderId="1" xfId="1" applyFont="1" applyBorder="1" applyAlignment="1">
      <alignment vertical="center"/>
    </xf>
    <xf numFmtId="43" fontId="4" fillId="0" borderId="0" xfId="1" applyFont="1" applyFill="1" applyAlignment="1">
      <alignment horizontal="center" vertical="center"/>
    </xf>
    <xf numFmtId="43" fontId="10" fillId="0" borderId="0" xfId="1" applyFont="1" applyFill="1" applyAlignment="1">
      <alignment horizontal="center" vertical="center"/>
    </xf>
    <xf numFmtId="43" fontId="17" fillId="0" borderId="0" xfId="1" applyFont="1" applyFill="1" applyAlignment="1">
      <alignment horizontal="center" vertical="center"/>
    </xf>
    <xf numFmtId="43" fontId="4" fillId="0" borderId="1" xfId="1" applyFont="1" applyFill="1" applyBorder="1" applyAlignment="1">
      <alignment horizontal="center" vertical="center"/>
    </xf>
    <xf numFmtId="0" fontId="2" fillId="2" borderId="1" xfId="0" applyFont="1" applyFill="1" applyBorder="1" applyAlignment="1">
      <alignment vertical="center" wrapText="1"/>
    </xf>
    <xf numFmtId="2" fontId="10" fillId="0" borderId="0" xfId="1" applyNumberFormat="1" applyFont="1" applyFill="1" applyAlignment="1">
      <alignment vertical="center" wrapText="1"/>
    </xf>
    <xf numFmtId="43" fontId="2" fillId="0" borderId="1" xfId="1" applyFont="1" applyFill="1" applyBorder="1" applyAlignment="1">
      <alignment horizontal="right" vertical="center" wrapText="1"/>
    </xf>
    <xf numFmtId="43" fontId="2" fillId="2" borderId="1" xfId="1" applyFont="1" applyFill="1" applyBorder="1" applyAlignment="1">
      <alignment horizontal="right" vertical="center" wrapText="1"/>
    </xf>
    <xf numFmtId="0" fontId="10" fillId="2" borderId="0" xfId="0" applyFont="1" applyFill="1" applyAlignment="1">
      <alignment vertical="center" wrapText="1"/>
    </xf>
    <xf numFmtId="43"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0" borderId="0" xfId="0" applyFont="1" applyAlignment="1">
      <alignment vertical="center" wrapText="1"/>
    </xf>
    <xf numFmtId="0" fontId="4" fillId="0" borderId="1" xfId="6"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17" fontId="4"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2"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2" fillId="2" borderId="1" xfId="0" applyFont="1" applyFill="1" applyBorder="1" applyAlignment="1">
      <alignment horizontal="center" vertical="center"/>
    </xf>
    <xf numFmtId="17"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7" fontId="4" fillId="0" borderId="1" xfId="0" quotePrefix="1" applyNumberFormat="1"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13" fillId="0" borderId="0" xfId="0" applyFont="1" applyAlignment="1">
      <alignment vertical="center" wrapText="1"/>
    </xf>
    <xf numFmtId="0" fontId="4" fillId="0" borderId="1" xfId="0" applyFont="1" applyBorder="1" applyAlignment="1">
      <alignment horizontal="center" wrapText="1"/>
    </xf>
    <xf numFmtId="0" fontId="11" fillId="0" borderId="0" xfId="0" applyFont="1" applyAlignment="1">
      <alignment vertical="center" wrapText="1"/>
    </xf>
    <xf numFmtId="0" fontId="5" fillId="0" borderId="1" xfId="0" applyFont="1" applyBorder="1" applyAlignment="1">
      <alignment horizontal="center" vertical="center" wrapText="1"/>
    </xf>
    <xf numFmtId="0" fontId="11" fillId="0" borderId="0" xfId="0" applyFont="1" applyAlignment="1">
      <alignment horizontal="center" vertical="center" wrapText="1"/>
    </xf>
    <xf numFmtId="43" fontId="14" fillId="0" borderId="1" xfId="1" applyFont="1" applyFill="1" applyBorder="1" applyAlignment="1">
      <alignment horizontal="right" vertical="center" shrinkToFit="1"/>
    </xf>
    <xf numFmtId="1" fontId="14" fillId="0" borderId="1" xfId="0" applyNumberFormat="1" applyFont="1" applyBorder="1" applyAlignment="1">
      <alignment horizontal="center" vertical="center" shrinkToFit="1"/>
    </xf>
    <xf numFmtId="164" fontId="14" fillId="0" borderId="1" xfId="0" applyNumberFormat="1" applyFont="1" applyBorder="1" applyAlignment="1">
      <alignment horizontal="center" vertical="center" shrinkToFit="1"/>
    </xf>
    <xf numFmtId="164" fontId="14" fillId="0" borderId="1" xfId="0" applyNumberFormat="1" applyFont="1" applyBorder="1" applyAlignment="1">
      <alignment horizontal="right" vertical="center" shrinkToFit="1"/>
    </xf>
    <xf numFmtId="2" fontId="14" fillId="0" borderId="1" xfId="0" applyNumberFormat="1" applyFont="1" applyBorder="1" applyAlignment="1">
      <alignment horizontal="right" vertical="center" shrinkToFit="1"/>
    </xf>
    <xf numFmtId="0" fontId="10" fillId="0" borderId="0" xfId="0" applyFont="1" applyAlignment="1">
      <alignment horizontal="center" vertical="center" wrapText="1"/>
    </xf>
    <xf numFmtId="0" fontId="10" fillId="0" borderId="0" xfId="0" applyFont="1" applyAlignment="1">
      <alignment horizontal="center"/>
    </xf>
    <xf numFmtId="0" fontId="10" fillId="0" borderId="0" xfId="0" applyFont="1" applyAlignment="1">
      <alignment horizontal="left"/>
    </xf>
    <xf numFmtId="43" fontId="10" fillId="0" borderId="0" xfId="0" applyNumberFormat="1" applyFont="1" applyAlignment="1">
      <alignment horizontal="center" vertical="center" wrapText="1"/>
    </xf>
    <xf numFmtId="43" fontId="10" fillId="0" borderId="0" xfId="0" applyNumberFormat="1" applyFont="1" applyAlignment="1">
      <alignment horizontal="left"/>
    </xf>
    <xf numFmtId="43" fontId="11" fillId="0" borderId="0" xfId="1" applyFont="1" applyFill="1" applyBorder="1" applyAlignment="1">
      <alignment horizontal="center" vertical="center" shrinkToFit="1"/>
    </xf>
    <xf numFmtId="0" fontId="10" fillId="0" borderId="0" xfId="0" applyFont="1" applyAlignment="1">
      <alignment horizontal="left" vertical="center" wrapText="1"/>
    </xf>
    <xf numFmtId="0" fontId="5" fillId="0" borderId="1" xfId="0" applyFont="1" applyBorder="1" applyAlignment="1">
      <alignment horizontal="left" vertical="center" wrapText="1"/>
    </xf>
    <xf numFmtId="1" fontId="4" fillId="0" borderId="1" xfId="0" applyNumberFormat="1" applyFont="1" applyBorder="1" applyAlignment="1">
      <alignment horizontal="center" vertical="center" shrinkToFit="1"/>
    </xf>
    <xf numFmtId="164" fontId="4" fillId="0" borderId="1" xfId="0" applyNumberFormat="1" applyFont="1" applyBorder="1" applyAlignment="1">
      <alignment horizontal="center" vertical="center" shrinkToFit="1"/>
    </xf>
    <xf numFmtId="2" fontId="4" fillId="0" borderId="1" xfId="0" applyNumberFormat="1" applyFont="1" applyBorder="1" applyAlignment="1">
      <alignment horizontal="center" vertical="center" shrinkToFit="1"/>
    </xf>
    <xf numFmtId="43" fontId="4" fillId="0" borderId="1" xfId="1" applyFont="1" applyFill="1" applyBorder="1" applyAlignment="1">
      <alignment horizontal="center" vertical="center" shrinkToFit="1"/>
    </xf>
    <xf numFmtId="43" fontId="4" fillId="0" borderId="1" xfId="1" applyFont="1" applyFill="1" applyBorder="1" applyAlignment="1">
      <alignment vertical="center" wrapText="1"/>
    </xf>
    <xf numFmtId="165" fontId="4" fillId="0" borderId="1" xfId="0" applyNumberFormat="1" applyFont="1" applyBorder="1" applyAlignment="1">
      <alignment horizontal="center" vertical="center" shrinkToFit="1"/>
    </xf>
    <xf numFmtId="43" fontId="4" fillId="0" borderId="1" xfId="1" applyFont="1" applyFill="1" applyBorder="1" applyAlignment="1">
      <alignment horizontal="left" vertical="center" wrapText="1"/>
    </xf>
    <xf numFmtId="0" fontId="4" fillId="0" borderId="1" xfId="0" applyFont="1" applyBorder="1" applyAlignment="1">
      <alignment horizontal="center" vertical="center"/>
    </xf>
    <xf numFmtId="4" fontId="4" fillId="0" borderId="1" xfId="0" applyNumberFormat="1" applyFont="1" applyBorder="1" applyAlignment="1">
      <alignment horizontal="center" vertical="center" shrinkToFit="1"/>
    </xf>
    <xf numFmtId="0" fontId="5" fillId="0" borderId="1" xfId="0" applyFont="1" applyBorder="1" applyAlignment="1">
      <alignment horizontal="center" vertical="center"/>
    </xf>
    <xf numFmtId="43" fontId="4" fillId="0" borderId="1" xfId="1" applyFont="1" applyFill="1" applyBorder="1"/>
    <xf numFmtId="43" fontId="2" fillId="0" borderId="1" xfId="1" applyFont="1" applyFill="1" applyBorder="1" applyAlignment="1">
      <alignment horizontal="center" vertical="center" wrapText="1"/>
    </xf>
    <xf numFmtId="43" fontId="2" fillId="0" borderId="1" xfId="1" applyFont="1" applyFill="1" applyBorder="1" applyAlignment="1">
      <alignment horizontal="center" vertical="center"/>
    </xf>
    <xf numFmtId="0" fontId="4" fillId="0" borderId="1" xfId="0" applyFont="1" applyBorder="1" applyAlignment="1">
      <alignment horizontal="left" wrapText="1"/>
    </xf>
    <xf numFmtId="14" fontId="4" fillId="0" borderId="1" xfId="0" applyNumberFormat="1" applyFont="1" applyBorder="1" applyAlignment="1">
      <alignment horizontal="center" vertical="center" wrapText="1"/>
    </xf>
    <xf numFmtId="14" fontId="4" fillId="2" borderId="1" xfId="0" applyNumberFormat="1" applyFont="1" applyFill="1" applyBorder="1" applyAlignment="1">
      <alignment horizontal="center" vertical="center" wrapText="1"/>
    </xf>
    <xf numFmtId="43" fontId="4" fillId="2" borderId="1" xfId="1" applyFont="1" applyFill="1" applyBorder="1" applyAlignment="1">
      <alignment vertical="center" wrapText="1"/>
    </xf>
    <xf numFmtId="0" fontId="4" fillId="3" borderId="1" xfId="0" applyFont="1" applyFill="1" applyBorder="1" applyAlignment="1">
      <alignment horizontal="center" vertical="center" wrapText="1"/>
    </xf>
    <xf numFmtId="17"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164" fontId="4" fillId="3" borderId="1" xfId="0" applyNumberFormat="1" applyFont="1" applyFill="1" applyBorder="1" applyAlignment="1">
      <alignment horizontal="center" vertical="center" shrinkToFit="1"/>
    </xf>
    <xf numFmtId="2" fontId="4" fillId="3" borderId="1" xfId="0" applyNumberFormat="1" applyFont="1" applyFill="1" applyBorder="1" applyAlignment="1">
      <alignment horizontal="center" vertical="center" shrinkToFit="1"/>
    </xf>
    <xf numFmtId="43" fontId="4" fillId="3" borderId="1" xfId="1" applyFont="1" applyFill="1" applyBorder="1" applyAlignment="1">
      <alignment horizontal="center" vertical="center" wrapText="1"/>
    </xf>
    <xf numFmtId="43" fontId="4" fillId="3" borderId="1" xfId="1" applyFont="1" applyFill="1" applyBorder="1" applyAlignment="1">
      <alignment horizontal="center" vertical="center" shrinkToFit="1"/>
    </xf>
    <xf numFmtId="43" fontId="2" fillId="3" borderId="1" xfId="1" applyFont="1" applyFill="1" applyBorder="1" applyAlignment="1">
      <alignment horizontal="right" vertical="center" wrapText="1"/>
    </xf>
    <xf numFmtId="43" fontId="4" fillId="3" borderId="1" xfId="1" applyFont="1" applyFill="1" applyBorder="1" applyAlignment="1">
      <alignment vertical="center" wrapText="1"/>
    </xf>
    <xf numFmtId="0" fontId="10" fillId="3" borderId="0" xfId="0" applyFont="1" applyFill="1" applyAlignment="1">
      <alignment vertical="center" wrapText="1"/>
    </xf>
    <xf numFmtId="43" fontId="5" fillId="4" borderId="1" xfId="1" applyFont="1" applyFill="1" applyBorder="1" applyAlignment="1">
      <alignment horizontal="center" vertical="center" wrapText="1"/>
    </xf>
    <xf numFmtId="43" fontId="4" fillId="4" borderId="1" xfId="1" applyFont="1" applyFill="1" applyBorder="1" applyAlignment="1">
      <alignment horizontal="center" vertical="center" wrapText="1"/>
    </xf>
    <xf numFmtId="43" fontId="2" fillId="4" borderId="1" xfId="0" applyNumberFormat="1" applyFont="1" applyFill="1" applyBorder="1" applyAlignment="1">
      <alignment vertical="center"/>
    </xf>
    <xf numFmtId="43" fontId="4" fillId="4" borderId="1" xfId="1" applyFont="1" applyFill="1" applyBorder="1" applyAlignment="1">
      <alignment vertical="center" wrapText="1"/>
    </xf>
    <xf numFmtId="43" fontId="4" fillId="4" borderId="1" xfId="1" applyFont="1" applyFill="1" applyBorder="1" applyAlignment="1">
      <alignment horizontal="left" vertical="center" wrapText="1"/>
    </xf>
    <xf numFmtId="43" fontId="4" fillId="4" borderId="1" xfId="1" applyFont="1" applyFill="1" applyBorder="1" applyAlignment="1">
      <alignment horizontal="center" vertical="center"/>
    </xf>
    <xf numFmtId="43" fontId="10" fillId="4" borderId="0" xfId="1" applyFont="1" applyFill="1" applyAlignment="1">
      <alignment vertical="center" wrapText="1"/>
    </xf>
    <xf numFmtId="43" fontId="11" fillId="4" borderId="0" xfId="1" applyFont="1" applyFill="1" applyBorder="1" applyAlignment="1">
      <alignment horizontal="center" vertical="center" shrinkToFit="1"/>
    </xf>
    <xf numFmtId="43" fontId="13" fillId="4" borderId="0" xfId="1" applyFont="1" applyFill="1" applyAlignment="1">
      <alignment vertical="center"/>
    </xf>
    <xf numFmtId="43" fontId="13" fillId="4" borderId="0" xfId="1" applyFont="1" applyFill="1"/>
    <xf numFmtId="43" fontId="10" fillId="4" borderId="0" xfId="1" applyFont="1" applyFill="1" applyAlignment="1">
      <alignment horizontal="center" vertical="center" wrapText="1"/>
    </xf>
    <xf numFmtId="43" fontId="17" fillId="4" borderId="0" xfId="1" applyFont="1" applyFill="1" applyAlignment="1">
      <alignment horizontal="center" vertical="center"/>
    </xf>
    <xf numFmtId="43" fontId="10" fillId="4" borderId="0" xfId="1" applyFont="1" applyFill="1" applyAlignment="1">
      <alignment horizontal="center" vertical="center"/>
    </xf>
    <xf numFmtId="2" fontId="4" fillId="4" borderId="1" xfId="0" applyNumberFormat="1" applyFont="1" applyFill="1" applyBorder="1" applyAlignment="1">
      <alignment horizontal="center" vertical="center" shrinkToFit="1"/>
    </xf>
    <xf numFmtId="166" fontId="4" fillId="4" borderId="1" xfId="0" applyNumberFormat="1" applyFont="1" applyFill="1" applyBorder="1" applyAlignment="1">
      <alignment horizontal="center" vertical="center" shrinkToFit="1"/>
    </xf>
    <xf numFmtId="43" fontId="4" fillId="4" borderId="1" xfId="1" applyFont="1" applyFill="1" applyBorder="1" applyAlignment="1">
      <alignment horizontal="center" vertical="center" shrinkToFit="1"/>
    </xf>
    <xf numFmtId="43" fontId="4" fillId="4" borderId="1" xfId="19"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43" fontId="4" fillId="4" borderId="1" xfId="13" applyFont="1" applyFill="1" applyBorder="1" applyAlignment="1">
      <alignment horizontal="center" vertical="center" wrapText="1"/>
    </xf>
    <xf numFmtId="43" fontId="4" fillId="4" borderId="1" xfId="1" applyFont="1" applyFill="1" applyBorder="1" applyAlignment="1">
      <alignment horizontal="center" vertical="center" wrapText="1" shrinkToFit="1"/>
    </xf>
    <xf numFmtId="43" fontId="2" fillId="3" borderId="1" xfId="0" applyNumberFormat="1" applyFont="1" applyFill="1" applyBorder="1" applyAlignment="1">
      <alignment vertical="center"/>
    </xf>
    <xf numFmtId="43" fontId="4" fillId="3" borderId="1" xfId="1" applyFont="1" applyFill="1" applyBorder="1" applyAlignment="1">
      <alignment horizontal="left" vertical="center" wrapText="1"/>
    </xf>
    <xf numFmtId="0" fontId="4" fillId="3" borderId="1" xfId="0" applyFont="1" applyFill="1" applyBorder="1" applyAlignment="1">
      <alignment horizontal="center" vertical="center"/>
    </xf>
    <xf numFmtId="43" fontId="2" fillId="3" borderId="1" xfId="0" applyNumberFormat="1" applyFont="1" applyFill="1" applyBorder="1" applyAlignment="1">
      <alignment horizontal="center" vertical="center"/>
    </xf>
    <xf numFmtId="43" fontId="4" fillId="3" borderId="1" xfId="1" applyFont="1" applyFill="1" applyBorder="1" applyAlignment="1">
      <alignment horizontal="center" vertical="center"/>
    </xf>
    <xf numFmtId="43" fontId="4" fillId="3" borderId="1" xfId="1" applyFont="1" applyFill="1" applyBorder="1"/>
    <xf numFmtId="43" fontId="4" fillId="3" borderId="1" xfId="1" applyFont="1" applyFill="1" applyBorder="1" applyAlignment="1">
      <alignment vertical="center"/>
    </xf>
    <xf numFmtId="0" fontId="4" fillId="2" borderId="1" xfId="0" applyFont="1" applyFill="1" applyBorder="1" applyAlignment="1">
      <alignment horizontal="left" vertical="center" wrapText="1"/>
    </xf>
    <xf numFmtId="43" fontId="4" fillId="2" borderId="1" xfId="1" applyFont="1" applyFill="1" applyBorder="1" applyAlignment="1">
      <alignment horizontal="left" vertical="center" wrapText="1"/>
    </xf>
    <xf numFmtId="0" fontId="4" fillId="3" borderId="1" xfId="0" applyFont="1" applyFill="1" applyBorder="1" applyAlignment="1">
      <alignment horizontal="left" wrapText="1"/>
    </xf>
    <xf numFmtId="0" fontId="4" fillId="3" borderId="1" xfId="6" applyFont="1" applyFill="1" applyBorder="1" applyAlignment="1">
      <alignment horizontal="center" vertical="center" wrapText="1"/>
    </xf>
    <xf numFmtId="43" fontId="4" fillId="3" borderId="1" xfId="19"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2" fontId="14" fillId="4" borderId="1" xfId="0" applyNumberFormat="1" applyFont="1" applyFill="1" applyBorder="1" applyAlignment="1">
      <alignment horizontal="right" vertical="center" shrinkToFit="1"/>
    </xf>
    <xf numFmtId="2" fontId="14" fillId="4" borderId="1" xfId="0" applyNumberFormat="1" applyFont="1" applyFill="1" applyBorder="1" applyAlignment="1">
      <alignment horizontal="left" vertical="center" shrinkToFit="1"/>
    </xf>
    <xf numFmtId="1" fontId="4" fillId="4" borderId="1" xfId="0" applyNumberFormat="1" applyFont="1" applyFill="1" applyBorder="1" applyAlignment="1">
      <alignment horizontal="center" vertical="center" shrinkToFit="1"/>
    </xf>
    <xf numFmtId="0" fontId="4" fillId="5" borderId="1" xfId="0" applyFont="1" applyFill="1" applyBorder="1" applyAlignment="1">
      <alignment horizontal="center" vertical="center" wrapText="1"/>
    </xf>
    <xf numFmtId="17" fontId="4" fillId="5"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164" fontId="4" fillId="5" borderId="1" xfId="0" applyNumberFormat="1" applyFont="1" applyFill="1" applyBorder="1" applyAlignment="1">
      <alignment horizontal="center" vertical="center" shrinkToFit="1"/>
    </xf>
    <xf numFmtId="2" fontId="4" fillId="5" borderId="1" xfId="0" applyNumberFormat="1" applyFont="1" applyFill="1" applyBorder="1" applyAlignment="1">
      <alignment horizontal="center" vertical="center" shrinkToFit="1"/>
    </xf>
    <xf numFmtId="43" fontId="4" fillId="5" borderId="1" xfId="1" applyFont="1" applyFill="1" applyBorder="1" applyAlignment="1">
      <alignment horizontal="center" vertical="center" wrapText="1"/>
    </xf>
    <xf numFmtId="43" fontId="4" fillId="5" borderId="1" xfId="1" applyFont="1" applyFill="1" applyBorder="1" applyAlignment="1">
      <alignment horizontal="center" vertical="center" shrinkToFit="1"/>
    </xf>
    <xf numFmtId="43" fontId="2" fillId="5" borderId="1" xfId="1" applyFont="1" applyFill="1" applyBorder="1" applyAlignment="1">
      <alignment horizontal="right" vertical="center" wrapText="1"/>
    </xf>
    <xf numFmtId="43" fontId="4" fillId="5" borderId="1" xfId="1" applyFont="1" applyFill="1" applyBorder="1" applyAlignment="1">
      <alignment vertical="center" wrapText="1"/>
    </xf>
    <xf numFmtId="0" fontId="10" fillId="5" borderId="0" xfId="0" applyFont="1" applyFill="1" applyAlignment="1">
      <alignment vertical="center" wrapText="1"/>
    </xf>
    <xf numFmtId="43" fontId="2" fillId="5" borderId="1" xfId="0" applyNumberFormat="1" applyFont="1" applyFill="1" applyBorder="1" applyAlignment="1">
      <alignment vertical="center"/>
    </xf>
    <xf numFmtId="0" fontId="4" fillId="5" borderId="1" xfId="0" applyFont="1" applyFill="1" applyBorder="1" applyAlignment="1">
      <alignment horizontal="center" vertical="center"/>
    </xf>
    <xf numFmtId="43" fontId="4" fillId="5" borderId="1" xfId="1" applyFont="1" applyFill="1" applyBorder="1" applyAlignment="1">
      <alignment horizontal="left" vertical="center" wrapText="1"/>
    </xf>
    <xf numFmtId="43" fontId="4" fillId="5" borderId="1" xfId="1" applyFont="1" applyFill="1" applyBorder="1" applyAlignment="1">
      <alignment horizontal="center" vertical="center"/>
    </xf>
    <xf numFmtId="0" fontId="4" fillId="5" borderId="1" xfId="6" applyFont="1" applyFill="1" applyBorder="1" applyAlignment="1">
      <alignment horizontal="center" vertical="center" wrapText="1"/>
    </xf>
    <xf numFmtId="43" fontId="4" fillId="5" borderId="1" xfId="19" applyFont="1" applyFill="1" applyBorder="1" applyAlignment="1">
      <alignment horizontal="center" vertical="center" wrapText="1"/>
    </xf>
    <xf numFmtId="0" fontId="2" fillId="5" borderId="1" xfId="6" applyFont="1" applyFill="1" applyBorder="1" applyAlignment="1">
      <alignment horizontal="center" vertical="center" wrapText="1"/>
    </xf>
    <xf numFmtId="43" fontId="2" fillId="5" borderId="1" xfId="19" applyFont="1" applyFill="1" applyBorder="1" applyAlignment="1">
      <alignment horizontal="center" vertical="center" wrapText="1"/>
    </xf>
    <xf numFmtId="0" fontId="4" fillId="5" borderId="1" xfId="0" applyFont="1" applyFill="1" applyBorder="1" applyAlignment="1">
      <alignment horizontal="left" wrapText="1"/>
    </xf>
    <xf numFmtId="0" fontId="2" fillId="5" borderId="1" xfId="0" applyFont="1" applyFill="1" applyBorder="1" applyAlignment="1">
      <alignment horizontal="center" vertical="center"/>
    </xf>
    <xf numFmtId="14" fontId="4"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5" borderId="1" xfId="6" applyFont="1" applyFill="1" applyBorder="1" applyAlignment="1">
      <alignment horizontal="center" vertical="center"/>
    </xf>
    <xf numFmtId="0" fontId="2" fillId="5" borderId="1" xfId="0" applyFont="1" applyFill="1" applyBorder="1" applyAlignment="1">
      <alignment vertical="center" wrapText="1"/>
    </xf>
    <xf numFmtId="49" fontId="2" fillId="5" borderId="1" xfId="0" applyNumberFormat="1" applyFont="1" applyFill="1" applyBorder="1" applyAlignment="1">
      <alignment horizontal="left" vertical="top" wrapText="1"/>
    </xf>
    <xf numFmtId="43" fontId="2" fillId="0" borderId="1" xfId="0" applyNumberFormat="1" applyFont="1" applyBorder="1" applyAlignment="1">
      <alignment vertical="center"/>
    </xf>
    <xf numFmtId="43" fontId="2" fillId="0" borderId="1" xfId="0" applyNumberFormat="1" applyFont="1" applyBorder="1" applyAlignment="1">
      <alignment horizontal="center" vertical="center"/>
    </xf>
    <xf numFmtId="43" fontId="4" fillId="0" borderId="1" xfId="19" applyFont="1" applyFill="1" applyBorder="1" applyAlignment="1">
      <alignment horizontal="center" vertical="center" wrapText="1"/>
    </xf>
    <xf numFmtId="43" fontId="13" fillId="0" borderId="0" xfId="1" applyFont="1" applyFill="1" applyAlignment="1">
      <alignment vertical="center"/>
    </xf>
    <xf numFmtId="2" fontId="14" fillId="0" borderId="1" xfId="0" applyNumberFormat="1" applyFont="1" applyBorder="1" applyAlignment="1">
      <alignment horizontal="left" vertical="center" shrinkToFit="1"/>
    </xf>
    <xf numFmtId="166" fontId="4" fillId="0" borderId="1" xfId="0" applyNumberFormat="1" applyFont="1" applyBorder="1" applyAlignment="1">
      <alignment horizontal="center" vertical="center" shrinkToFit="1"/>
    </xf>
    <xf numFmtId="43" fontId="4" fillId="0" borderId="1" xfId="13" applyFont="1" applyFill="1" applyBorder="1" applyAlignment="1">
      <alignment horizontal="center" vertical="center" wrapText="1"/>
    </xf>
    <xf numFmtId="43" fontId="4" fillId="0" borderId="1" xfId="1" applyFont="1" applyFill="1" applyBorder="1" applyAlignment="1">
      <alignment horizontal="center" vertical="center" wrapText="1" shrinkToFit="1"/>
    </xf>
    <xf numFmtId="43" fontId="4" fillId="0" borderId="1" xfId="1" applyFont="1" applyFill="1" applyBorder="1" applyAlignment="1">
      <alignment vertical="center"/>
    </xf>
    <xf numFmtId="0" fontId="2" fillId="0" borderId="1" xfId="6" applyFont="1" applyBorder="1" applyAlignment="1">
      <alignment horizontal="center" vertical="center" wrapText="1"/>
    </xf>
    <xf numFmtId="43" fontId="2" fillId="0" borderId="1" xfId="19" applyFont="1" applyFill="1" applyBorder="1" applyAlignment="1">
      <alignment horizontal="center" vertical="center" wrapText="1"/>
    </xf>
    <xf numFmtId="0" fontId="4" fillId="0" borderId="1" xfId="6" applyFont="1" applyBorder="1" applyAlignment="1">
      <alignment horizontal="center" vertical="center"/>
    </xf>
    <xf numFmtId="43" fontId="13" fillId="0" borderId="0" xfId="0" applyNumberFormat="1" applyFont="1" applyAlignment="1">
      <alignment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43" fontId="12" fillId="0" borderId="1" xfId="0" applyNumberFormat="1" applyFont="1" applyBorder="1" applyAlignment="1">
      <alignment horizontal="center" vertical="center" wrapText="1"/>
    </xf>
    <xf numFmtId="43" fontId="5" fillId="0" borderId="1" xfId="1" applyFont="1" applyFill="1" applyBorder="1" applyAlignment="1">
      <alignment horizontal="center" vertical="center" wrapText="1"/>
    </xf>
    <xf numFmtId="43" fontId="11"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43" fontId="5" fillId="4" borderId="1" xfId="1" applyFont="1" applyFill="1" applyBorder="1" applyAlignment="1">
      <alignment horizontal="center" vertical="center" wrapText="1"/>
    </xf>
    <xf numFmtId="43" fontId="11" fillId="4" borderId="1" xfId="1" applyFont="1" applyFill="1" applyBorder="1" applyAlignment="1">
      <alignment horizontal="center" vertical="center" wrapText="1"/>
    </xf>
    <xf numFmtId="0" fontId="16" fillId="0" borderId="0" xfId="0" applyFont="1" applyAlignment="1">
      <alignment horizontal="center" vertical="center"/>
    </xf>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64" fontId="4" fillId="0" borderId="1" xfId="0" applyNumberFormat="1" applyFont="1" applyFill="1" applyBorder="1" applyAlignment="1">
      <alignment horizontal="center" vertical="center" shrinkToFit="1"/>
    </xf>
    <xf numFmtId="2" fontId="4" fillId="0" borderId="1" xfId="0" applyNumberFormat="1" applyFont="1" applyFill="1" applyBorder="1" applyAlignment="1">
      <alignment horizontal="center" vertical="center" shrinkToFit="1"/>
    </xf>
    <xf numFmtId="0" fontId="10" fillId="0" borderId="0" xfId="0" applyFont="1" applyFill="1" applyAlignment="1">
      <alignment vertical="center" wrapText="1"/>
    </xf>
  </cellXfs>
  <cellStyles count="23">
    <cellStyle name="Comma" xfId="1" builtinId="3"/>
    <cellStyle name="Comma 2" xfId="11" xr:uid="{00000000-0005-0000-0000-000001000000}"/>
    <cellStyle name="Comma 2 2" xfId="8" xr:uid="{00000000-0005-0000-0000-000002000000}"/>
    <cellStyle name="Comma 2 2 2" xfId="19" xr:uid="{80ED54B8-BB63-4D56-A2CF-6CBC5871AE0B}"/>
    <cellStyle name="Comma 2 3" xfId="20" xr:uid="{387A0797-01EA-45C8-95FB-2645D919AF79}"/>
    <cellStyle name="Comma 3" xfId="12" xr:uid="{00000000-0005-0000-0000-000003000000}"/>
    <cellStyle name="Comma 3 2" xfId="21" xr:uid="{B4E65010-23BB-46FC-B221-0DE668753793}"/>
    <cellStyle name="Comma 4" xfId="13" xr:uid="{00000000-0005-0000-0000-000004000000}"/>
    <cellStyle name="Comma 4 2" xfId="22" xr:uid="{233ED20D-B8D7-4E78-A7F8-72074684022E}"/>
    <cellStyle name="Comma 5" xfId="18" xr:uid="{AF3597FF-7184-45E1-86C4-80F52A73FC48}"/>
    <cellStyle name="Normal" xfId="0" builtinId="0"/>
    <cellStyle name="Normal 10" xfId="14" xr:uid="{00000000-0005-0000-0000-000006000000}"/>
    <cellStyle name="Normal 2" xfId="6" xr:uid="{00000000-0005-0000-0000-000007000000}"/>
    <cellStyle name="Normal 2 2" xfId="15" xr:uid="{00000000-0005-0000-0000-000008000000}"/>
    <cellStyle name="Normal 3" xfId="7" xr:uid="{00000000-0005-0000-0000-000009000000}"/>
    <cellStyle name="Normal 3 2" xfId="16" xr:uid="{00000000-0005-0000-0000-00000A000000}"/>
    <cellStyle name="Normal 4" xfId="4" xr:uid="{00000000-0005-0000-0000-00000B000000}"/>
    <cellStyle name="Normal 4 2" xfId="5" xr:uid="{00000000-0005-0000-0000-00000C000000}"/>
    <cellStyle name="Normal 5" xfId="2" xr:uid="{00000000-0005-0000-0000-00000D000000}"/>
    <cellStyle name="Normal 6" xfId="9" xr:uid="{00000000-0005-0000-0000-00000E000000}"/>
    <cellStyle name="Normal 7" xfId="10" xr:uid="{00000000-0005-0000-0000-00000F000000}"/>
    <cellStyle name="Normal 8" xfId="3" xr:uid="{00000000-0005-0000-0000-000010000000}"/>
    <cellStyle name="Normal 9" xfId="17" xr:uid="{00000000-0005-0000-0000-000011000000}"/>
  </cellStyles>
  <dxfs count="1">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A09B-5DE2-4EC6-B064-F2B2FB50B633}">
  <sheetPr>
    <tabColor rgb="FFFFFF00"/>
  </sheetPr>
  <dimension ref="A1:AF508"/>
  <sheetViews>
    <sheetView view="pageBreakPreview" zoomScale="90" zoomScaleNormal="80" zoomScaleSheetLayoutView="90" workbookViewId="0">
      <pane ySplit="2" topLeftCell="A3" activePane="bottomLeft" state="frozen"/>
      <selection activeCell="G2" sqref="G2"/>
      <selection pane="bottomLeft" activeCell="F4" sqref="F4"/>
    </sheetView>
  </sheetViews>
  <sheetFormatPr defaultColWidth="8.88671875" defaultRowHeight="15.6"/>
  <cols>
    <col min="1" max="1" width="9.109375" style="55" customWidth="1"/>
    <col min="2" max="2" width="21.6640625" style="55" customWidth="1"/>
    <col min="3" max="3" width="13.109375" style="55" customWidth="1"/>
    <col min="4" max="4" width="14" style="55" customWidth="1"/>
    <col min="5" max="5" width="17" style="55" customWidth="1"/>
    <col min="6" max="6" width="55.5546875" style="61" customWidth="1"/>
    <col min="7" max="7" width="22.44140625" style="55" customWidth="1"/>
    <col min="8" max="8" width="12.6640625" style="55" customWidth="1"/>
    <col min="9" max="9" width="12.5546875" style="55" customWidth="1"/>
    <col min="10" max="10" width="12.33203125" style="55" customWidth="1"/>
    <col min="11" max="11" width="15" style="55" customWidth="1"/>
    <col min="12" max="12" width="11.44140625" style="5" customWidth="1"/>
    <col min="13" max="13" width="12.109375" style="5" customWidth="1"/>
    <col min="14" max="14" width="13" style="55" customWidth="1"/>
    <col min="15" max="15" width="12.88671875" style="5" customWidth="1"/>
    <col min="16" max="16" width="13" style="5" customWidth="1"/>
    <col min="17" max="17" width="13.44140625" style="5" customWidth="1"/>
    <col min="18" max="32" width="13.44140625" style="6" customWidth="1"/>
    <col min="33" max="16384" width="8.88671875" style="30"/>
  </cols>
  <sheetData>
    <row r="1" spans="1:32" s="47" customFormat="1" ht="18">
      <c r="A1" s="168" t="s">
        <v>0</v>
      </c>
      <c r="B1" s="169"/>
      <c r="C1" s="169"/>
      <c r="D1" s="169"/>
      <c r="E1" s="169"/>
      <c r="F1" s="169"/>
      <c r="G1" s="169"/>
      <c r="H1" s="169"/>
      <c r="I1" s="169"/>
      <c r="J1" s="169"/>
      <c r="K1" s="169"/>
      <c r="L1" s="169"/>
      <c r="M1" s="169"/>
      <c r="N1" s="169"/>
      <c r="O1" s="169"/>
      <c r="P1" s="170"/>
      <c r="Q1" s="171" t="s">
        <v>1</v>
      </c>
      <c r="R1" s="172"/>
      <c r="S1" s="172"/>
      <c r="T1" s="172"/>
      <c r="U1" s="172"/>
      <c r="V1" s="172"/>
      <c r="W1" s="171" t="s">
        <v>2</v>
      </c>
      <c r="X1" s="172"/>
      <c r="Y1" s="172"/>
      <c r="Z1" s="172"/>
      <c r="AA1" s="172"/>
      <c r="AB1" s="171" t="s">
        <v>1475</v>
      </c>
      <c r="AC1" s="172"/>
      <c r="AD1" s="172"/>
      <c r="AE1" s="172"/>
      <c r="AF1" s="172"/>
    </row>
    <row r="2" spans="1:32" s="49" customFormat="1" ht="62.4">
      <c r="A2" s="48" t="s">
        <v>3</v>
      </c>
      <c r="B2" s="48" t="s">
        <v>4</v>
      </c>
      <c r="C2" s="48" t="s">
        <v>1476</v>
      </c>
      <c r="D2" s="48" t="s">
        <v>875</v>
      </c>
      <c r="E2" s="48" t="s">
        <v>1055</v>
      </c>
      <c r="F2" s="62" t="s">
        <v>5</v>
      </c>
      <c r="G2" s="48" t="s">
        <v>6</v>
      </c>
      <c r="H2" s="48" t="s">
        <v>7</v>
      </c>
      <c r="I2" s="48" t="s">
        <v>8</v>
      </c>
      <c r="J2" s="48" t="s">
        <v>9</v>
      </c>
      <c r="K2" s="48" t="s">
        <v>10</v>
      </c>
      <c r="L2" s="2" t="s">
        <v>11</v>
      </c>
      <c r="M2" s="2" t="s">
        <v>12</v>
      </c>
      <c r="N2" s="48" t="s">
        <v>13</v>
      </c>
      <c r="O2" s="2" t="s">
        <v>14</v>
      </c>
      <c r="P2" s="2" t="s">
        <v>15</v>
      </c>
      <c r="Q2" s="2" t="s">
        <v>1546</v>
      </c>
      <c r="R2" s="2" t="s">
        <v>16</v>
      </c>
      <c r="S2" s="2" t="s">
        <v>17</v>
      </c>
      <c r="T2" s="2" t="s">
        <v>18</v>
      </c>
      <c r="U2" s="2" t="s">
        <v>19</v>
      </c>
      <c r="V2" s="2" t="s">
        <v>20</v>
      </c>
      <c r="W2" s="2" t="s">
        <v>21</v>
      </c>
      <c r="X2" s="2" t="s">
        <v>22</v>
      </c>
      <c r="Y2" s="2" t="s">
        <v>23</v>
      </c>
      <c r="Z2" s="2" t="s">
        <v>24</v>
      </c>
      <c r="AA2" s="2" t="s">
        <v>25</v>
      </c>
      <c r="AB2" s="2" t="s">
        <v>1478</v>
      </c>
      <c r="AC2" s="2" t="s">
        <v>1479</v>
      </c>
      <c r="AD2" s="2" t="s">
        <v>1480</v>
      </c>
      <c r="AE2" s="2" t="s">
        <v>1481</v>
      </c>
      <c r="AF2" s="2" t="s">
        <v>1482</v>
      </c>
    </row>
    <row r="3" spans="1:32" ht="46.8">
      <c r="A3" s="41">
        <v>1</v>
      </c>
      <c r="B3" s="41" t="s">
        <v>26</v>
      </c>
      <c r="C3" s="41" t="s">
        <v>1002</v>
      </c>
      <c r="D3" s="41" t="s">
        <v>1016</v>
      </c>
      <c r="E3" s="41" t="s">
        <v>1056</v>
      </c>
      <c r="F3" s="43" t="s">
        <v>27</v>
      </c>
      <c r="G3" s="41" t="s">
        <v>28</v>
      </c>
      <c r="H3" s="63">
        <v>2</v>
      </c>
      <c r="I3" s="64">
        <v>42083</v>
      </c>
      <c r="J3" s="64">
        <v>42083</v>
      </c>
      <c r="K3" s="64">
        <v>42541</v>
      </c>
      <c r="L3" s="65">
        <v>76.569999999999993</v>
      </c>
      <c r="M3" s="65">
        <v>105.78</v>
      </c>
      <c r="N3" s="41" t="s">
        <v>29</v>
      </c>
      <c r="O3" s="65">
        <v>105.78</v>
      </c>
      <c r="P3" s="66">
        <v>108.27</v>
      </c>
      <c r="Q3" s="3">
        <v>0</v>
      </c>
      <c r="R3" s="3"/>
      <c r="S3" s="3"/>
      <c r="T3" s="3"/>
      <c r="U3" s="67">
        <f>P3+S3+T3</f>
        <v>108.27</v>
      </c>
      <c r="V3" s="67">
        <f>Q3+R3-S3-T3</f>
        <v>0</v>
      </c>
      <c r="W3" s="3"/>
      <c r="X3" s="3"/>
      <c r="Y3" s="3"/>
      <c r="Z3" s="67">
        <f>U3+X3+Y3</f>
        <v>108.27</v>
      </c>
      <c r="AA3" s="67">
        <f>V3+W3-X3-Y3</f>
        <v>0</v>
      </c>
      <c r="AB3" s="3"/>
      <c r="AC3" s="3"/>
      <c r="AD3" s="3"/>
      <c r="AE3" s="67">
        <f>Z3+AC3+AD3</f>
        <v>108.27</v>
      </c>
      <c r="AF3" s="67">
        <f>AA3+AB3-AC3-AD3</f>
        <v>0</v>
      </c>
    </row>
    <row r="4" spans="1:32" ht="93.6">
      <c r="A4" s="41">
        <f>A3+1</f>
        <v>2</v>
      </c>
      <c r="B4" s="41" t="s">
        <v>31</v>
      </c>
      <c r="C4" s="41" t="s">
        <v>1002</v>
      </c>
      <c r="D4" s="41" t="s">
        <v>1016</v>
      </c>
      <c r="E4" s="41" t="s">
        <v>1057</v>
      </c>
      <c r="F4" s="43" t="s">
        <v>992</v>
      </c>
      <c r="G4" s="41" t="s">
        <v>28</v>
      </c>
      <c r="H4" s="63">
        <v>2</v>
      </c>
      <c r="I4" s="68">
        <v>42083</v>
      </c>
      <c r="J4" s="68">
        <v>42083</v>
      </c>
      <c r="K4" s="68">
        <v>42449</v>
      </c>
      <c r="L4" s="65">
        <v>79.239999999999995</v>
      </c>
      <c r="M4" s="65">
        <v>79.239999999999995</v>
      </c>
      <c r="N4" s="41" t="s">
        <v>32</v>
      </c>
      <c r="O4" s="65">
        <v>79.540000000000006</v>
      </c>
      <c r="P4" s="50">
        <v>84.63</v>
      </c>
      <c r="Q4" s="3">
        <v>0</v>
      </c>
      <c r="R4" s="3"/>
      <c r="S4" s="3"/>
      <c r="T4" s="3"/>
      <c r="U4" s="67">
        <f t="shared" ref="U4:U67" si="0">P4+S4+T4</f>
        <v>84.63</v>
      </c>
      <c r="V4" s="67">
        <f t="shared" ref="V4:V67" si="1">Q4+R4-S4-T4</f>
        <v>0</v>
      </c>
      <c r="W4" s="3"/>
      <c r="X4" s="3"/>
      <c r="Y4" s="3"/>
      <c r="Z4" s="67">
        <f t="shared" ref="Z4:Z67" si="2">U4+X4+Y4</f>
        <v>84.63</v>
      </c>
      <c r="AA4" s="67">
        <f t="shared" ref="AA4:AA67" si="3">V4+W4-X4-Y4</f>
        <v>0</v>
      </c>
      <c r="AB4" s="3"/>
      <c r="AC4" s="3"/>
      <c r="AD4" s="3"/>
      <c r="AE4" s="67">
        <f t="shared" ref="AE4:AE67" si="4">Z4+AC4+AD4</f>
        <v>84.63</v>
      </c>
      <c r="AF4" s="67">
        <f t="shared" ref="AF4:AF67" si="5">AA4+AB4-AC4-AD4</f>
        <v>0</v>
      </c>
    </row>
    <row r="5" spans="1:32" ht="62.4">
      <c r="A5" s="41">
        <f t="shared" ref="A5:A68" si="6">A4+1</f>
        <v>3</v>
      </c>
      <c r="B5" s="41" t="s">
        <v>637</v>
      </c>
      <c r="C5" s="41" t="s">
        <v>1002</v>
      </c>
      <c r="D5" s="41" t="s">
        <v>1016</v>
      </c>
      <c r="E5" s="41" t="s">
        <v>30</v>
      </c>
      <c r="F5" s="43" t="s">
        <v>993</v>
      </c>
      <c r="G5" s="41" t="s">
        <v>28</v>
      </c>
      <c r="H5" s="63">
        <v>2</v>
      </c>
      <c r="I5" s="64">
        <v>42078</v>
      </c>
      <c r="J5" s="64">
        <v>42078</v>
      </c>
      <c r="K5" s="64">
        <v>42444</v>
      </c>
      <c r="L5" s="65">
        <v>41.3</v>
      </c>
      <c r="M5" s="65">
        <v>41.3</v>
      </c>
      <c r="N5" s="41" t="s">
        <v>32</v>
      </c>
      <c r="O5" s="65">
        <v>44.21</v>
      </c>
      <c r="P5" s="66">
        <v>42.229316500000003</v>
      </c>
      <c r="Q5" s="66">
        <v>4.2206834999999998</v>
      </c>
      <c r="R5" s="3"/>
      <c r="S5" s="22"/>
      <c r="T5" s="3"/>
      <c r="U5" s="67">
        <f t="shared" si="0"/>
        <v>42.229316500000003</v>
      </c>
      <c r="V5" s="67">
        <f t="shared" si="1"/>
        <v>4.2206834999999998</v>
      </c>
      <c r="W5" s="3"/>
      <c r="X5" s="3"/>
      <c r="Y5" s="3"/>
      <c r="Z5" s="67">
        <f t="shared" si="2"/>
        <v>42.229316500000003</v>
      </c>
      <c r="AA5" s="67">
        <f t="shared" si="3"/>
        <v>4.2206834999999998</v>
      </c>
      <c r="AB5" s="3"/>
      <c r="AC5" s="3"/>
      <c r="AD5" s="3"/>
      <c r="AE5" s="67">
        <f t="shared" si="4"/>
        <v>42.229316500000003</v>
      </c>
      <c r="AF5" s="67">
        <f t="shared" si="5"/>
        <v>4.2206834999999998</v>
      </c>
    </row>
    <row r="6" spans="1:32" ht="78">
      <c r="A6" s="41">
        <f t="shared" si="6"/>
        <v>4</v>
      </c>
      <c r="B6" s="41" t="s">
        <v>33</v>
      </c>
      <c r="C6" s="41" t="s">
        <v>1002</v>
      </c>
      <c r="D6" s="41" t="s">
        <v>1016</v>
      </c>
      <c r="E6" s="41" t="s">
        <v>1058</v>
      </c>
      <c r="F6" s="43" t="s">
        <v>34</v>
      </c>
      <c r="G6" s="41" t="s">
        <v>28</v>
      </c>
      <c r="H6" s="63">
        <v>2</v>
      </c>
      <c r="I6" s="64">
        <v>42045</v>
      </c>
      <c r="J6" s="64">
        <v>42045</v>
      </c>
      <c r="K6" s="64">
        <v>42225</v>
      </c>
      <c r="L6" s="65">
        <v>10.65</v>
      </c>
      <c r="M6" s="65">
        <v>17.52</v>
      </c>
      <c r="N6" s="41" t="s">
        <v>29</v>
      </c>
      <c r="O6" s="65">
        <v>15.03</v>
      </c>
      <c r="P6" s="66">
        <v>15.44</v>
      </c>
      <c r="Q6" s="3">
        <v>0</v>
      </c>
      <c r="R6" s="3"/>
      <c r="S6" s="3"/>
      <c r="T6" s="3"/>
      <c r="U6" s="67">
        <f t="shared" si="0"/>
        <v>15.44</v>
      </c>
      <c r="V6" s="67">
        <f t="shared" si="1"/>
        <v>0</v>
      </c>
      <c r="W6" s="3"/>
      <c r="X6" s="3"/>
      <c r="Y6" s="3"/>
      <c r="Z6" s="67">
        <f t="shared" si="2"/>
        <v>15.44</v>
      </c>
      <c r="AA6" s="67">
        <f t="shared" si="3"/>
        <v>0</v>
      </c>
      <c r="AB6" s="3"/>
      <c r="AC6" s="3"/>
      <c r="AD6" s="3"/>
      <c r="AE6" s="67">
        <f t="shared" si="4"/>
        <v>15.44</v>
      </c>
      <c r="AF6" s="67">
        <f t="shared" si="5"/>
        <v>0</v>
      </c>
    </row>
    <row r="7" spans="1:32" ht="124.8">
      <c r="A7" s="41">
        <f t="shared" si="6"/>
        <v>5</v>
      </c>
      <c r="B7" s="41" t="s">
        <v>35</v>
      </c>
      <c r="C7" s="41" t="s">
        <v>1002</v>
      </c>
      <c r="D7" s="41" t="s">
        <v>1016</v>
      </c>
      <c r="E7" s="41" t="s">
        <v>1059</v>
      </c>
      <c r="F7" s="43" t="s">
        <v>36</v>
      </c>
      <c r="G7" s="41" t="s">
        <v>28</v>
      </c>
      <c r="H7" s="63">
        <v>3</v>
      </c>
      <c r="I7" s="64">
        <v>42046</v>
      </c>
      <c r="J7" s="64">
        <v>42046</v>
      </c>
      <c r="K7" s="41" t="s">
        <v>37</v>
      </c>
      <c r="L7" s="65">
        <v>73.239999999999995</v>
      </c>
      <c r="M7" s="65">
        <v>79.040000000000006</v>
      </c>
      <c r="N7" s="41" t="s">
        <v>32</v>
      </c>
      <c r="O7" s="65">
        <v>79.02</v>
      </c>
      <c r="P7" s="66">
        <v>83.42</v>
      </c>
      <c r="Q7" s="3">
        <v>0</v>
      </c>
      <c r="R7" s="3"/>
      <c r="S7" s="3"/>
      <c r="T7" s="3"/>
      <c r="U7" s="67">
        <f t="shared" si="0"/>
        <v>83.42</v>
      </c>
      <c r="V7" s="67">
        <f t="shared" si="1"/>
        <v>0</v>
      </c>
      <c r="W7" s="3"/>
      <c r="X7" s="3"/>
      <c r="Y7" s="3"/>
      <c r="Z7" s="67">
        <f t="shared" si="2"/>
        <v>83.42</v>
      </c>
      <c r="AA7" s="67">
        <f t="shared" si="3"/>
        <v>0</v>
      </c>
      <c r="AB7" s="3"/>
      <c r="AC7" s="3"/>
      <c r="AD7" s="3"/>
      <c r="AE7" s="67">
        <f t="shared" si="4"/>
        <v>83.42</v>
      </c>
      <c r="AF7" s="67">
        <f t="shared" si="5"/>
        <v>0</v>
      </c>
    </row>
    <row r="8" spans="1:32" ht="46.8">
      <c r="A8" s="41">
        <f t="shared" si="6"/>
        <v>6</v>
      </c>
      <c r="B8" s="41" t="s">
        <v>38</v>
      </c>
      <c r="C8" s="41" t="s">
        <v>1002</v>
      </c>
      <c r="D8" s="41" t="s">
        <v>1016</v>
      </c>
      <c r="E8" s="41" t="s">
        <v>1060</v>
      </c>
      <c r="F8" s="43" t="s">
        <v>39</v>
      </c>
      <c r="G8" s="41" t="s">
        <v>28</v>
      </c>
      <c r="H8" s="63">
        <v>2</v>
      </c>
      <c r="I8" s="64">
        <v>42228</v>
      </c>
      <c r="J8" s="64">
        <v>42228</v>
      </c>
      <c r="K8" s="64">
        <v>42593</v>
      </c>
      <c r="L8" s="65">
        <v>91.91</v>
      </c>
      <c r="M8" s="65">
        <v>105.07</v>
      </c>
      <c r="N8" s="41" t="s">
        <v>32</v>
      </c>
      <c r="O8" s="65">
        <v>109.88</v>
      </c>
      <c r="P8" s="66">
        <v>112.19</v>
      </c>
      <c r="Q8" s="3">
        <v>0</v>
      </c>
      <c r="R8" s="3"/>
      <c r="S8" s="3"/>
      <c r="T8" s="3"/>
      <c r="U8" s="67">
        <f t="shared" si="0"/>
        <v>112.19</v>
      </c>
      <c r="V8" s="67">
        <f t="shared" si="1"/>
        <v>0</v>
      </c>
      <c r="W8" s="3"/>
      <c r="X8" s="3"/>
      <c r="Y8" s="3"/>
      <c r="Z8" s="67">
        <f t="shared" si="2"/>
        <v>112.19</v>
      </c>
      <c r="AA8" s="67">
        <f t="shared" si="3"/>
        <v>0</v>
      </c>
      <c r="AB8" s="3"/>
      <c r="AC8" s="3"/>
      <c r="AD8" s="3"/>
      <c r="AE8" s="67">
        <f t="shared" si="4"/>
        <v>112.19</v>
      </c>
      <c r="AF8" s="67">
        <f t="shared" si="5"/>
        <v>0</v>
      </c>
    </row>
    <row r="9" spans="1:32" ht="93.6">
      <c r="A9" s="41">
        <f t="shared" si="6"/>
        <v>7</v>
      </c>
      <c r="B9" s="41" t="s">
        <v>40</v>
      </c>
      <c r="C9" s="41" t="s">
        <v>1003</v>
      </c>
      <c r="D9" s="41" t="s">
        <v>1016</v>
      </c>
      <c r="E9" s="41" t="s">
        <v>1061</v>
      </c>
      <c r="F9" s="43" t="s">
        <v>994</v>
      </c>
      <c r="G9" s="41" t="s">
        <v>28</v>
      </c>
      <c r="H9" s="63">
        <v>2</v>
      </c>
      <c r="I9" s="64">
        <v>42431</v>
      </c>
      <c r="J9" s="64">
        <v>42431</v>
      </c>
      <c r="K9" s="64">
        <v>42796</v>
      </c>
      <c r="L9" s="65">
        <v>26.19</v>
      </c>
      <c r="M9" s="65">
        <v>34.28</v>
      </c>
      <c r="N9" s="41" t="s">
        <v>32</v>
      </c>
      <c r="O9" s="65">
        <v>30.97</v>
      </c>
      <c r="P9" s="66">
        <v>32.74</v>
      </c>
      <c r="Q9" s="3">
        <v>0</v>
      </c>
      <c r="R9" s="3"/>
      <c r="S9" s="3"/>
      <c r="T9" s="3"/>
      <c r="U9" s="67">
        <f t="shared" si="0"/>
        <v>32.74</v>
      </c>
      <c r="V9" s="67">
        <f t="shared" si="1"/>
        <v>0</v>
      </c>
      <c r="W9" s="3"/>
      <c r="X9" s="3"/>
      <c r="Y9" s="3"/>
      <c r="Z9" s="67">
        <f t="shared" si="2"/>
        <v>32.74</v>
      </c>
      <c r="AA9" s="67">
        <f t="shared" si="3"/>
        <v>0</v>
      </c>
      <c r="AB9" s="3"/>
      <c r="AC9" s="3"/>
      <c r="AD9" s="3"/>
      <c r="AE9" s="67">
        <f t="shared" si="4"/>
        <v>32.74</v>
      </c>
      <c r="AF9" s="67">
        <f t="shared" si="5"/>
        <v>0</v>
      </c>
    </row>
    <row r="10" spans="1:32" ht="78">
      <c r="A10" s="41">
        <f t="shared" si="6"/>
        <v>8</v>
      </c>
      <c r="B10" s="41" t="s">
        <v>40</v>
      </c>
      <c r="C10" s="41" t="s">
        <v>1004</v>
      </c>
      <c r="D10" s="41" t="s">
        <v>1016</v>
      </c>
      <c r="E10" s="41" t="s">
        <v>1061</v>
      </c>
      <c r="F10" s="43" t="s">
        <v>68</v>
      </c>
      <c r="G10" s="41" t="s">
        <v>28</v>
      </c>
      <c r="H10" s="63">
        <v>2</v>
      </c>
      <c r="I10" s="64">
        <v>42165</v>
      </c>
      <c r="J10" s="64">
        <v>42165</v>
      </c>
      <c r="K10" s="64">
        <v>42530</v>
      </c>
      <c r="L10" s="65">
        <v>7.02</v>
      </c>
      <c r="M10" s="65">
        <v>7.44</v>
      </c>
      <c r="N10" s="41" t="s">
        <v>29</v>
      </c>
      <c r="O10" s="65">
        <v>30.16</v>
      </c>
      <c r="P10" s="66">
        <v>8.42</v>
      </c>
      <c r="Q10" s="3">
        <v>0</v>
      </c>
      <c r="R10" s="3"/>
      <c r="S10" s="3"/>
      <c r="T10" s="3"/>
      <c r="U10" s="67">
        <f t="shared" si="0"/>
        <v>8.42</v>
      </c>
      <c r="V10" s="67">
        <f t="shared" si="1"/>
        <v>0</v>
      </c>
      <c r="W10" s="3"/>
      <c r="X10" s="3"/>
      <c r="Y10" s="3"/>
      <c r="Z10" s="67">
        <f t="shared" si="2"/>
        <v>8.42</v>
      </c>
      <c r="AA10" s="67">
        <f t="shared" si="3"/>
        <v>0</v>
      </c>
      <c r="AB10" s="3"/>
      <c r="AC10" s="3"/>
      <c r="AD10" s="3"/>
      <c r="AE10" s="67">
        <f t="shared" si="4"/>
        <v>8.42</v>
      </c>
      <c r="AF10" s="67">
        <f t="shared" si="5"/>
        <v>0</v>
      </c>
    </row>
    <row r="11" spans="1:32" ht="62.4">
      <c r="A11" s="41">
        <f t="shared" si="6"/>
        <v>9</v>
      </c>
      <c r="B11" s="41" t="s">
        <v>41</v>
      </c>
      <c r="C11" s="41" t="s">
        <v>1002</v>
      </c>
      <c r="D11" s="34" t="s">
        <v>1016</v>
      </c>
      <c r="E11" s="41" t="s">
        <v>1062</v>
      </c>
      <c r="F11" s="43" t="s">
        <v>42</v>
      </c>
      <c r="G11" s="41" t="s">
        <v>28</v>
      </c>
      <c r="H11" s="63">
        <v>4</v>
      </c>
      <c r="I11" s="64">
        <v>42431</v>
      </c>
      <c r="J11" s="64">
        <v>42431</v>
      </c>
      <c r="K11" s="64">
        <v>42706</v>
      </c>
      <c r="L11" s="65">
        <v>16.690000000000001</v>
      </c>
      <c r="M11" s="65">
        <v>16.690000000000001</v>
      </c>
      <c r="N11" s="41" t="s">
        <v>32</v>
      </c>
      <c r="O11" s="65">
        <v>16.690000000000001</v>
      </c>
      <c r="P11" s="3">
        <v>0</v>
      </c>
      <c r="Q11" s="66">
        <v>15.19</v>
      </c>
      <c r="R11" s="3"/>
      <c r="S11" s="3"/>
      <c r="T11" s="3"/>
      <c r="U11" s="67">
        <f t="shared" si="0"/>
        <v>0</v>
      </c>
      <c r="V11" s="67">
        <f t="shared" si="1"/>
        <v>15.19</v>
      </c>
      <c r="W11" s="3"/>
      <c r="X11" s="3"/>
      <c r="Y11" s="3"/>
      <c r="Z11" s="67">
        <f t="shared" si="2"/>
        <v>0</v>
      </c>
      <c r="AA11" s="67">
        <f t="shared" si="3"/>
        <v>15.19</v>
      </c>
      <c r="AB11" s="3"/>
      <c r="AC11" s="3"/>
      <c r="AD11" s="3"/>
      <c r="AE11" s="67">
        <f t="shared" si="4"/>
        <v>0</v>
      </c>
      <c r="AF11" s="67">
        <f t="shared" si="5"/>
        <v>15.19</v>
      </c>
    </row>
    <row r="12" spans="1:32" ht="46.8">
      <c r="A12" s="41">
        <f t="shared" si="6"/>
        <v>10</v>
      </c>
      <c r="B12" s="41" t="s">
        <v>43</v>
      </c>
      <c r="C12" s="41" t="s">
        <v>1002</v>
      </c>
      <c r="D12" s="34" t="s">
        <v>1016</v>
      </c>
      <c r="E12" s="41" t="s">
        <v>1063</v>
      </c>
      <c r="F12" s="43" t="s">
        <v>44</v>
      </c>
      <c r="G12" s="41" t="s">
        <v>28</v>
      </c>
      <c r="H12" s="63">
        <v>2</v>
      </c>
      <c r="I12" s="64">
        <v>41683</v>
      </c>
      <c r="J12" s="64">
        <v>41683</v>
      </c>
      <c r="K12" s="64">
        <v>42047</v>
      </c>
      <c r="L12" s="65">
        <v>8.5399999999999991</v>
      </c>
      <c r="M12" s="65">
        <v>8.5399999999999991</v>
      </c>
      <c r="N12" s="41" t="s">
        <v>29</v>
      </c>
      <c r="O12" s="65">
        <v>8.5399999999999991</v>
      </c>
      <c r="P12" s="66">
        <v>9.0299999999999994</v>
      </c>
      <c r="Q12" s="3">
        <v>0</v>
      </c>
      <c r="R12" s="3"/>
      <c r="S12" s="3"/>
      <c r="T12" s="3"/>
      <c r="U12" s="67">
        <f t="shared" si="0"/>
        <v>9.0299999999999994</v>
      </c>
      <c r="V12" s="67">
        <f t="shared" si="1"/>
        <v>0</v>
      </c>
      <c r="W12" s="3"/>
      <c r="X12" s="3"/>
      <c r="Y12" s="3"/>
      <c r="Z12" s="67">
        <f t="shared" si="2"/>
        <v>9.0299999999999994</v>
      </c>
      <c r="AA12" s="67">
        <f t="shared" si="3"/>
        <v>0</v>
      </c>
      <c r="AB12" s="3"/>
      <c r="AC12" s="3"/>
      <c r="AD12" s="3"/>
      <c r="AE12" s="67">
        <f t="shared" si="4"/>
        <v>9.0299999999999994</v>
      </c>
      <c r="AF12" s="67">
        <f t="shared" si="5"/>
        <v>0</v>
      </c>
    </row>
    <row r="13" spans="1:32" ht="46.8">
      <c r="A13" s="41">
        <f t="shared" si="6"/>
        <v>11</v>
      </c>
      <c r="B13" s="41" t="s">
        <v>45</v>
      </c>
      <c r="C13" s="41" t="s">
        <v>1002</v>
      </c>
      <c r="D13" s="34" t="s">
        <v>1016</v>
      </c>
      <c r="E13" s="41" t="s">
        <v>1064</v>
      </c>
      <c r="F13" s="43" t="s">
        <v>46</v>
      </c>
      <c r="G13" s="41" t="s">
        <v>28</v>
      </c>
      <c r="H13" s="63">
        <v>2</v>
      </c>
      <c r="I13" s="64">
        <v>41683</v>
      </c>
      <c r="J13" s="64">
        <v>41683</v>
      </c>
      <c r="K13" s="64">
        <v>42047</v>
      </c>
      <c r="L13" s="65">
        <v>18.690000000000001</v>
      </c>
      <c r="M13" s="65">
        <v>18.690000000000001</v>
      </c>
      <c r="N13" s="41" t="s">
        <v>29</v>
      </c>
      <c r="O13" s="65">
        <v>18.829999999999998</v>
      </c>
      <c r="P13" s="66">
        <v>19.399999999999999</v>
      </c>
      <c r="Q13" s="3">
        <v>0</v>
      </c>
      <c r="R13" s="3"/>
      <c r="S13" s="3"/>
      <c r="T13" s="3"/>
      <c r="U13" s="67">
        <f t="shared" si="0"/>
        <v>19.399999999999999</v>
      </c>
      <c r="V13" s="67">
        <f t="shared" si="1"/>
        <v>0</v>
      </c>
      <c r="W13" s="3"/>
      <c r="X13" s="3"/>
      <c r="Y13" s="3"/>
      <c r="Z13" s="67">
        <f t="shared" si="2"/>
        <v>19.399999999999999</v>
      </c>
      <c r="AA13" s="67">
        <f t="shared" si="3"/>
        <v>0</v>
      </c>
      <c r="AB13" s="3"/>
      <c r="AC13" s="3"/>
      <c r="AD13" s="3"/>
      <c r="AE13" s="67">
        <f t="shared" si="4"/>
        <v>19.399999999999999</v>
      </c>
      <c r="AF13" s="67">
        <f t="shared" si="5"/>
        <v>0</v>
      </c>
    </row>
    <row r="14" spans="1:32" ht="46.8">
      <c r="A14" s="41">
        <f t="shared" si="6"/>
        <v>12</v>
      </c>
      <c r="B14" s="41" t="s">
        <v>47</v>
      </c>
      <c r="C14" s="41" t="s">
        <v>1002</v>
      </c>
      <c r="D14" s="34" t="s">
        <v>1016</v>
      </c>
      <c r="E14" s="41" t="s">
        <v>1065</v>
      </c>
      <c r="F14" s="43" t="s">
        <v>48</v>
      </c>
      <c r="G14" s="41" t="s">
        <v>28</v>
      </c>
      <c r="H14" s="63">
        <v>2</v>
      </c>
      <c r="I14" s="64">
        <v>41683</v>
      </c>
      <c r="J14" s="64">
        <v>41683</v>
      </c>
      <c r="K14" s="64">
        <v>42445</v>
      </c>
      <c r="L14" s="65">
        <v>27.42</v>
      </c>
      <c r="M14" s="65">
        <v>27.42</v>
      </c>
      <c r="N14" s="41" t="s">
        <v>29</v>
      </c>
      <c r="O14" s="65">
        <v>28.16</v>
      </c>
      <c r="P14" s="66">
        <v>30.07</v>
      </c>
      <c r="Q14" s="3">
        <v>0</v>
      </c>
      <c r="R14" s="3"/>
      <c r="S14" s="3"/>
      <c r="T14" s="3"/>
      <c r="U14" s="67">
        <f t="shared" si="0"/>
        <v>30.07</v>
      </c>
      <c r="V14" s="67">
        <f t="shared" si="1"/>
        <v>0</v>
      </c>
      <c r="W14" s="3"/>
      <c r="X14" s="3"/>
      <c r="Y14" s="3"/>
      <c r="Z14" s="67">
        <f t="shared" si="2"/>
        <v>30.07</v>
      </c>
      <c r="AA14" s="67">
        <f t="shared" si="3"/>
        <v>0</v>
      </c>
      <c r="AB14" s="3"/>
      <c r="AC14" s="3"/>
      <c r="AD14" s="3"/>
      <c r="AE14" s="67">
        <f t="shared" si="4"/>
        <v>30.07</v>
      </c>
      <c r="AF14" s="67">
        <f t="shared" si="5"/>
        <v>0</v>
      </c>
    </row>
    <row r="15" spans="1:32" ht="46.8">
      <c r="A15" s="41">
        <f t="shared" si="6"/>
        <v>13</v>
      </c>
      <c r="B15" s="41" t="s">
        <v>49</v>
      </c>
      <c r="C15" s="41" t="s">
        <v>1002</v>
      </c>
      <c r="D15" s="41" t="s">
        <v>1016</v>
      </c>
      <c r="E15" s="41" t="s">
        <v>1066</v>
      </c>
      <c r="F15" s="43" t="s">
        <v>50</v>
      </c>
      <c r="G15" s="41" t="s">
        <v>28</v>
      </c>
      <c r="H15" s="63">
        <v>2</v>
      </c>
      <c r="I15" s="64">
        <v>41683</v>
      </c>
      <c r="J15" s="64">
        <v>41683</v>
      </c>
      <c r="K15" s="64">
        <v>42405</v>
      </c>
      <c r="L15" s="65">
        <v>7.02</v>
      </c>
      <c r="M15" s="65">
        <v>7.02</v>
      </c>
      <c r="N15" s="41" t="s">
        <v>29</v>
      </c>
      <c r="O15" s="65">
        <v>7.02</v>
      </c>
      <c r="P15" s="66">
        <v>7.55</v>
      </c>
      <c r="Q15" s="3">
        <v>0</v>
      </c>
      <c r="R15" s="3"/>
      <c r="S15" s="3"/>
      <c r="T15" s="3"/>
      <c r="U15" s="67">
        <f t="shared" si="0"/>
        <v>7.55</v>
      </c>
      <c r="V15" s="67">
        <f t="shared" si="1"/>
        <v>0</v>
      </c>
      <c r="W15" s="3"/>
      <c r="X15" s="3"/>
      <c r="Y15" s="3"/>
      <c r="Z15" s="67">
        <f t="shared" si="2"/>
        <v>7.55</v>
      </c>
      <c r="AA15" s="67">
        <f t="shared" si="3"/>
        <v>0</v>
      </c>
      <c r="AB15" s="3"/>
      <c r="AC15" s="3"/>
      <c r="AD15" s="3"/>
      <c r="AE15" s="67">
        <f t="shared" si="4"/>
        <v>7.55</v>
      </c>
      <c r="AF15" s="67">
        <f t="shared" si="5"/>
        <v>0</v>
      </c>
    </row>
    <row r="16" spans="1:32" ht="46.8">
      <c r="A16" s="41">
        <f t="shared" si="6"/>
        <v>14</v>
      </c>
      <c r="B16" s="41" t="s">
        <v>51</v>
      </c>
      <c r="C16" s="41" t="s">
        <v>1002</v>
      </c>
      <c r="D16" s="34" t="s">
        <v>1016</v>
      </c>
      <c r="E16" s="41" t="s">
        <v>1067</v>
      </c>
      <c r="F16" s="43" t="s">
        <v>52</v>
      </c>
      <c r="G16" s="41" t="s">
        <v>28</v>
      </c>
      <c r="H16" s="63">
        <v>2</v>
      </c>
      <c r="I16" s="64">
        <v>42044</v>
      </c>
      <c r="J16" s="64">
        <v>42044</v>
      </c>
      <c r="K16" s="64">
        <v>42408</v>
      </c>
      <c r="L16" s="65">
        <v>10.8</v>
      </c>
      <c r="M16" s="65">
        <v>12.67</v>
      </c>
      <c r="N16" s="41" t="s">
        <v>29</v>
      </c>
      <c r="O16" s="65">
        <v>12.67</v>
      </c>
      <c r="P16" s="66">
        <v>12.57</v>
      </c>
      <c r="Q16" s="3">
        <v>0</v>
      </c>
      <c r="R16" s="3"/>
      <c r="S16" s="3"/>
      <c r="T16" s="3"/>
      <c r="U16" s="67">
        <f t="shared" si="0"/>
        <v>12.57</v>
      </c>
      <c r="V16" s="67">
        <f t="shared" si="1"/>
        <v>0</v>
      </c>
      <c r="W16" s="3"/>
      <c r="X16" s="3"/>
      <c r="Y16" s="3"/>
      <c r="Z16" s="67">
        <f t="shared" si="2"/>
        <v>12.57</v>
      </c>
      <c r="AA16" s="67">
        <f t="shared" si="3"/>
        <v>0</v>
      </c>
      <c r="AB16" s="3"/>
      <c r="AC16" s="3"/>
      <c r="AD16" s="3"/>
      <c r="AE16" s="67">
        <f t="shared" si="4"/>
        <v>12.57</v>
      </c>
      <c r="AF16" s="67">
        <f t="shared" si="5"/>
        <v>0</v>
      </c>
    </row>
    <row r="17" spans="1:32" ht="46.8">
      <c r="A17" s="41">
        <f t="shared" si="6"/>
        <v>15</v>
      </c>
      <c r="B17" s="41" t="s">
        <v>53</v>
      </c>
      <c r="C17" s="41" t="s">
        <v>1002</v>
      </c>
      <c r="D17" s="34" t="s">
        <v>1016</v>
      </c>
      <c r="E17" s="41" t="s">
        <v>1068</v>
      </c>
      <c r="F17" s="43" t="s">
        <v>54</v>
      </c>
      <c r="G17" s="41" t="s">
        <v>28</v>
      </c>
      <c r="H17" s="63">
        <v>5</v>
      </c>
      <c r="I17" s="64">
        <v>42084</v>
      </c>
      <c r="J17" s="64">
        <v>42084</v>
      </c>
      <c r="K17" s="64">
        <v>42449</v>
      </c>
      <c r="L17" s="65">
        <v>110.8</v>
      </c>
      <c r="M17" s="65">
        <v>129.79</v>
      </c>
      <c r="N17" s="41" t="s">
        <v>29</v>
      </c>
      <c r="O17" s="65">
        <v>127.77</v>
      </c>
      <c r="P17" s="66">
        <v>137.66999999999999</v>
      </c>
      <c r="Q17" s="3">
        <v>0</v>
      </c>
      <c r="R17" s="3"/>
      <c r="S17" s="3"/>
      <c r="T17" s="3"/>
      <c r="U17" s="67">
        <f t="shared" si="0"/>
        <v>137.66999999999999</v>
      </c>
      <c r="V17" s="67">
        <f t="shared" si="1"/>
        <v>0</v>
      </c>
      <c r="W17" s="3"/>
      <c r="X17" s="3"/>
      <c r="Y17" s="3"/>
      <c r="Z17" s="67">
        <f t="shared" si="2"/>
        <v>137.66999999999999</v>
      </c>
      <c r="AA17" s="67">
        <f t="shared" si="3"/>
        <v>0</v>
      </c>
      <c r="AB17" s="3"/>
      <c r="AC17" s="3"/>
      <c r="AD17" s="3"/>
      <c r="AE17" s="67">
        <f t="shared" si="4"/>
        <v>137.66999999999999</v>
      </c>
      <c r="AF17" s="67">
        <f t="shared" si="5"/>
        <v>0</v>
      </c>
    </row>
    <row r="18" spans="1:32" ht="46.8">
      <c r="A18" s="41">
        <f t="shared" si="6"/>
        <v>16</v>
      </c>
      <c r="B18" s="41" t="s">
        <v>55</v>
      </c>
      <c r="C18" s="41" t="s">
        <v>1002</v>
      </c>
      <c r="D18" s="34" t="s">
        <v>1016</v>
      </c>
      <c r="E18" s="41" t="s">
        <v>1069</v>
      </c>
      <c r="F18" s="43" t="s">
        <v>56</v>
      </c>
      <c r="G18" s="41" t="s">
        <v>28</v>
      </c>
      <c r="H18" s="63">
        <v>4</v>
      </c>
      <c r="I18" s="64">
        <v>42084</v>
      </c>
      <c r="J18" s="64">
        <v>42084</v>
      </c>
      <c r="K18" s="64">
        <v>42449</v>
      </c>
      <c r="L18" s="65">
        <v>94.6</v>
      </c>
      <c r="M18" s="65">
        <v>103.95</v>
      </c>
      <c r="N18" s="41" t="s">
        <v>29</v>
      </c>
      <c r="O18" s="65">
        <v>103.84</v>
      </c>
      <c r="P18" s="66">
        <v>107.83</v>
      </c>
      <c r="Q18" s="3">
        <v>0</v>
      </c>
      <c r="R18" s="3"/>
      <c r="S18" s="3"/>
      <c r="T18" s="3"/>
      <c r="U18" s="67">
        <f t="shared" si="0"/>
        <v>107.83</v>
      </c>
      <c r="V18" s="67">
        <f t="shared" si="1"/>
        <v>0</v>
      </c>
      <c r="W18" s="3"/>
      <c r="X18" s="3"/>
      <c r="Y18" s="3"/>
      <c r="Z18" s="67">
        <f t="shared" si="2"/>
        <v>107.83</v>
      </c>
      <c r="AA18" s="67">
        <f t="shared" si="3"/>
        <v>0</v>
      </c>
      <c r="AB18" s="3"/>
      <c r="AC18" s="3"/>
      <c r="AD18" s="3"/>
      <c r="AE18" s="67">
        <f t="shared" si="4"/>
        <v>107.83</v>
      </c>
      <c r="AF18" s="67">
        <f t="shared" si="5"/>
        <v>0</v>
      </c>
    </row>
    <row r="19" spans="1:32" ht="46.8">
      <c r="A19" s="41">
        <f t="shared" si="6"/>
        <v>17</v>
      </c>
      <c r="B19" s="41" t="s">
        <v>57</v>
      </c>
      <c r="C19" s="41" t="s">
        <v>1002</v>
      </c>
      <c r="D19" s="41" t="s">
        <v>1016</v>
      </c>
      <c r="E19" s="41" t="s">
        <v>1070</v>
      </c>
      <c r="F19" s="43" t="s">
        <v>58</v>
      </c>
      <c r="G19" s="41" t="s">
        <v>28</v>
      </c>
      <c r="H19" s="63">
        <v>2</v>
      </c>
      <c r="I19" s="64">
        <v>42241</v>
      </c>
      <c r="J19" s="64">
        <v>42241</v>
      </c>
      <c r="K19" s="64">
        <v>42698</v>
      </c>
      <c r="L19" s="65">
        <v>97.2</v>
      </c>
      <c r="M19" s="65">
        <v>125.26</v>
      </c>
      <c r="N19" s="41" t="s">
        <v>32</v>
      </c>
      <c r="O19" s="65">
        <v>115.75</v>
      </c>
      <c r="P19" s="66">
        <v>123.89</v>
      </c>
      <c r="Q19" s="3">
        <v>0</v>
      </c>
      <c r="R19" s="3"/>
      <c r="S19" s="3"/>
      <c r="T19" s="3"/>
      <c r="U19" s="67">
        <f t="shared" si="0"/>
        <v>123.89</v>
      </c>
      <c r="V19" s="67">
        <f t="shared" si="1"/>
        <v>0</v>
      </c>
      <c r="W19" s="3"/>
      <c r="X19" s="3"/>
      <c r="Y19" s="3"/>
      <c r="Z19" s="67">
        <f t="shared" si="2"/>
        <v>123.89</v>
      </c>
      <c r="AA19" s="67">
        <f t="shared" si="3"/>
        <v>0</v>
      </c>
      <c r="AB19" s="3"/>
      <c r="AC19" s="3"/>
      <c r="AD19" s="3"/>
      <c r="AE19" s="67">
        <f t="shared" si="4"/>
        <v>123.89</v>
      </c>
      <c r="AF19" s="67">
        <f t="shared" si="5"/>
        <v>0</v>
      </c>
    </row>
    <row r="20" spans="1:32" ht="46.8">
      <c r="A20" s="41">
        <f t="shared" si="6"/>
        <v>18</v>
      </c>
      <c r="B20" s="41" t="s">
        <v>59</v>
      </c>
      <c r="C20" s="41" t="s">
        <v>1002</v>
      </c>
      <c r="D20" s="34" t="s">
        <v>1016</v>
      </c>
      <c r="E20" s="41" t="s">
        <v>1071</v>
      </c>
      <c r="F20" s="43" t="s">
        <v>60</v>
      </c>
      <c r="G20" s="41" t="s">
        <v>28</v>
      </c>
      <c r="H20" s="63">
        <v>2</v>
      </c>
      <c r="I20" s="64">
        <v>42229</v>
      </c>
      <c r="J20" s="64">
        <v>42229</v>
      </c>
      <c r="K20" s="64">
        <v>42594</v>
      </c>
      <c r="L20" s="65">
        <v>29.37</v>
      </c>
      <c r="M20" s="65">
        <v>35.24</v>
      </c>
      <c r="N20" s="41" t="s">
        <v>29</v>
      </c>
      <c r="O20" s="65">
        <v>34.380000000000003</v>
      </c>
      <c r="P20" s="66">
        <v>36.86</v>
      </c>
      <c r="Q20" s="3">
        <v>0</v>
      </c>
      <c r="R20" s="3"/>
      <c r="S20" s="3"/>
      <c r="T20" s="3"/>
      <c r="U20" s="67">
        <f t="shared" si="0"/>
        <v>36.86</v>
      </c>
      <c r="V20" s="67">
        <f t="shared" si="1"/>
        <v>0</v>
      </c>
      <c r="W20" s="3"/>
      <c r="X20" s="3"/>
      <c r="Y20" s="3"/>
      <c r="Z20" s="67">
        <f t="shared" si="2"/>
        <v>36.86</v>
      </c>
      <c r="AA20" s="67">
        <f t="shared" si="3"/>
        <v>0</v>
      </c>
      <c r="AB20" s="3"/>
      <c r="AC20" s="3"/>
      <c r="AD20" s="3"/>
      <c r="AE20" s="67">
        <f t="shared" si="4"/>
        <v>36.86</v>
      </c>
      <c r="AF20" s="67">
        <f t="shared" si="5"/>
        <v>0</v>
      </c>
    </row>
    <row r="21" spans="1:32" ht="46.8">
      <c r="A21" s="41">
        <f t="shared" si="6"/>
        <v>19</v>
      </c>
      <c r="B21" s="41" t="s">
        <v>61</v>
      </c>
      <c r="C21" s="41" t="s">
        <v>1002</v>
      </c>
      <c r="D21" s="34" t="s">
        <v>1016</v>
      </c>
      <c r="E21" s="41" t="s">
        <v>1072</v>
      </c>
      <c r="F21" s="43" t="s">
        <v>62</v>
      </c>
      <c r="G21" s="41" t="s">
        <v>28</v>
      </c>
      <c r="H21" s="63">
        <v>6</v>
      </c>
      <c r="I21" s="64">
        <v>43105</v>
      </c>
      <c r="J21" s="64">
        <v>43105</v>
      </c>
      <c r="K21" s="64">
        <v>43104</v>
      </c>
      <c r="L21" s="65">
        <v>32.299999999999997</v>
      </c>
      <c r="M21" s="65">
        <v>32.299999999999997</v>
      </c>
      <c r="N21" s="41" t="s">
        <v>32</v>
      </c>
      <c r="O21" s="65">
        <v>31.43</v>
      </c>
      <c r="P21" s="66">
        <v>32.950000000000003</v>
      </c>
      <c r="Q21" s="3">
        <v>0</v>
      </c>
      <c r="R21" s="3"/>
      <c r="S21" s="3"/>
      <c r="T21" s="3"/>
      <c r="U21" s="67">
        <f t="shared" si="0"/>
        <v>32.950000000000003</v>
      </c>
      <c r="V21" s="67">
        <f t="shared" si="1"/>
        <v>0</v>
      </c>
      <c r="W21" s="3"/>
      <c r="X21" s="3"/>
      <c r="Y21" s="3"/>
      <c r="Z21" s="67">
        <f t="shared" si="2"/>
        <v>32.950000000000003</v>
      </c>
      <c r="AA21" s="67">
        <f t="shared" si="3"/>
        <v>0</v>
      </c>
      <c r="AB21" s="3"/>
      <c r="AC21" s="3"/>
      <c r="AD21" s="3"/>
      <c r="AE21" s="67">
        <f t="shared" si="4"/>
        <v>32.950000000000003</v>
      </c>
      <c r="AF21" s="67">
        <f t="shared" si="5"/>
        <v>0</v>
      </c>
    </row>
    <row r="22" spans="1:32" ht="62.4">
      <c r="A22" s="41">
        <f t="shared" si="6"/>
        <v>20</v>
      </c>
      <c r="B22" s="41" t="s">
        <v>63</v>
      </c>
      <c r="C22" s="41" t="s">
        <v>1002</v>
      </c>
      <c r="D22" s="34" t="s">
        <v>1016</v>
      </c>
      <c r="E22" s="41" t="s">
        <v>1073</v>
      </c>
      <c r="F22" s="43" t="s">
        <v>64</v>
      </c>
      <c r="G22" s="41" t="s">
        <v>28</v>
      </c>
      <c r="H22" s="63">
        <v>3</v>
      </c>
      <c r="I22" s="64">
        <v>43087</v>
      </c>
      <c r="J22" s="64">
        <v>43087</v>
      </c>
      <c r="K22" s="64">
        <v>43451</v>
      </c>
      <c r="L22" s="65">
        <v>14.94</v>
      </c>
      <c r="M22" s="65">
        <v>15.28</v>
      </c>
      <c r="N22" s="41" t="s">
        <v>32</v>
      </c>
      <c r="O22" s="65">
        <v>15.17</v>
      </c>
      <c r="P22" s="66">
        <v>15.03</v>
      </c>
      <c r="Q22" s="3">
        <v>0</v>
      </c>
      <c r="R22" s="3"/>
      <c r="S22" s="3"/>
      <c r="T22" s="3"/>
      <c r="U22" s="67">
        <f t="shared" si="0"/>
        <v>15.03</v>
      </c>
      <c r="V22" s="67">
        <f t="shared" si="1"/>
        <v>0</v>
      </c>
      <c r="W22" s="3"/>
      <c r="X22" s="3"/>
      <c r="Y22" s="3"/>
      <c r="Z22" s="67">
        <f t="shared" si="2"/>
        <v>15.03</v>
      </c>
      <c r="AA22" s="67">
        <f t="shared" si="3"/>
        <v>0</v>
      </c>
      <c r="AB22" s="3"/>
      <c r="AC22" s="3"/>
      <c r="AD22" s="3"/>
      <c r="AE22" s="67">
        <f t="shared" si="4"/>
        <v>15.03</v>
      </c>
      <c r="AF22" s="67">
        <f t="shared" si="5"/>
        <v>0</v>
      </c>
    </row>
    <row r="23" spans="1:32" ht="78">
      <c r="A23" s="41">
        <f t="shared" si="6"/>
        <v>21</v>
      </c>
      <c r="B23" s="41" t="s">
        <v>65</v>
      </c>
      <c r="C23" s="41" t="s">
        <v>1002</v>
      </c>
      <c r="D23" s="34" t="s">
        <v>1016</v>
      </c>
      <c r="E23" s="41" t="s">
        <v>1074</v>
      </c>
      <c r="F23" s="43" t="s">
        <v>66</v>
      </c>
      <c r="G23" s="41" t="s">
        <v>28</v>
      </c>
      <c r="H23" s="63">
        <v>2</v>
      </c>
      <c r="I23" s="64">
        <v>43080</v>
      </c>
      <c r="J23" s="64">
        <v>43080</v>
      </c>
      <c r="K23" s="64">
        <v>43404</v>
      </c>
      <c r="L23" s="65">
        <v>10.42</v>
      </c>
      <c r="M23" s="65">
        <v>12.43</v>
      </c>
      <c r="N23" s="41" t="s">
        <v>67</v>
      </c>
      <c r="O23" s="65">
        <v>11.49</v>
      </c>
      <c r="P23" s="66">
        <v>11.23</v>
      </c>
      <c r="Q23" s="66">
        <v>0.26</v>
      </c>
      <c r="R23" s="3"/>
      <c r="S23" s="3"/>
      <c r="T23" s="3"/>
      <c r="U23" s="67">
        <f t="shared" si="0"/>
        <v>11.23</v>
      </c>
      <c r="V23" s="67">
        <f t="shared" si="1"/>
        <v>0.26</v>
      </c>
      <c r="W23" s="3"/>
      <c r="X23" s="3"/>
      <c r="Y23" s="3"/>
      <c r="Z23" s="67">
        <f t="shared" si="2"/>
        <v>11.23</v>
      </c>
      <c r="AA23" s="67">
        <f t="shared" si="3"/>
        <v>0.26</v>
      </c>
      <c r="AB23" s="3"/>
      <c r="AC23" s="3"/>
      <c r="AD23" s="3"/>
      <c r="AE23" s="67">
        <f t="shared" si="4"/>
        <v>11.23</v>
      </c>
      <c r="AF23" s="67">
        <f t="shared" si="5"/>
        <v>0.26</v>
      </c>
    </row>
    <row r="24" spans="1:32" ht="140.4">
      <c r="A24" s="41">
        <f t="shared" si="6"/>
        <v>22</v>
      </c>
      <c r="B24" s="41" t="s">
        <v>69</v>
      </c>
      <c r="C24" s="41" t="s">
        <v>1002</v>
      </c>
      <c r="D24" s="34" t="s">
        <v>1016</v>
      </c>
      <c r="E24" s="41" t="s">
        <v>1075</v>
      </c>
      <c r="F24" s="43" t="s">
        <v>70</v>
      </c>
      <c r="G24" s="41" t="s">
        <v>28</v>
      </c>
      <c r="H24" s="63">
        <v>2</v>
      </c>
      <c r="I24" s="64">
        <v>42084</v>
      </c>
      <c r="J24" s="64">
        <v>42084</v>
      </c>
      <c r="K24" s="64">
        <v>42643</v>
      </c>
      <c r="L24" s="65">
        <v>28.46</v>
      </c>
      <c r="M24" s="65">
        <v>39.18</v>
      </c>
      <c r="N24" s="41" t="s">
        <v>32</v>
      </c>
      <c r="O24" s="65">
        <v>39.32</v>
      </c>
      <c r="P24" s="66">
        <v>40.61</v>
      </c>
      <c r="Q24" s="3">
        <v>0</v>
      </c>
      <c r="R24" s="3"/>
      <c r="S24" s="3"/>
      <c r="T24" s="3"/>
      <c r="U24" s="67">
        <f t="shared" si="0"/>
        <v>40.61</v>
      </c>
      <c r="V24" s="67">
        <f t="shared" si="1"/>
        <v>0</v>
      </c>
      <c r="W24" s="3"/>
      <c r="X24" s="3"/>
      <c r="Y24" s="3"/>
      <c r="Z24" s="67">
        <f t="shared" si="2"/>
        <v>40.61</v>
      </c>
      <c r="AA24" s="67">
        <f t="shared" si="3"/>
        <v>0</v>
      </c>
      <c r="AB24" s="3"/>
      <c r="AC24" s="3"/>
      <c r="AD24" s="3"/>
      <c r="AE24" s="67">
        <f t="shared" si="4"/>
        <v>40.61</v>
      </c>
      <c r="AF24" s="67">
        <f t="shared" si="5"/>
        <v>0</v>
      </c>
    </row>
    <row r="25" spans="1:32" ht="46.8">
      <c r="A25" s="41">
        <f t="shared" si="6"/>
        <v>23</v>
      </c>
      <c r="B25" s="41" t="s">
        <v>71</v>
      </c>
      <c r="C25" s="41" t="s">
        <v>1002</v>
      </c>
      <c r="D25" s="41" t="s">
        <v>1016</v>
      </c>
      <c r="E25" s="41" t="s">
        <v>1076</v>
      </c>
      <c r="F25" s="43" t="s">
        <v>72</v>
      </c>
      <c r="G25" s="41" t="s">
        <v>28</v>
      </c>
      <c r="H25" s="41"/>
      <c r="I25" s="64">
        <v>42035</v>
      </c>
      <c r="J25" s="64">
        <v>42035</v>
      </c>
      <c r="K25" s="64">
        <v>42525</v>
      </c>
      <c r="L25" s="65">
        <v>73.95</v>
      </c>
      <c r="M25" s="65">
        <v>85.07</v>
      </c>
      <c r="N25" s="41" t="s">
        <v>29</v>
      </c>
      <c r="O25" s="65">
        <v>85.07</v>
      </c>
      <c r="P25" s="66">
        <v>84.87</v>
      </c>
      <c r="Q25" s="3">
        <v>0</v>
      </c>
      <c r="R25" s="3"/>
      <c r="S25" s="3"/>
      <c r="T25" s="3"/>
      <c r="U25" s="67">
        <f t="shared" si="0"/>
        <v>84.87</v>
      </c>
      <c r="V25" s="67">
        <f t="shared" si="1"/>
        <v>0</v>
      </c>
      <c r="W25" s="3"/>
      <c r="X25" s="3"/>
      <c r="Y25" s="3"/>
      <c r="Z25" s="67">
        <f t="shared" si="2"/>
        <v>84.87</v>
      </c>
      <c r="AA25" s="67">
        <f t="shared" si="3"/>
        <v>0</v>
      </c>
      <c r="AB25" s="3"/>
      <c r="AC25" s="3"/>
      <c r="AD25" s="3"/>
      <c r="AE25" s="67">
        <f t="shared" si="4"/>
        <v>84.87</v>
      </c>
      <c r="AF25" s="67">
        <f t="shared" si="5"/>
        <v>0</v>
      </c>
    </row>
    <row r="26" spans="1:32" ht="46.8">
      <c r="A26" s="41">
        <f t="shared" si="6"/>
        <v>24</v>
      </c>
      <c r="B26" s="42" t="s">
        <v>996</v>
      </c>
      <c r="C26" s="41" t="s">
        <v>1002</v>
      </c>
      <c r="D26" s="41" t="s">
        <v>1016</v>
      </c>
      <c r="E26" s="41" t="s">
        <v>1077</v>
      </c>
      <c r="F26" s="43" t="s">
        <v>73</v>
      </c>
      <c r="G26" s="41" t="s">
        <v>28</v>
      </c>
      <c r="H26" s="41"/>
      <c r="I26" s="64">
        <v>41817</v>
      </c>
      <c r="J26" s="64">
        <v>41817</v>
      </c>
      <c r="K26" s="64">
        <v>42273</v>
      </c>
      <c r="L26" s="65">
        <v>148.21</v>
      </c>
      <c r="M26" s="65">
        <v>193.14</v>
      </c>
      <c r="N26" s="41" t="s">
        <v>29</v>
      </c>
      <c r="O26" s="65">
        <v>193.14</v>
      </c>
      <c r="P26" s="66">
        <v>193.05</v>
      </c>
      <c r="Q26" s="3">
        <v>0</v>
      </c>
      <c r="R26" s="3"/>
      <c r="S26" s="3"/>
      <c r="T26" s="3"/>
      <c r="U26" s="67">
        <f t="shared" si="0"/>
        <v>193.05</v>
      </c>
      <c r="V26" s="67">
        <f t="shared" si="1"/>
        <v>0</v>
      </c>
      <c r="W26" s="3"/>
      <c r="X26" s="3"/>
      <c r="Y26" s="3"/>
      <c r="Z26" s="67">
        <f t="shared" si="2"/>
        <v>193.05</v>
      </c>
      <c r="AA26" s="67">
        <f t="shared" si="3"/>
        <v>0</v>
      </c>
      <c r="AB26" s="3"/>
      <c r="AC26" s="3"/>
      <c r="AD26" s="3"/>
      <c r="AE26" s="67">
        <f t="shared" si="4"/>
        <v>193.05</v>
      </c>
      <c r="AF26" s="67">
        <f t="shared" si="5"/>
        <v>0</v>
      </c>
    </row>
    <row r="27" spans="1:32" ht="46.8">
      <c r="A27" s="41">
        <f t="shared" si="6"/>
        <v>25</v>
      </c>
      <c r="B27" s="42" t="s">
        <v>995</v>
      </c>
      <c r="C27" s="41" t="s">
        <v>1002</v>
      </c>
      <c r="D27" s="34" t="s">
        <v>1016</v>
      </c>
      <c r="E27" s="41" t="s">
        <v>1078</v>
      </c>
      <c r="F27" s="43" t="s">
        <v>76</v>
      </c>
      <c r="G27" s="41" t="s">
        <v>28</v>
      </c>
      <c r="H27" s="41"/>
      <c r="I27" s="64">
        <v>42033</v>
      </c>
      <c r="J27" s="64">
        <v>42033</v>
      </c>
      <c r="K27" s="64">
        <v>42436</v>
      </c>
      <c r="L27" s="65">
        <v>88.72</v>
      </c>
      <c r="M27" s="65">
        <v>123.09</v>
      </c>
      <c r="N27" s="41" t="s">
        <v>29</v>
      </c>
      <c r="O27" s="65">
        <v>123.09</v>
      </c>
      <c r="P27" s="66">
        <v>92.85</v>
      </c>
      <c r="Q27" s="66">
        <v>14.77</v>
      </c>
      <c r="R27" s="3"/>
      <c r="S27" s="3"/>
      <c r="T27" s="3"/>
      <c r="U27" s="67">
        <f t="shared" si="0"/>
        <v>92.85</v>
      </c>
      <c r="V27" s="67">
        <f t="shared" si="1"/>
        <v>14.77</v>
      </c>
      <c r="W27" s="3"/>
      <c r="X27" s="3"/>
      <c r="Y27" s="3"/>
      <c r="Z27" s="67">
        <f t="shared" si="2"/>
        <v>92.85</v>
      </c>
      <c r="AA27" s="67">
        <f t="shared" si="3"/>
        <v>14.77</v>
      </c>
      <c r="AB27" s="3"/>
      <c r="AC27" s="3"/>
      <c r="AD27" s="3"/>
      <c r="AE27" s="67">
        <f t="shared" si="4"/>
        <v>92.85</v>
      </c>
      <c r="AF27" s="67">
        <f t="shared" si="5"/>
        <v>14.77</v>
      </c>
    </row>
    <row r="28" spans="1:32" ht="93.6">
      <c r="A28" s="41">
        <f t="shared" si="6"/>
        <v>26</v>
      </c>
      <c r="B28" s="42" t="s">
        <v>74</v>
      </c>
      <c r="C28" s="41" t="s">
        <v>1002</v>
      </c>
      <c r="D28" s="34" t="s">
        <v>1016</v>
      </c>
      <c r="E28" s="41" t="s">
        <v>1079</v>
      </c>
      <c r="F28" s="43" t="s">
        <v>75</v>
      </c>
      <c r="G28" s="41" t="s">
        <v>28</v>
      </c>
      <c r="H28" s="41"/>
      <c r="I28" s="64">
        <v>42084</v>
      </c>
      <c r="J28" s="64">
        <v>42084</v>
      </c>
      <c r="K28" s="64">
        <v>42541</v>
      </c>
      <c r="L28" s="65">
        <v>126.24</v>
      </c>
      <c r="M28" s="65">
        <v>126.24</v>
      </c>
      <c r="N28" s="41" t="s">
        <v>29</v>
      </c>
      <c r="O28" s="65">
        <v>102.2</v>
      </c>
      <c r="P28" s="66">
        <v>108.37</v>
      </c>
      <c r="Q28" s="3">
        <v>0</v>
      </c>
      <c r="R28" s="3"/>
      <c r="S28" s="3"/>
      <c r="T28" s="3"/>
      <c r="U28" s="67">
        <f t="shared" si="0"/>
        <v>108.37</v>
      </c>
      <c r="V28" s="67">
        <f t="shared" si="1"/>
        <v>0</v>
      </c>
      <c r="W28" s="3"/>
      <c r="X28" s="3"/>
      <c r="Y28" s="3"/>
      <c r="Z28" s="67">
        <f t="shared" si="2"/>
        <v>108.37</v>
      </c>
      <c r="AA28" s="67">
        <f t="shared" si="3"/>
        <v>0</v>
      </c>
      <c r="AB28" s="3"/>
      <c r="AC28" s="3"/>
      <c r="AD28" s="3"/>
      <c r="AE28" s="67">
        <f t="shared" si="4"/>
        <v>108.37</v>
      </c>
      <c r="AF28" s="67">
        <f t="shared" si="5"/>
        <v>0</v>
      </c>
    </row>
    <row r="29" spans="1:32" ht="46.8">
      <c r="A29" s="41">
        <f t="shared" si="6"/>
        <v>27</v>
      </c>
      <c r="B29" s="42" t="s">
        <v>77</v>
      </c>
      <c r="C29" s="41" t="s">
        <v>1002</v>
      </c>
      <c r="D29" s="34" t="s">
        <v>1016</v>
      </c>
      <c r="E29" s="41" t="s">
        <v>1080</v>
      </c>
      <c r="F29" s="43" t="s">
        <v>78</v>
      </c>
      <c r="G29" s="41" t="s">
        <v>28</v>
      </c>
      <c r="H29" s="63">
        <v>3</v>
      </c>
      <c r="I29" s="41" t="s">
        <v>79</v>
      </c>
      <c r="J29" s="41" t="s">
        <v>79</v>
      </c>
      <c r="K29" s="64">
        <v>42307</v>
      </c>
      <c r="L29" s="65">
        <v>84.46</v>
      </c>
      <c r="M29" s="65">
        <v>89.51</v>
      </c>
      <c r="N29" s="41" t="s">
        <v>29</v>
      </c>
      <c r="O29" s="65">
        <v>90.02</v>
      </c>
      <c r="P29" s="66">
        <v>80.03</v>
      </c>
      <c r="Q29" s="66">
        <v>0.56000000000000005</v>
      </c>
      <c r="R29" s="3"/>
      <c r="S29" s="3"/>
      <c r="T29" s="3"/>
      <c r="U29" s="67">
        <f t="shared" si="0"/>
        <v>80.03</v>
      </c>
      <c r="V29" s="67">
        <f t="shared" si="1"/>
        <v>0.56000000000000005</v>
      </c>
      <c r="W29" s="3"/>
      <c r="X29" s="3"/>
      <c r="Y29" s="3"/>
      <c r="Z29" s="67">
        <f t="shared" si="2"/>
        <v>80.03</v>
      </c>
      <c r="AA29" s="67">
        <f t="shared" si="3"/>
        <v>0.56000000000000005</v>
      </c>
      <c r="AB29" s="3"/>
      <c r="AC29" s="3"/>
      <c r="AD29" s="3"/>
      <c r="AE29" s="67">
        <f t="shared" si="4"/>
        <v>80.03</v>
      </c>
      <c r="AF29" s="67">
        <f t="shared" si="5"/>
        <v>0.56000000000000005</v>
      </c>
    </row>
    <row r="30" spans="1:32" ht="46.8">
      <c r="A30" s="41">
        <f t="shared" si="6"/>
        <v>28</v>
      </c>
      <c r="B30" s="34"/>
      <c r="C30" s="34" t="s">
        <v>876</v>
      </c>
      <c r="D30" s="41" t="s">
        <v>1016</v>
      </c>
      <c r="E30" s="41" t="s">
        <v>1081</v>
      </c>
      <c r="F30" s="43" t="s">
        <v>80</v>
      </c>
      <c r="G30" s="41" t="s">
        <v>81</v>
      </c>
      <c r="H30" s="63">
        <v>2</v>
      </c>
      <c r="I30" s="64">
        <v>42674</v>
      </c>
      <c r="J30" s="64">
        <v>42674</v>
      </c>
      <c r="K30" s="64">
        <v>42766</v>
      </c>
      <c r="L30" s="65">
        <v>48.13</v>
      </c>
      <c r="M30" s="65">
        <v>48.13</v>
      </c>
      <c r="N30" s="41" t="s">
        <v>82</v>
      </c>
      <c r="O30" s="65">
        <v>48.65</v>
      </c>
      <c r="P30" s="66">
        <v>46.31</v>
      </c>
      <c r="Q30" s="3">
        <v>0</v>
      </c>
      <c r="R30" s="3"/>
      <c r="S30" s="3"/>
      <c r="T30" s="3"/>
      <c r="U30" s="67">
        <f t="shared" si="0"/>
        <v>46.31</v>
      </c>
      <c r="V30" s="67">
        <f t="shared" si="1"/>
        <v>0</v>
      </c>
      <c r="W30" s="3"/>
      <c r="X30" s="3"/>
      <c r="Y30" s="3"/>
      <c r="Z30" s="67">
        <f t="shared" si="2"/>
        <v>46.31</v>
      </c>
      <c r="AA30" s="67">
        <f t="shared" si="3"/>
        <v>0</v>
      </c>
      <c r="AB30" s="3"/>
      <c r="AC30" s="3"/>
      <c r="AD30" s="3"/>
      <c r="AE30" s="67">
        <f t="shared" si="4"/>
        <v>46.31</v>
      </c>
      <c r="AF30" s="67">
        <f t="shared" si="5"/>
        <v>0</v>
      </c>
    </row>
    <row r="31" spans="1:32" ht="46.8">
      <c r="A31" s="41">
        <f t="shared" si="6"/>
        <v>29</v>
      </c>
      <c r="B31" s="34"/>
      <c r="C31" s="34" t="s">
        <v>876</v>
      </c>
      <c r="D31" s="34" t="s">
        <v>1016</v>
      </c>
      <c r="E31" s="41" t="s">
        <v>1082</v>
      </c>
      <c r="F31" s="43" t="s">
        <v>83</v>
      </c>
      <c r="G31" s="41" t="s">
        <v>81</v>
      </c>
      <c r="H31" s="63">
        <v>3</v>
      </c>
      <c r="I31" s="64">
        <v>42672</v>
      </c>
      <c r="J31" s="64">
        <v>42672</v>
      </c>
      <c r="K31" s="64">
        <v>43036</v>
      </c>
      <c r="L31" s="65">
        <v>28.28</v>
      </c>
      <c r="M31" s="65">
        <v>28.28</v>
      </c>
      <c r="N31" s="41" t="s">
        <v>82</v>
      </c>
      <c r="O31" s="65">
        <v>34.57</v>
      </c>
      <c r="P31" s="66">
        <v>33.11</v>
      </c>
      <c r="Q31" s="3">
        <v>0</v>
      </c>
      <c r="R31" s="3"/>
      <c r="S31" s="3"/>
      <c r="T31" s="3"/>
      <c r="U31" s="67">
        <f t="shared" si="0"/>
        <v>33.11</v>
      </c>
      <c r="V31" s="67">
        <f t="shared" si="1"/>
        <v>0</v>
      </c>
      <c r="W31" s="3"/>
      <c r="X31" s="3"/>
      <c r="Y31" s="3"/>
      <c r="Z31" s="67">
        <f t="shared" si="2"/>
        <v>33.11</v>
      </c>
      <c r="AA31" s="67">
        <f t="shared" si="3"/>
        <v>0</v>
      </c>
      <c r="AB31" s="3"/>
      <c r="AC31" s="3"/>
      <c r="AD31" s="3"/>
      <c r="AE31" s="67">
        <f t="shared" si="4"/>
        <v>33.11</v>
      </c>
      <c r="AF31" s="67">
        <f t="shared" si="5"/>
        <v>0</v>
      </c>
    </row>
    <row r="32" spans="1:32" ht="46.8">
      <c r="A32" s="41">
        <f t="shared" si="6"/>
        <v>30</v>
      </c>
      <c r="B32" s="34"/>
      <c r="C32" s="34" t="s">
        <v>876</v>
      </c>
      <c r="D32" s="34" t="s">
        <v>1016</v>
      </c>
      <c r="E32" s="41" t="s">
        <v>1083</v>
      </c>
      <c r="F32" s="43" t="s">
        <v>84</v>
      </c>
      <c r="G32" s="41" t="s">
        <v>81</v>
      </c>
      <c r="H32" s="63">
        <v>1</v>
      </c>
      <c r="I32" s="64">
        <v>42674</v>
      </c>
      <c r="J32" s="64">
        <v>42674</v>
      </c>
      <c r="K32" s="64">
        <v>42766</v>
      </c>
      <c r="L32" s="65">
        <v>59.09</v>
      </c>
      <c r="M32" s="65">
        <v>59.09</v>
      </c>
      <c r="N32" s="41" t="s">
        <v>82</v>
      </c>
      <c r="O32" s="65">
        <v>76.95</v>
      </c>
      <c r="P32" s="66">
        <v>76.180000000000007</v>
      </c>
      <c r="Q32" s="66">
        <v>0.19</v>
      </c>
      <c r="R32" s="3"/>
      <c r="S32" s="3"/>
      <c r="T32" s="3"/>
      <c r="U32" s="67">
        <f t="shared" si="0"/>
        <v>76.180000000000007</v>
      </c>
      <c r="V32" s="67">
        <f t="shared" si="1"/>
        <v>0.19</v>
      </c>
      <c r="W32" s="3"/>
      <c r="X32" s="3"/>
      <c r="Y32" s="3"/>
      <c r="Z32" s="67">
        <f t="shared" si="2"/>
        <v>76.180000000000007</v>
      </c>
      <c r="AA32" s="67">
        <f t="shared" si="3"/>
        <v>0.19</v>
      </c>
      <c r="AB32" s="3"/>
      <c r="AC32" s="3"/>
      <c r="AD32" s="3"/>
      <c r="AE32" s="67">
        <f t="shared" si="4"/>
        <v>76.180000000000007</v>
      </c>
      <c r="AF32" s="67">
        <f t="shared" si="5"/>
        <v>0.19</v>
      </c>
    </row>
    <row r="33" spans="1:32" ht="46.8">
      <c r="A33" s="41">
        <f t="shared" si="6"/>
        <v>31</v>
      </c>
      <c r="B33" s="34"/>
      <c r="C33" s="34" t="s">
        <v>876</v>
      </c>
      <c r="D33" s="34" t="s">
        <v>1016</v>
      </c>
      <c r="E33" s="41" t="s">
        <v>1084</v>
      </c>
      <c r="F33" s="43" t="s">
        <v>85</v>
      </c>
      <c r="G33" s="41" t="s">
        <v>81</v>
      </c>
      <c r="H33" s="63">
        <v>2</v>
      </c>
      <c r="I33" s="64">
        <v>42672</v>
      </c>
      <c r="J33" s="64">
        <v>42672</v>
      </c>
      <c r="K33" s="64">
        <v>42671</v>
      </c>
      <c r="L33" s="65">
        <v>25.2</v>
      </c>
      <c r="M33" s="65">
        <v>25.2</v>
      </c>
      <c r="N33" s="41" t="s">
        <v>82</v>
      </c>
      <c r="O33" s="65">
        <v>35.65</v>
      </c>
      <c r="P33" s="66">
        <v>35.619999999999997</v>
      </c>
      <c r="Q33" s="3">
        <v>0</v>
      </c>
      <c r="R33" s="3"/>
      <c r="S33" s="3"/>
      <c r="T33" s="3"/>
      <c r="U33" s="67">
        <f t="shared" si="0"/>
        <v>35.619999999999997</v>
      </c>
      <c r="V33" s="67">
        <f t="shared" si="1"/>
        <v>0</v>
      </c>
      <c r="W33" s="3"/>
      <c r="X33" s="3"/>
      <c r="Y33" s="3"/>
      <c r="Z33" s="67">
        <f t="shared" si="2"/>
        <v>35.619999999999997</v>
      </c>
      <c r="AA33" s="67">
        <f t="shared" si="3"/>
        <v>0</v>
      </c>
      <c r="AB33" s="3"/>
      <c r="AC33" s="3"/>
      <c r="AD33" s="3"/>
      <c r="AE33" s="67">
        <f t="shared" si="4"/>
        <v>35.619999999999997</v>
      </c>
      <c r="AF33" s="67">
        <f t="shared" si="5"/>
        <v>0</v>
      </c>
    </row>
    <row r="34" spans="1:32" ht="78">
      <c r="A34" s="41">
        <f t="shared" si="6"/>
        <v>32</v>
      </c>
      <c r="B34" s="42" t="s">
        <v>86</v>
      </c>
      <c r="C34" s="34" t="s">
        <v>876</v>
      </c>
      <c r="D34" s="34" t="s">
        <v>1016</v>
      </c>
      <c r="E34" s="41" t="s">
        <v>1085</v>
      </c>
      <c r="F34" s="43" t="s">
        <v>87</v>
      </c>
      <c r="G34" s="41" t="s">
        <v>28</v>
      </c>
      <c r="H34" s="63">
        <v>2</v>
      </c>
      <c r="I34" s="64">
        <v>41669</v>
      </c>
      <c r="J34" s="64">
        <v>41669</v>
      </c>
      <c r="K34" s="64">
        <v>42033</v>
      </c>
      <c r="L34" s="65">
        <v>72.03</v>
      </c>
      <c r="M34" s="65">
        <v>72.03</v>
      </c>
      <c r="N34" s="41" t="s">
        <v>32</v>
      </c>
      <c r="O34" s="65">
        <v>72.03</v>
      </c>
      <c r="P34" s="66">
        <v>75.94</v>
      </c>
      <c r="Q34" s="66">
        <v>0.85</v>
      </c>
      <c r="R34" s="3"/>
      <c r="S34" s="3"/>
      <c r="T34" s="3"/>
      <c r="U34" s="67">
        <f t="shared" si="0"/>
        <v>75.94</v>
      </c>
      <c r="V34" s="67">
        <f t="shared" si="1"/>
        <v>0.85</v>
      </c>
      <c r="W34" s="3"/>
      <c r="X34" s="3"/>
      <c r="Y34" s="3"/>
      <c r="Z34" s="67">
        <f t="shared" si="2"/>
        <v>75.94</v>
      </c>
      <c r="AA34" s="67">
        <f t="shared" si="3"/>
        <v>0.85</v>
      </c>
      <c r="AB34" s="3"/>
      <c r="AC34" s="3"/>
      <c r="AD34" s="3"/>
      <c r="AE34" s="67">
        <f t="shared" si="4"/>
        <v>75.94</v>
      </c>
      <c r="AF34" s="67">
        <f t="shared" si="5"/>
        <v>0.85</v>
      </c>
    </row>
    <row r="35" spans="1:32" ht="124.8">
      <c r="A35" s="41">
        <f t="shared" si="6"/>
        <v>33</v>
      </c>
      <c r="B35" s="34"/>
      <c r="C35" s="34" t="s">
        <v>876</v>
      </c>
      <c r="D35" s="34" t="s">
        <v>1016</v>
      </c>
      <c r="E35" s="41" t="s">
        <v>1086</v>
      </c>
      <c r="F35" s="43" t="s">
        <v>88</v>
      </c>
      <c r="G35" s="41" t="s">
        <v>28</v>
      </c>
      <c r="H35" s="63">
        <v>4</v>
      </c>
      <c r="I35" s="64">
        <v>42431</v>
      </c>
      <c r="J35" s="64">
        <v>42431</v>
      </c>
      <c r="K35" s="64">
        <v>42705</v>
      </c>
      <c r="L35" s="65">
        <v>20.34</v>
      </c>
      <c r="M35" s="65">
        <v>20.34</v>
      </c>
      <c r="N35" s="41" t="s">
        <v>32</v>
      </c>
      <c r="O35" s="65">
        <v>20.34</v>
      </c>
      <c r="P35" s="66">
        <v>21.59</v>
      </c>
      <c r="Q35" s="3">
        <v>0</v>
      </c>
      <c r="R35" s="3"/>
      <c r="S35" s="3"/>
      <c r="T35" s="3"/>
      <c r="U35" s="67">
        <f t="shared" si="0"/>
        <v>21.59</v>
      </c>
      <c r="V35" s="67">
        <f t="shared" si="1"/>
        <v>0</v>
      </c>
      <c r="W35" s="3"/>
      <c r="X35" s="3"/>
      <c r="Y35" s="3"/>
      <c r="Z35" s="67">
        <f t="shared" si="2"/>
        <v>21.59</v>
      </c>
      <c r="AA35" s="67">
        <f t="shared" si="3"/>
        <v>0</v>
      </c>
      <c r="AB35" s="3"/>
      <c r="AC35" s="3"/>
      <c r="AD35" s="3"/>
      <c r="AE35" s="67">
        <f t="shared" si="4"/>
        <v>21.59</v>
      </c>
      <c r="AF35" s="67">
        <f t="shared" si="5"/>
        <v>0</v>
      </c>
    </row>
    <row r="36" spans="1:32" ht="62.4">
      <c r="A36" s="41">
        <f t="shared" si="6"/>
        <v>34</v>
      </c>
      <c r="B36" s="42" t="s">
        <v>89</v>
      </c>
      <c r="C36" s="34" t="s">
        <v>876</v>
      </c>
      <c r="D36" s="34" t="s">
        <v>1016</v>
      </c>
      <c r="E36" s="41" t="s">
        <v>1087</v>
      </c>
      <c r="F36" s="43" t="s">
        <v>90</v>
      </c>
      <c r="G36" s="41" t="s">
        <v>81</v>
      </c>
      <c r="H36" s="63">
        <v>3</v>
      </c>
      <c r="I36" s="64">
        <v>42672</v>
      </c>
      <c r="J36" s="64">
        <v>42672</v>
      </c>
      <c r="K36" s="64">
        <v>43036</v>
      </c>
      <c r="L36" s="65">
        <v>18.91</v>
      </c>
      <c r="M36" s="65">
        <v>18.91</v>
      </c>
      <c r="N36" s="41" t="s">
        <v>82</v>
      </c>
      <c r="O36" s="65">
        <v>23.38</v>
      </c>
      <c r="P36" s="66">
        <v>22.33</v>
      </c>
      <c r="Q36" s="3">
        <v>0</v>
      </c>
      <c r="R36" s="3"/>
      <c r="S36" s="3"/>
      <c r="T36" s="3"/>
      <c r="U36" s="67">
        <f t="shared" si="0"/>
        <v>22.33</v>
      </c>
      <c r="V36" s="67">
        <f t="shared" si="1"/>
        <v>0</v>
      </c>
      <c r="W36" s="69"/>
      <c r="X36" s="3"/>
      <c r="Y36" s="3"/>
      <c r="Z36" s="67">
        <f t="shared" si="2"/>
        <v>22.33</v>
      </c>
      <c r="AA36" s="67">
        <f t="shared" si="3"/>
        <v>0</v>
      </c>
      <c r="AB36" s="3"/>
      <c r="AC36" s="3"/>
      <c r="AD36" s="3"/>
      <c r="AE36" s="67">
        <f t="shared" si="4"/>
        <v>22.33</v>
      </c>
      <c r="AF36" s="67">
        <f t="shared" si="5"/>
        <v>0</v>
      </c>
    </row>
    <row r="37" spans="1:32" ht="46.8">
      <c r="A37" s="41">
        <f t="shared" si="6"/>
        <v>35</v>
      </c>
      <c r="B37" s="42" t="s">
        <v>91</v>
      </c>
      <c r="C37" s="34" t="s">
        <v>876</v>
      </c>
      <c r="D37" s="34" t="s">
        <v>1016</v>
      </c>
      <c r="E37" s="41" t="s">
        <v>1088</v>
      </c>
      <c r="F37" s="43" t="s">
        <v>92</v>
      </c>
      <c r="G37" s="41" t="s">
        <v>81</v>
      </c>
      <c r="H37" s="63">
        <v>3</v>
      </c>
      <c r="I37" s="64">
        <v>42674</v>
      </c>
      <c r="J37" s="64">
        <v>42674</v>
      </c>
      <c r="K37" s="64">
        <v>43131</v>
      </c>
      <c r="L37" s="65">
        <v>40.86</v>
      </c>
      <c r="M37" s="65">
        <v>40.86</v>
      </c>
      <c r="N37" s="41" t="s">
        <v>82</v>
      </c>
      <c r="O37" s="65">
        <v>41.32</v>
      </c>
      <c r="P37" s="66">
        <v>40.409999999999997</v>
      </c>
      <c r="Q37" s="66">
        <v>2.82</v>
      </c>
      <c r="R37" s="3"/>
      <c r="S37" s="3"/>
      <c r="T37" s="3"/>
      <c r="U37" s="67">
        <f t="shared" si="0"/>
        <v>40.409999999999997</v>
      </c>
      <c r="V37" s="67">
        <f t="shared" si="1"/>
        <v>2.82</v>
      </c>
      <c r="W37" s="3"/>
      <c r="X37" s="3"/>
      <c r="Y37" s="3"/>
      <c r="Z37" s="67">
        <f t="shared" si="2"/>
        <v>40.409999999999997</v>
      </c>
      <c r="AA37" s="67">
        <f t="shared" si="3"/>
        <v>2.82</v>
      </c>
      <c r="AB37" s="3"/>
      <c r="AC37" s="3"/>
      <c r="AD37" s="3"/>
      <c r="AE37" s="67">
        <f t="shared" si="4"/>
        <v>40.409999999999997</v>
      </c>
      <c r="AF37" s="67">
        <f t="shared" si="5"/>
        <v>2.82</v>
      </c>
    </row>
    <row r="38" spans="1:32" ht="156">
      <c r="A38" s="41">
        <f t="shared" si="6"/>
        <v>36</v>
      </c>
      <c r="B38" s="34"/>
      <c r="C38" s="34" t="s">
        <v>876</v>
      </c>
      <c r="D38" s="34" t="s">
        <v>1016</v>
      </c>
      <c r="E38" s="41" t="s">
        <v>1089</v>
      </c>
      <c r="F38" s="43" t="s">
        <v>93</v>
      </c>
      <c r="G38" s="43" t="s">
        <v>28</v>
      </c>
      <c r="H38" s="51">
        <v>3</v>
      </c>
      <c r="I38" s="52">
        <v>42368</v>
      </c>
      <c r="J38" s="52">
        <v>42368</v>
      </c>
      <c r="K38" s="53">
        <v>42734</v>
      </c>
      <c r="L38" s="54">
        <v>56.17</v>
      </c>
      <c r="M38" s="54">
        <v>56.17</v>
      </c>
      <c r="N38" s="41" t="s">
        <v>32</v>
      </c>
      <c r="O38" s="158">
        <v>36.909999999999997</v>
      </c>
      <c r="P38" s="66">
        <v>37.159999999999997</v>
      </c>
      <c r="Q38" s="66">
        <v>0</v>
      </c>
      <c r="R38" s="3"/>
      <c r="S38" s="3"/>
      <c r="T38" s="3"/>
      <c r="U38" s="67">
        <f t="shared" si="0"/>
        <v>37.159999999999997</v>
      </c>
      <c r="V38" s="67">
        <f t="shared" si="1"/>
        <v>0</v>
      </c>
      <c r="W38" s="3"/>
      <c r="X38" s="3"/>
      <c r="Y38" s="3"/>
      <c r="Z38" s="67">
        <f t="shared" si="2"/>
        <v>37.159999999999997</v>
      </c>
      <c r="AA38" s="67">
        <f t="shared" si="3"/>
        <v>0</v>
      </c>
      <c r="AB38" s="3"/>
      <c r="AC38" s="3"/>
      <c r="AD38" s="3"/>
      <c r="AE38" s="67">
        <f t="shared" si="4"/>
        <v>37.159999999999997</v>
      </c>
      <c r="AF38" s="67">
        <f t="shared" si="5"/>
        <v>0</v>
      </c>
    </row>
    <row r="39" spans="1:32" ht="46.8">
      <c r="A39" s="41">
        <f t="shared" si="6"/>
        <v>37</v>
      </c>
      <c r="B39" s="41" t="s">
        <v>527</v>
      </c>
      <c r="C39" s="34" t="s">
        <v>876</v>
      </c>
      <c r="D39" s="34" t="s">
        <v>1016</v>
      </c>
      <c r="E39" s="41" t="s">
        <v>1090</v>
      </c>
      <c r="F39" s="43" t="s">
        <v>94</v>
      </c>
      <c r="G39" s="41" t="s">
        <v>81</v>
      </c>
      <c r="H39" s="63">
        <v>2</v>
      </c>
      <c r="I39" s="64">
        <v>41082</v>
      </c>
      <c r="J39" s="64">
        <v>41082</v>
      </c>
      <c r="K39" s="64">
        <v>41629</v>
      </c>
      <c r="L39" s="65">
        <v>58.23</v>
      </c>
      <c r="M39" s="65">
        <v>58.23</v>
      </c>
      <c r="N39" s="41" t="s">
        <v>82</v>
      </c>
      <c r="O39" s="65">
        <v>81.09</v>
      </c>
      <c r="P39" s="3">
        <v>82.741272215000009</v>
      </c>
      <c r="Q39" s="66">
        <v>-5.8112722150000025</v>
      </c>
      <c r="R39" s="3"/>
      <c r="S39" s="22"/>
      <c r="T39" s="3"/>
      <c r="U39" s="67">
        <f t="shared" si="0"/>
        <v>82.741272215000009</v>
      </c>
      <c r="V39" s="67">
        <f t="shared" si="1"/>
        <v>-5.8112722150000025</v>
      </c>
      <c r="W39" s="3"/>
      <c r="X39" s="3"/>
      <c r="Y39" s="3"/>
      <c r="Z39" s="67">
        <f t="shared" si="2"/>
        <v>82.741272215000009</v>
      </c>
      <c r="AA39" s="67">
        <f t="shared" si="3"/>
        <v>-5.8112722150000025</v>
      </c>
      <c r="AB39" s="3"/>
      <c r="AC39" s="3"/>
      <c r="AD39" s="3"/>
      <c r="AE39" s="67">
        <f t="shared" si="4"/>
        <v>82.741272215000009</v>
      </c>
      <c r="AF39" s="67">
        <f t="shared" si="5"/>
        <v>-5.8112722150000025</v>
      </c>
    </row>
    <row r="40" spans="1:32" ht="46.8">
      <c r="A40" s="41">
        <f t="shared" si="6"/>
        <v>38</v>
      </c>
      <c r="B40" s="34" t="s">
        <v>1046</v>
      </c>
      <c r="C40" s="34" t="s">
        <v>876</v>
      </c>
      <c r="D40" s="34" t="s">
        <v>1016</v>
      </c>
      <c r="E40" s="41" t="s">
        <v>1091</v>
      </c>
      <c r="F40" s="43" t="s">
        <v>95</v>
      </c>
      <c r="G40" s="41" t="s">
        <v>81</v>
      </c>
      <c r="H40" s="63">
        <v>2</v>
      </c>
      <c r="I40" s="64">
        <v>41082</v>
      </c>
      <c r="J40" s="64">
        <v>41082</v>
      </c>
      <c r="K40" s="64">
        <v>41629</v>
      </c>
      <c r="L40" s="65">
        <v>41.52</v>
      </c>
      <c r="M40" s="65">
        <v>41.52</v>
      </c>
      <c r="N40" s="41" t="s">
        <v>82</v>
      </c>
      <c r="O40" s="65">
        <v>41.52</v>
      </c>
      <c r="P40" s="3">
        <v>0</v>
      </c>
      <c r="Q40" s="66">
        <v>31.55</v>
      </c>
      <c r="R40" s="3"/>
      <c r="S40" s="3"/>
      <c r="T40" s="3"/>
      <c r="U40" s="67">
        <f t="shared" si="0"/>
        <v>0</v>
      </c>
      <c r="V40" s="67">
        <f t="shared" si="1"/>
        <v>31.55</v>
      </c>
      <c r="W40" s="3"/>
      <c r="X40" s="3"/>
      <c r="Y40" s="3"/>
      <c r="Z40" s="67">
        <f t="shared" si="2"/>
        <v>0</v>
      </c>
      <c r="AA40" s="67">
        <f t="shared" si="3"/>
        <v>31.55</v>
      </c>
      <c r="AB40" s="3"/>
      <c r="AC40" s="3"/>
      <c r="AD40" s="3"/>
      <c r="AE40" s="67">
        <f t="shared" si="4"/>
        <v>0</v>
      </c>
      <c r="AF40" s="67">
        <f t="shared" si="5"/>
        <v>31.55</v>
      </c>
    </row>
    <row r="41" spans="1:32" ht="62.4">
      <c r="A41" s="41">
        <f t="shared" si="6"/>
        <v>39</v>
      </c>
      <c r="B41" s="34"/>
      <c r="C41" s="34" t="s">
        <v>876</v>
      </c>
      <c r="D41" s="34" t="s">
        <v>1016</v>
      </c>
      <c r="E41" s="41" t="s">
        <v>1092</v>
      </c>
      <c r="F41" s="43" t="s">
        <v>96</v>
      </c>
      <c r="G41" s="41" t="s">
        <v>81</v>
      </c>
      <c r="H41" s="63">
        <v>1</v>
      </c>
      <c r="I41" s="64">
        <v>42674</v>
      </c>
      <c r="J41" s="64">
        <v>42674</v>
      </c>
      <c r="K41" s="64">
        <v>43038</v>
      </c>
      <c r="L41" s="65">
        <v>33.020000000000003</v>
      </c>
      <c r="M41" s="65">
        <v>33.020000000000003</v>
      </c>
      <c r="N41" s="41" t="s">
        <v>82</v>
      </c>
      <c r="O41" s="65">
        <v>46.84</v>
      </c>
      <c r="P41" s="66">
        <v>42.68</v>
      </c>
      <c r="Q41" s="3">
        <v>0</v>
      </c>
      <c r="R41" s="3"/>
      <c r="S41" s="3"/>
      <c r="T41" s="3"/>
      <c r="U41" s="67">
        <f t="shared" si="0"/>
        <v>42.68</v>
      </c>
      <c r="V41" s="67">
        <f t="shared" si="1"/>
        <v>0</v>
      </c>
      <c r="W41" s="3"/>
      <c r="X41" s="3"/>
      <c r="Y41" s="3"/>
      <c r="Z41" s="67">
        <f t="shared" si="2"/>
        <v>42.68</v>
      </c>
      <c r="AA41" s="67">
        <f t="shared" si="3"/>
        <v>0</v>
      </c>
      <c r="AB41" s="3"/>
      <c r="AC41" s="3"/>
      <c r="AD41" s="3"/>
      <c r="AE41" s="67">
        <f t="shared" si="4"/>
        <v>42.68</v>
      </c>
      <c r="AF41" s="67">
        <f t="shared" si="5"/>
        <v>0</v>
      </c>
    </row>
    <row r="42" spans="1:32" ht="46.8">
      <c r="A42" s="41">
        <f t="shared" si="6"/>
        <v>40</v>
      </c>
      <c r="B42" s="34"/>
      <c r="C42" s="34" t="s">
        <v>876</v>
      </c>
      <c r="D42" s="34" t="s">
        <v>1016</v>
      </c>
      <c r="E42" s="41" t="s">
        <v>1093</v>
      </c>
      <c r="F42" s="43" t="s">
        <v>97</v>
      </c>
      <c r="G42" s="41" t="s">
        <v>81</v>
      </c>
      <c r="H42" s="63">
        <v>2</v>
      </c>
      <c r="I42" s="64">
        <v>42674</v>
      </c>
      <c r="J42" s="64">
        <v>42674</v>
      </c>
      <c r="K42" s="64">
        <v>43130</v>
      </c>
      <c r="L42" s="65">
        <v>66.790000000000006</v>
      </c>
      <c r="M42" s="65">
        <v>66.790000000000006</v>
      </c>
      <c r="N42" s="41" t="s">
        <v>82</v>
      </c>
      <c r="O42" s="63">
        <v>83</v>
      </c>
      <c r="P42" s="66">
        <v>82.72</v>
      </c>
      <c r="Q42" s="3">
        <v>0</v>
      </c>
      <c r="R42" s="3"/>
      <c r="S42" s="3"/>
      <c r="T42" s="3"/>
      <c r="U42" s="67">
        <f t="shared" si="0"/>
        <v>82.72</v>
      </c>
      <c r="V42" s="67">
        <f t="shared" si="1"/>
        <v>0</v>
      </c>
      <c r="W42" s="3"/>
      <c r="X42" s="3"/>
      <c r="Y42" s="3"/>
      <c r="Z42" s="67">
        <f t="shared" si="2"/>
        <v>82.72</v>
      </c>
      <c r="AA42" s="67">
        <f t="shared" si="3"/>
        <v>0</v>
      </c>
      <c r="AB42" s="3"/>
      <c r="AC42" s="3"/>
      <c r="AD42" s="3"/>
      <c r="AE42" s="67">
        <f t="shared" si="4"/>
        <v>82.72</v>
      </c>
      <c r="AF42" s="67">
        <f t="shared" si="5"/>
        <v>0</v>
      </c>
    </row>
    <row r="43" spans="1:32" ht="46.8">
      <c r="A43" s="41">
        <f t="shared" si="6"/>
        <v>41</v>
      </c>
      <c r="B43" s="34"/>
      <c r="C43" s="34" t="s">
        <v>876</v>
      </c>
      <c r="D43" s="34" t="s">
        <v>1016</v>
      </c>
      <c r="E43" s="41" t="s">
        <v>1094</v>
      </c>
      <c r="F43" s="43" t="s">
        <v>98</v>
      </c>
      <c r="G43" s="41" t="s">
        <v>81</v>
      </c>
      <c r="H43" s="63">
        <v>2</v>
      </c>
      <c r="I43" s="64">
        <v>42674</v>
      </c>
      <c r="J43" s="64">
        <v>42674</v>
      </c>
      <c r="K43" s="64">
        <v>43130</v>
      </c>
      <c r="L43" s="65">
        <v>35.450000000000003</v>
      </c>
      <c r="M43" s="65">
        <v>35.450000000000003</v>
      </c>
      <c r="N43" s="41" t="s">
        <v>82</v>
      </c>
      <c r="O43" s="65">
        <v>35.549999999999997</v>
      </c>
      <c r="P43" s="66">
        <v>35.03</v>
      </c>
      <c r="Q43" s="3">
        <v>0</v>
      </c>
      <c r="R43" s="3"/>
      <c r="S43" s="3"/>
      <c r="T43" s="3"/>
      <c r="U43" s="67">
        <f t="shared" si="0"/>
        <v>35.03</v>
      </c>
      <c r="V43" s="67">
        <f t="shared" si="1"/>
        <v>0</v>
      </c>
      <c r="W43" s="3"/>
      <c r="X43" s="3"/>
      <c r="Y43" s="3"/>
      <c r="Z43" s="67">
        <f t="shared" si="2"/>
        <v>35.03</v>
      </c>
      <c r="AA43" s="67">
        <f t="shared" si="3"/>
        <v>0</v>
      </c>
      <c r="AB43" s="3"/>
      <c r="AC43" s="3"/>
      <c r="AD43" s="3"/>
      <c r="AE43" s="67">
        <f t="shared" si="4"/>
        <v>35.03</v>
      </c>
      <c r="AF43" s="67">
        <f t="shared" si="5"/>
        <v>0</v>
      </c>
    </row>
    <row r="44" spans="1:32" ht="62.4">
      <c r="A44" s="41">
        <f t="shared" si="6"/>
        <v>42</v>
      </c>
      <c r="B44" s="42" t="s">
        <v>100</v>
      </c>
      <c r="C44" s="42" t="s">
        <v>876</v>
      </c>
      <c r="D44" s="3" t="s">
        <v>1016</v>
      </c>
      <c r="E44" s="41" t="s">
        <v>1095</v>
      </c>
      <c r="F44" s="43" t="s">
        <v>101</v>
      </c>
      <c r="G44" s="41" t="s">
        <v>28</v>
      </c>
      <c r="H44" s="63">
        <v>3</v>
      </c>
      <c r="I44" s="64">
        <v>42612</v>
      </c>
      <c r="J44" s="64">
        <v>42612</v>
      </c>
      <c r="K44" s="64">
        <v>42977</v>
      </c>
      <c r="L44" s="65">
        <v>11.62</v>
      </c>
      <c r="M44" s="65">
        <v>11.62</v>
      </c>
      <c r="N44" s="41" t="s">
        <v>32</v>
      </c>
      <c r="O44" s="65">
        <v>10.25</v>
      </c>
      <c r="P44" s="66">
        <v>12.06</v>
      </c>
      <c r="Q44" s="3">
        <v>0</v>
      </c>
      <c r="R44" s="3"/>
      <c r="S44" s="3"/>
      <c r="T44" s="3"/>
      <c r="U44" s="67">
        <f t="shared" si="0"/>
        <v>12.06</v>
      </c>
      <c r="V44" s="67">
        <f t="shared" si="1"/>
        <v>0</v>
      </c>
      <c r="W44" s="3"/>
      <c r="X44" s="3"/>
      <c r="Y44" s="3"/>
      <c r="Z44" s="67">
        <f t="shared" si="2"/>
        <v>12.06</v>
      </c>
      <c r="AA44" s="67">
        <f t="shared" si="3"/>
        <v>0</v>
      </c>
      <c r="AB44" s="3"/>
      <c r="AC44" s="3"/>
      <c r="AD44" s="3"/>
      <c r="AE44" s="67">
        <f t="shared" si="4"/>
        <v>12.06</v>
      </c>
      <c r="AF44" s="67">
        <f t="shared" si="5"/>
        <v>0</v>
      </c>
    </row>
    <row r="45" spans="1:32" ht="46.8">
      <c r="A45" s="41">
        <f t="shared" si="6"/>
        <v>43</v>
      </c>
      <c r="B45" s="42" t="s">
        <v>102</v>
      </c>
      <c r="C45" s="42" t="s">
        <v>876</v>
      </c>
      <c r="D45" s="41" t="s">
        <v>1016</v>
      </c>
      <c r="E45" s="41" t="s">
        <v>1096</v>
      </c>
      <c r="F45" s="43" t="s">
        <v>103</v>
      </c>
      <c r="G45" s="41" t="s">
        <v>28</v>
      </c>
      <c r="H45" s="63">
        <v>2</v>
      </c>
      <c r="I45" s="64">
        <v>42084</v>
      </c>
      <c r="J45" s="64">
        <v>42084</v>
      </c>
      <c r="K45" s="64">
        <v>42449</v>
      </c>
      <c r="L45" s="65">
        <v>15.9</v>
      </c>
      <c r="M45" s="65">
        <v>15.89</v>
      </c>
      <c r="N45" s="41" t="s">
        <v>29</v>
      </c>
      <c r="O45" s="159">
        <v>15.9</v>
      </c>
      <c r="P45" s="3">
        <v>0</v>
      </c>
      <c r="Q45" s="66">
        <v>17.05</v>
      </c>
      <c r="R45" s="3"/>
      <c r="S45" s="3"/>
      <c r="T45" s="3"/>
      <c r="U45" s="67">
        <f t="shared" si="0"/>
        <v>0</v>
      </c>
      <c r="V45" s="67">
        <f t="shared" si="1"/>
        <v>17.05</v>
      </c>
      <c r="W45" s="154">
        <v>0.31280580000000002</v>
      </c>
      <c r="X45" s="3"/>
      <c r="Y45" s="3"/>
      <c r="Z45" s="67">
        <f t="shared" si="2"/>
        <v>0</v>
      </c>
      <c r="AA45" s="67">
        <f t="shared" si="3"/>
        <v>17.3628058</v>
      </c>
      <c r="AB45" s="3"/>
      <c r="AC45" s="3"/>
      <c r="AD45" s="3"/>
      <c r="AE45" s="67">
        <f t="shared" si="4"/>
        <v>0</v>
      </c>
      <c r="AF45" s="67">
        <f t="shared" si="5"/>
        <v>17.3628058</v>
      </c>
    </row>
    <row r="46" spans="1:32" ht="46.8">
      <c r="A46" s="41">
        <f t="shared" si="6"/>
        <v>44</v>
      </c>
      <c r="B46" s="34"/>
      <c r="C46" s="34" t="s">
        <v>876</v>
      </c>
      <c r="D46" s="41" t="s">
        <v>1016</v>
      </c>
      <c r="E46" s="41" t="s">
        <v>1097</v>
      </c>
      <c r="F46" s="43" t="s">
        <v>104</v>
      </c>
      <c r="G46" s="41" t="s">
        <v>28</v>
      </c>
      <c r="H46" s="63">
        <v>2</v>
      </c>
      <c r="I46" s="64">
        <v>42084</v>
      </c>
      <c r="J46" s="64">
        <v>42084</v>
      </c>
      <c r="K46" s="64">
        <v>42449</v>
      </c>
      <c r="L46" s="65">
        <v>21.16</v>
      </c>
      <c r="M46" s="65">
        <v>21.16</v>
      </c>
      <c r="N46" s="41" t="s">
        <v>29</v>
      </c>
      <c r="O46" s="65">
        <v>21.07</v>
      </c>
      <c r="P46" s="66">
        <v>22.07</v>
      </c>
      <c r="Q46" s="3">
        <v>0</v>
      </c>
      <c r="R46" s="3"/>
      <c r="S46" s="3"/>
      <c r="T46" s="3"/>
      <c r="U46" s="67">
        <f t="shared" si="0"/>
        <v>22.07</v>
      </c>
      <c r="V46" s="67">
        <f t="shared" si="1"/>
        <v>0</v>
      </c>
      <c r="W46" s="3"/>
      <c r="X46" s="3"/>
      <c r="Y46" s="3"/>
      <c r="Z46" s="67">
        <f t="shared" si="2"/>
        <v>22.07</v>
      </c>
      <c r="AA46" s="67">
        <f t="shared" si="3"/>
        <v>0</v>
      </c>
      <c r="AB46" s="3"/>
      <c r="AC46" s="3"/>
      <c r="AD46" s="3"/>
      <c r="AE46" s="67">
        <f t="shared" si="4"/>
        <v>22.07</v>
      </c>
      <c r="AF46" s="67">
        <f t="shared" si="5"/>
        <v>0</v>
      </c>
    </row>
    <row r="47" spans="1:32" ht="78">
      <c r="A47" s="41">
        <f t="shared" si="6"/>
        <v>45</v>
      </c>
      <c r="B47" s="34"/>
      <c r="C47" s="34" t="s">
        <v>876</v>
      </c>
      <c r="D47" s="34" t="s">
        <v>1016</v>
      </c>
      <c r="E47" s="41" t="s">
        <v>1098</v>
      </c>
      <c r="F47" s="43" t="s">
        <v>105</v>
      </c>
      <c r="G47" s="41" t="s">
        <v>28</v>
      </c>
      <c r="H47" s="63">
        <v>3</v>
      </c>
      <c r="I47" s="64">
        <v>43186</v>
      </c>
      <c r="J47" s="64">
        <v>43186</v>
      </c>
      <c r="K47" s="64">
        <v>43369</v>
      </c>
      <c r="L47" s="65">
        <v>1.46</v>
      </c>
      <c r="M47" s="65">
        <v>1.46</v>
      </c>
      <c r="N47" s="41" t="s">
        <v>29</v>
      </c>
      <c r="O47" s="65">
        <v>1.46</v>
      </c>
      <c r="P47" s="3">
        <v>0</v>
      </c>
      <c r="Q47" s="3">
        <v>0</v>
      </c>
      <c r="R47" s="3"/>
      <c r="S47" s="3"/>
      <c r="T47" s="3"/>
      <c r="U47" s="67">
        <f t="shared" si="0"/>
        <v>0</v>
      </c>
      <c r="V47" s="67">
        <f t="shared" si="1"/>
        <v>0</v>
      </c>
      <c r="W47" s="3"/>
      <c r="X47" s="3"/>
      <c r="Y47" s="3"/>
      <c r="Z47" s="67">
        <f t="shared" si="2"/>
        <v>0</v>
      </c>
      <c r="AA47" s="67">
        <f t="shared" si="3"/>
        <v>0</v>
      </c>
      <c r="AB47" s="3"/>
      <c r="AC47" s="3"/>
      <c r="AD47" s="3"/>
      <c r="AE47" s="67">
        <f t="shared" si="4"/>
        <v>0</v>
      </c>
      <c r="AF47" s="67">
        <f t="shared" si="5"/>
        <v>0</v>
      </c>
    </row>
    <row r="48" spans="1:32" ht="62.4">
      <c r="A48" s="41">
        <f t="shared" si="6"/>
        <v>46</v>
      </c>
      <c r="B48" s="34"/>
      <c r="C48" s="34" t="s">
        <v>876</v>
      </c>
      <c r="D48" s="41" t="s">
        <v>1016</v>
      </c>
      <c r="E48" s="41" t="s">
        <v>1099</v>
      </c>
      <c r="F48" s="43" t="s">
        <v>106</v>
      </c>
      <c r="G48" s="41" t="s">
        <v>28</v>
      </c>
      <c r="H48" s="63">
        <v>2</v>
      </c>
      <c r="I48" s="64">
        <v>42825</v>
      </c>
      <c r="J48" s="64">
        <v>42825</v>
      </c>
      <c r="K48" s="64">
        <v>43434</v>
      </c>
      <c r="L48" s="65">
        <v>107.62</v>
      </c>
      <c r="M48" s="65">
        <v>107.62</v>
      </c>
      <c r="N48" s="41" t="s">
        <v>32</v>
      </c>
      <c r="O48" s="159">
        <v>106.5</v>
      </c>
      <c r="P48" s="66">
        <v>110.41</v>
      </c>
      <c r="Q48" s="3">
        <v>0</v>
      </c>
      <c r="R48" s="3"/>
      <c r="S48" s="3"/>
      <c r="T48" s="3"/>
      <c r="U48" s="67">
        <f t="shared" si="0"/>
        <v>110.41</v>
      </c>
      <c r="V48" s="67">
        <f t="shared" si="1"/>
        <v>0</v>
      </c>
      <c r="W48" s="3"/>
      <c r="X48" s="3"/>
      <c r="Y48" s="3"/>
      <c r="Z48" s="67">
        <f t="shared" si="2"/>
        <v>110.41</v>
      </c>
      <c r="AA48" s="67">
        <f t="shared" si="3"/>
        <v>0</v>
      </c>
      <c r="AB48" s="3"/>
      <c r="AC48" s="3"/>
      <c r="AD48" s="3"/>
      <c r="AE48" s="67">
        <f t="shared" si="4"/>
        <v>110.41</v>
      </c>
      <c r="AF48" s="67">
        <f t="shared" si="5"/>
        <v>0</v>
      </c>
    </row>
    <row r="49" spans="1:32" ht="46.8">
      <c r="A49" s="41">
        <f t="shared" si="6"/>
        <v>47</v>
      </c>
      <c r="B49" s="34" t="s">
        <v>887</v>
      </c>
      <c r="C49" s="34" t="s">
        <v>876</v>
      </c>
      <c r="D49" s="34" t="s">
        <v>1017</v>
      </c>
      <c r="E49" s="41" t="s">
        <v>1100</v>
      </c>
      <c r="F49" s="43" t="s">
        <v>107</v>
      </c>
      <c r="G49" s="41" t="s">
        <v>81</v>
      </c>
      <c r="H49" s="41"/>
      <c r="I49" s="41"/>
      <c r="J49" s="41"/>
      <c r="K49" s="41"/>
      <c r="L49" s="65">
        <v>36.54</v>
      </c>
      <c r="M49" s="65">
        <v>36.54</v>
      </c>
      <c r="N49" s="41" t="s">
        <v>82</v>
      </c>
      <c r="O49" s="65">
        <v>48.98</v>
      </c>
      <c r="P49" s="66">
        <v>47.32</v>
      </c>
      <c r="Q49" s="3">
        <v>0</v>
      </c>
      <c r="R49" s="3"/>
      <c r="S49" s="3"/>
      <c r="T49" s="3"/>
      <c r="U49" s="67">
        <f t="shared" si="0"/>
        <v>47.32</v>
      </c>
      <c r="V49" s="67">
        <f t="shared" si="1"/>
        <v>0</v>
      </c>
      <c r="W49" s="3"/>
      <c r="X49" s="3"/>
      <c r="Y49" s="3"/>
      <c r="Z49" s="67">
        <f t="shared" si="2"/>
        <v>47.32</v>
      </c>
      <c r="AA49" s="67">
        <f t="shared" si="3"/>
        <v>0</v>
      </c>
      <c r="AB49" s="3"/>
      <c r="AC49" s="3"/>
      <c r="AD49" s="3"/>
      <c r="AE49" s="67">
        <f t="shared" si="4"/>
        <v>47.32</v>
      </c>
      <c r="AF49" s="67">
        <f t="shared" si="5"/>
        <v>0</v>
      </c>
    </row>
    <row r="50" spans="1:32" ht="46.8">
      <c r="A50" s="41">
        <f t="shared" si="6"/>
        <v>48</v>
      </c>
      <c r="B50" s="34" t="s">
        <v>884</v>
      </c>
      <c r="C50" s="34" t="s">
        <v>876</v>
      </c>
      <c r="D50" s="34" t="s">
        <v>1017</v>
      </c>
      <c r="E50" s="41" t="s">
        <v>1101</v>
      </c>
      <c r="F50" s="43" t="s">
        <v>108</v>
      </c>
      <c r="G50" s="41"/>
      <c r="H50" s="41"/>
      <c r="I50" s="41"/>
      <c r="J50" s="41"/>
      <c r="K50" s="41"/>
      <c r="L50" s="41"/>
      <c r="M50" s="65">
        <v>123.67</v>
      </c>
      <c r="N50" s="41" t="s">
        <v>32</v>
      </c>
      <c r="O50" s="3">
        <v>0</v>
      </c>
      <c r="P50" s="66">
        <v>2.08</v>
      </c>
      <c r="Q50" s="3">
        <v>0</v>
      </c>
      <c r="R50" s="3"/>
      <c r="S50" s="3"/>
      <c r="T50" s="3"/>
      <c r="U50" s="67">
        <f t="shared" si="0"/>
        <v>2.08</v>
      </c>
      <c r="V50" s="67">
        <f t="shared" si="1"/>
        <v>0</v>
      </c>
      <c r="W50" s="3"/>
      <c r="X50" s="3"/>
      <c r="Y50" s="3"/>
      <c r="Z50" s="67">
        <f t="shared" si="2"/>
        <v>2.08</v>
      </c>
      <c r="AA50" s="67">
        <f t="shared" si="3"/>
        <v>0</v>
      </c>
      <c r="AB50" s="3"/>
      <c r="AC50" s="3"/>
      <c r="AD50" s="3"/>
      <c r="AE50" s="67">
        <f t="shared" si="4"/>
        <v>2.08</v>
      </c>
      <c r="AF50" s="67">
        <f t="shared" si="5"/>
        <v>0</v>
      </c>
    </row>
    <row r="51" spans="1:32" ht="46.8">
      <c r="A51" s="41">
        <f t="shared" si="6"/>
        <v>49</v>
      </c>
      <c r="B51" s="42" t="s">
        <v>109</v>
      </c>
      <c r="C51" s="42" t="s">
        <v>1002</v>
      </c>
      <c r="D51" s="34" t="s">
        <v>1017</v>
      </c>
      <c r="E51" s="41" t="s">
        <v>1102</v>
      </c>
      <c r="F51" s="43" t="s">
        <v>110</v>
      </c>
      <c r="G51" s="41" t="s">
        <v>28</v>
      </c>
      <c r="H51" s="41"/>
      <c r="I51" s="41"/>
      <c r="J51" s="41"/>
      <c r="K51" s="41"/>
      <c r="L51" s="41"/>
      <c r="M51" s="41"/>
      <c r="N51" s="41" t="s">
        <v>32</v>
      </c>
      <c r="O51" s="3">
        <v>0</v>
      </c>
      <c r="P51" s="66">
        <v>0.91</v>
      </c>
      <c r="Q51" s="3">
        <v>0</v>
      </c>
      <c r="R51" s="3"/>
      <c r="S51" s="3"/>
      <c r="T51" s="3"/>
      <c r="U51" s="67">
        <f t="shared" si="0"/>
        <v>0.91</v>
      </c>
      <c r="V51" s="67">
        <f t="shared" si="1"/>
        <v>0</v>
      </c>
      <c r="W51" s="3"/>
      <c r="X51" s="3"/>
      <c r="Y51" s="3"/>
      <c r="Z51" s="67">
        <f t="shared" si="2"/>
        <v>0.91</v>
      </c>
      <c r="AA51" s="67">
        <f t="shared" si="3"/>
        <v>0</v>
      </c>
      <c r="AB51" s="3"/>
      <c r="AC51" s="3"/>
      <c r="AD51" s="3"/>
      <c r="AE51" s="67">
        <f t="shared" si="4"/>
        <v>0.91</v>
      </c>
      <c r="AF51" s="67">
        <f t="shared" si="5"/>
        <v>0</v>
      </c>
    </row>
    <row r="52" spans="1:32" ht="46.8">
      <c r="A52" s="41">
        <f t="shared" si="6"/>
        <v>50</v>
      </c>
      <c r="B52" s="34"/>
      <c r="C52" s="42" t="s">
        <v>1002</v>
      </c>
      <c r="D52" s="42" t="s">
        <v>1017</v>
      </c>
      <c r="E52" s="41" t="s">
        <v>1103</v>
      </c>
      <c r="F52" s="43" t="s">
        <v>111</v>
      </c>
      <c r="G52" s="41" t="s">
        <v>28</v>
      </c>
      <c r="H52" s="41"/>
      <c r="I52" s="41"/>
      <c r="J52" s="41"/>
      <c r="K52" s="41"/>
      <c r="L52" s="41"/>
      <c r="M52" s="41"/>
      <c r="N52" s="41" t="s">
        <v>29</v>
      </c>
      <c r="O52" s="3">
        <v>0</v>
      </c>
      <c r="P52" s="3">
        <v>0</v>
      </c>
      <c r="Q52" s="3">
        <v>0</v>
      </c>
      <c r="R52" s="3"/>
      <c r="S52" s="3"/>
      <c r="T52" s="3"/>
      <c r="U52" s="67">
        <f t="shared" si="0"/>
        <v>0</v>
      </c>
      <c r="V52" s="67">
        <f t="shared" si="1"/>
        <v>0</v>
      </c>
      <c r="W52" s="3"/>
      <c r="X52" s="3"/>
      <c r="Y52" s="3"/>
      <c r="Z52" s="67">
        <f t="shared" si="2"/>
        <v>0</v>
      </c>
      <c r="AA52" s="67">
        <f t="shared" si="3"/>
        <v>0</v>
      </c>
      <c r="AB52" s="3"/>
      <c r="AC52" s="3"/>
      <c r="AD52" s="3"/>
      <c r="AE52" s="67">
        <f t="shared" si="4"/>
        <v>0</v>
      </c>
      <c r="AF52" s="67">
        <f t="shared" si="5"/>
        <v>0</v>
      </c>
    </row>
    <row r="53" spans="1:32" ht="46.8">
      <c r="A53" s="41">
        <f t="shared" si="6"/>
        <v>51</v>
      </c>
      <c r="B53" s="42" t="s">
        <v>888</v>
      </c>
      <c r="C53" s="42" t="s">
        <v>876</v>
      </c>
      <c r="D53" s="42" t="s">
        <v>1017</v>
      </c>
      <c r="E53" s="41" t="s">
        <v>1104</v>
      </c>
      <c r="F53" s="43" t="s">
        <v>112</v>
      </c>
      <c r="G53" s="41" t="s">
        <v>28</v>
      </c>
      <c r="H53" s="41"/>
      <c r="I53" s="41"/>
      <c r="J53" s="41"/>
      <c r="K53" s="41"/>
      <c r="L53" s="41"/>
      <c r="M53" s="41"/>
      <c r="N53" s="41" t="s">
        <v>29</v>
      </c>
      <c r="O53" s="3">
        <v>0</v>
      </c>
      <c r="P53" s="66">
        <v>35.57</v>
      </c>
      <c r="Q53" s="3">
        <v>0</v>
      </c>
      <c r="R53" s="3"/>
      <c r="S53" s="3"/>
      <c r="T53" s="3"/>
      <c r="U53" s="67">
        <f t="shared" si="0"/>
        <v>35.57</v>
      </c>
      <c r="V53" s="67">
        <f t="shared" si="1"/>
        <v>0</v>
      </c>
      <c r="W53" s="3"/>
      <c r="X53" s="3"/>
      <c r="Y53" s="3"/>
      <c r="Z53" s="67">
        <f t="shared" si="2"/>
        <v>35.57</v>
      </c>
      <c r="AA53" s="67">
        <f t="shared" si="3"/>
        <v>0</v>
      </c>
      <c r="AB53" s="3"/>
      <c r="AC53" s="3"/>
      <c r="AD53" s="3"/>
      <c r="AE53" s="67">
        <f t="shared" si="4"/>
        <v>35.57</v>
      </c>
      <c r="AF53" s="67">
        <f t="shared" si="5"/>
        <v>0</v>
      </c>
    </row>
    <row r="54" spans="1:32" ht="46.8">
      <c r="A54" s="41">
        <f t="shared" si="6"/>
        <v>52</v>
      </c>
      <c r="B54" s="42" t="s">
        <v>889</v>
      </c>
      <c r="C54" s="42" t="s">
        <v>1002</v>
      </c>
      <c r="D54" s="42" t="s">
        <v>1017</v>
      </c>
      <c r="E54" s="41" t="s">
        <v>1105</v>
      </c>
      <c r="F54" s="43" t="s">
        <v>113</v>
      </c>
      <c r="G54" s="41" t="s">
        <v>28</v>
      </c>
      <c r="H54" s="41">
        <v>2</v>
      </c>
      <c r="I54" s="41" t="s">
        <v>114</v>
      </c>
      <c r="J54" s="41" t="s">
        <v>114</v>
      </c>
      <c r="K54" s="41" t="s">
        <v>115</v>
      </c>
      <c r="L54" s="41">
        <v>23.7</v>
      </c>
      <c r="M54" s="41"/>
      <c r="N54" s="41" t="s">
        <v>29</v>
      </c>
      <c r="O54" s="65">
        <v>26.75</v>
      </c>
      <c r="P54" s="66">
        <v>27.37</v>
      </c>
      <c r="Q54" s="3">
        <v>0</v>
      </c>
      <c r="R54" s="25">
        <v>0.30615059999999999</v>
      </c>
      <c r="S54" s="3"/>
      <c r="T54" s="3"/>
      <c r="U54" s="67">
        <f t="shared" si="0"/>
        <v>27.37</v>
      </c>
      <c r="V54" s="67">
        <f t="shared" si="1"/>
        <v>0.30615059999999999</v>
      </c>
      <c r="W54" s="3"/>
      <c r="X54" s="3"/>
      <c r="Y54" s="3"/>
      <c r="Z54" s="67">
        <f t="shared" si="2"/>
        <v>27.37</v>
      </c>
      <c r="AA54" s="67">
        <f t="shared" si="3"/>
        <v>0.30615059999999999</v>
      </c>
      <c r="AB54" s="3"/>
      <c r="AC54" s="3"/>
      <c r="AD54" s="3"/>
      <c r="AE54" s="67">
        <f t="shared" si="4"/>
        <v>27.37</v>
      </c>
      <c r="AF54" s="67">
        <f t="shared" si="5"/>
        <v>0.30615059999999999</v>
      </c>
    </row>
    <row r="55" spans="1:32" ht="46.8">
      <c r="A55" s="41">
        <f t="shared" si="6"/>
        <v>53</v>
      </c>
      <c r="B55" s="42" t="s">
        <v>116</v>
      </c>
      <c r="C55" s="42" t="s">
        <v>1002</v>
      </c>
      <c r="D55" s="42" t="s">
        <v>1017</v>
      </c>
      <c r="E55" s="41" t="s">
        <v>1106</v>
      </c>
      <c r="F55" s="43" t="s">
        <v>117</v>
      </c>
      <c r="G55" s="41" t="s">
        <v>28</v>
      </c>
      <c r="H55" s="41"/>
      <c r="I55" s="41"/>
      <c r="J55" s="41"/>
      <c r="K55" s="41"/>
      <c r="L55" s="41"/>
      <c r="M55" s="41"/>
      <c r="N55" s="41" t="s">
        <v>29</v>
      </c>
      <c r="O55" s="3">
        <v>0</v>
      </c>
      <c r="P55" s="66">
        <v>5.99</v>
      </c>
      <c r="Q55" s="3">
        <v>0</v>
      </c>
      <c r="R55" s="3"/>
      <c r="S55" s="3"/>
      <c r="T55" s="3"/>
      <c r="U55" s="67">
        <f t="shared" si="0"/>
        <v>5.99</v>
      </c>
      <c r="V55" s="67">
        <f t="shared" si="1"/>
        <v>0</v>
      </c>
      <c r="W55" s="3"/>
      <c r="X55" s="3"/>
      <c r="Y55" s="3"/>
      <c r="Z55" s="67">
        <f t="shared" si="2"/>
        <v>5.99</v>
      </c>
      <c r="AA55" s="67">
        <f t="shared" si="3"/>
        <v>0</v>
      </c>
      <c r="AB55" s="3"/>
      <c r="AC55" s="3"/>
      <c r="AD55" s="3"/>
      <c r="AE55" s="67">
        <f t="shared" si="4"/>
        <v>5.99</v>
      </c>
      <c r="AF55" s="67">
        <f t="shared" si="5"/>
        <v>0</v>
      </c>
    </row>
    <row r="56" spans="1:32" ht="46.8">
      <c r="A56" s="41">
        <f t="shared" si="6"/>
        <v>54</v>
      </c>
      <c r="B56" s="42" t="s">
        <v>118</v>
      </c>
      <c r="C56" s="42" t="s">
        <v>1002</v>
      </c>
      <c r="D56" s="34" t="s">
        <v>1017</v>
      </c>
      <c r="E56" s="41" t="s">
        <v>1107</v>
      </c>
      <c r="F56" s="43" t="s">
        <v>119</v>
      </c>
      <c r="G56" s="41" t="s">
        <v>28</v>
      </c>
      <c r="H56" s="41"/>
      <c r="I56" s="41"/>
      <c r="J56" s="41"/>
      <c r="K56" s="41"/>
      <c r="L56" s="41"/>
      <c r="M56" s="41"/>
      <c r="N56" s="41" t="s">
        <v>29</v>
      </c>
      <c r="O56" s="3">
        <v>0</v>
      </c>
      <c r="P56" s="66">
        <v>7.58</v>
      </c>
      <c r="Q56" s="3">
        <v>0</v>
      </c>
      <c r="R56" s="3"/>
      <c r="S56" s="3"/>
      <c r="T56" s="3"/>
      <c r="U56" s="67">
        <f t="shared" si="0"/>
        <v>7.58</v>
      </c>
      <c r="V56" s="67">
        <f t="shared" si="1"/>
        <v>0</v>
      </c>
      <c r="W56" s="3"/>
      <c r="X56" s="3"/>
      <c r="Y56" s="3"/>
      <c r="Z56" s="67">
        <f t="shared" si="2"/>
        <v>7.58</v>
      </c>
      <c r="AA56" s="67">
        <f t="shared" si="3"/>
        <v>0</v>
      </c>
      <c r="AB56" s="3"/>
      <c r="AC56" s="3"/>
      <c r="AD56" s="3"/>
      <c r="AE56" s="67">
        <f t="shared" si="4"/>
        <v>7.58</v>
      </c>
      <c r="AF56" s="67">
        <f t="shared" si="5"/>
        <v>0</v>
      </c>
    </row>
    <row r="57" spans="1:32" ht="46.8">
      <c r="A57" s="41">
        <f t="shared" si="6"/>
        <v>55</v>
      </c>
      <c r="B57" s="42" t="s">
        <v>120</v>
      </c>
      <c r="C57" s="42" t="s">
        <v>1002</v>
      </c>
      <c r="D57" s="42" t="s">
        <v>1017</v>
      </c>
      <c r="E57" s="41" t="s">
        <v>1108</v>
      </c>
      <c r="F57" s="43" t="s">
        <v>121</v>
      </c>
      <c r="G57" s="41" t="s">
        <v>28</v>
      </c>
      <c r="H57" s="41"/>
      <c r="I57" s="41"/>
      <c r="J57" s="41"/>
      <c r="K57" s="41"/>
      <c r="L57" s="41"/>
      <c r="M57" s="41"/>
      <c r="N57" s="41" t="s">
        <v>29</v>
      </c>
      <c r="O57" s="3">
        <v>0</v>
      </c>
      <c r="P57" s="66">
        <v>6.5</v>
      </c>
      <c r="Q57" s="3">
        <v>0</v>
      </c>
      <c r="R57" s="3"/>
      <c r="S57" s="3"/>
      <c r="T57" s="3"/>
      <c r="U57" s="67">
        <f t="shared" si="0"/>
        <v>6.5</v>
      </c>
      <c r="V57" s="67">
        <f t="shared" si="1"/>
        <v>0</v>
      </c>
      <c r="W57" s="3"/>
      <c r="X57" s="3"/>
      <c r="Y57" s="3"/>
      <c r="Z57" s="67">
        <f t="shared" si="2"/>
        <v>6.5</v>
      </c>
      <c r="AA57" s="67">
        <f t="shared" si="3"/>
        <v>0</v>
      </c>
      <c r="AB57" s="3"/>
      <c r="AC57" s="3"/>
      <c r="AD57" s="3"/>
      <c r="AE57" s="67">
        <f t="shared" si="4"/>
        <v>6.5</v>
      </c>
      <c r="AF57" s="67">
        <f t="shared" si="5"/>
        <v>0</v>
      </c>
    </row>
    <row r="58" spans="1:32" ht="46.8">
      <c r="A58" s="41">
        <f t="shared" si="6"/>
        <v>56</v>
      </c>
      <c r="B58" s="42" t="s">
        <v>122</v>
      </c>
      <c r="C58" s="42" t="s">
        <v>1002</v>
      </c>
      <c r="D58" s="34" t="s">
        <v>1017</v>
      </c>
      <c r="E58" s="41" t="s">
        <v>1109</v>
      </c>
      <c r="F58" s="43" t="s">
        <v>123</v>
      </c>
      <c r="G58" s="41" t="s">
        <v>28</v>
      </c>
      <c r="H58" s="41"/>
      <c r="I58" s="41"/>
      <c r="J58" s="41"/>
      <c r="K58" s="41"/>
      <c r="L58" s="41"/>
      <c r="M58" s="41"/>
      <c r="N58" s="41" t="s">
        <v>29</v>
      </c>
      <c r="O58" s="3">
        <v>0</v>
      </c>
      <c r="P58" s="3">
        <v>0</v>
      </c>
      <c r="Q58" s="3">
        <v>0</v>
      </c>
      <c r="R58" s="3"/>
      <c r="S58" s="3"/>
      <c r="T58" s="3"/>
      <c r="U58" s="67">
        <f t="shared" si="0"/>
        <v>0</v>
      </c>
      <c r="V58" s="67">
        <f t="shared" si="1"/>
        <v>0</v>
      </c>
      <c r="W58" s="3"/>
      <c r="X58" s="3"/>
      <c r="Y58" s="3"/>
      <c r="Z58" s="67">
        <f t="shared" si="2"/>
        <v>0</v>
      </c>
      <c r="AA58" s="67">
        <f t="shared" si="3"/>
        <v>0</v>
      </c>
      <c r="AB58" s="3"/>
      <c r="AC58" s="3"/>
      <c r="AD58" s="3"/>
      <c r="AE58" s="67">
        <f t="shared" si="4"/>
        <v>0</v>
      </c>
      <c r="AF58" s="67">
        <f t="shared" si="5"/>
        <v>0</v>
      </c>
    </row>
    <row r="59" spans="1:32" ht="46.8">
      <c r="A59" s="41">
        <f t="shared" si="6"/>
        <v>57</v>
      </c>
      <c r="B59" s="42" t="s">
        <v>124</v>
      </c>
      <c r="C59" s="42" t="s">
        <v>1002</v>
      </c>
      <c r="D59" s="42" t="s">
        <v>1017</v>
      </c>
      <c r="E59" s="41" t="s">
        <v>1110</v>
      </c>
      <c r="F59" s="43" t="s">
        <v>878</v>
      </c>
      <c r="G59" s="41" t="s">
        <v>28</v>
      </c>
      <c r="H59" s="70"/>
      <c r="I59" s="70"/>
      <c r="J59" s="70"/>
      <c r="K59" s="70"/>
      <c r="L59" s="70"/>
      <c r="M59" s="41"/>
      <c r="N59" s="41" t="s">
        <v>29</v>
      </c>
      <c r="O59" s="3">
        <v>0</v>
      </c>
      <c r="P59" s="66">
        <v>1.56</v>
      </c>
      <c r="Q59" s="3">
        <v>0</v>
      </c>
      <c r="R59" s="3"/>
      <c r="S59" s="3"/>
      <c r="T59" s="3"/>
      <c r="U59" s="67">
        <f t="shared" si="0"/>
        <v>1.56</v>
      </c>
      <c r="V59" s="67">
        <f t="shared" si="1"/>
        <v>0</v>
      </c>
      <c r="W59" s="3"/>
      <c r="X59" s="3"/>
      <c r="Y59" s="3"/>
      <c r="Z59" s="67">
        <f t="shared" si="2"/>
        <v>1.56</v>
      </c>
      <c r="AA59" s="67">
        <f t="shared" si="3"/>
        <v>0</v>
      </c>
      <c r="AB59" s="3"/>
      <c r="AC59" s="3"/>
      <c r="AD59" s="3"/>
      <c r="AE59" s="67">
        <f t="shared" si="4"/>
        <v>1.56</v>
      </c>
      <c r="AF59" s="67">
        <f t="shared" si="5"/>
        <v>0</v>
      </c>
    </row>
    <row r="60" spans="1:32" ht="46.8">
      <c r="A60" s="41">
        <f t="shared" si="6"/>
        <v>58</v>
      </c>
      <c r="B60" s="42" t="s">
        <v>125</v>
      </c>
      <c r="C60" s="42" t="s">
        <v>1002</v>
      </c>
      <c r="D60" s="34" t="s">
        <v>1017</v>
      </c>
      <c r="E60" s="41" t="s">
        <v>1111</v>
      </c>
      <c r="F60" s="43" t="s">
        <v>126</v>
      </c>
      <c r="G60" s="41" t="s">
        <v>28</v>
      </c>
      <c r="H60" s="41">
        <v>2</v>
      </c>
      <c r="I60" s="41" t="s">
        <v>127</v>
      </c>
      <c r="J60" s="41" t="s">
        <v>127</v>
      </c>
      <c r="K60" s="41" t="s">
        <v>128</v>
      </c>
      <c r="L60" s="41">
        <v>11.67</v>
      </c>
      <c r="M60" s="41">
        <v>11.72</v>
      </c>
      <c r="N60" s="41" t="s">
        <v>29</v>
      </c>
      <c r="O60" s="65">
        <v>11.77</v>
      </c>
      <c r="P60" s="66">
        <v>11.52</v>
      </c>
      <c r="Q60" s="3">
        <v>0</v>
      </c>
      <c r="R60" s="3"/>
      <c r="S60" s="3"/>
      <c r="T60" s="3"/>
      <c r="U60" s="67">
        <f t="shared" si="0"/>
        <v>11.52</v>
      </c>
      <c r="V60" s="67">
        <f t="shared" si="1"/>
        <v>0</v>
      </c>
      <c r="W60" s="3"/>
      <c r="X60" s="3"/>
      <c r="Y60" s="3"/>
      <c r="Z60" s="67">
        <f t="shared" si="2"/>
        <v>11.52</v>
      </c>
      <c r="AA60" s="67">
        <f t="shared" si="3"/>
        <v>0</v>
      </c>
      <c r="AB60" s="3"/>
      <c r="AC60" s="3"/>
      <c r="AD60" s="3"/>
      <c r="AE60" s="67">
        <f t="shared" si="4"/>
        <v>11.52</v>
      </c>
      <c r="AF60" s="67">
        <f t="shared" si="5"/>
        <v>0</v>
      </c>
    </row>
    <row r="61" spans="1:32" ht="46.8">
      <c r="A61" s="41">
        <f t="shared" si="6"/>
        <v>59</v>
      </c>
      <c r="B61" s="42" t="s">
        <v>129</v>
      </c>
      <c r="C61" s="42" t="s">
        <v>1002</v>
      </c>
      <c r="D61" s="34" t="s">
        <v>1017</v>
      </c>
      <c r="E61" s="41" t="s">
        <v>1112</v>
      </c>
      <c r="F61" s="43" t="s">
        <v>130</v>
      </c>
      <c r="G61" s="41" t="s">
        <v>28</v>
      </c>
      <c r="H61" s="41"/>
      <c r="I61" s="41"/>
      <c r="J61" s="41"/>
      <c r="K61" s="41"/>
      <c r="L61" s="41"/>
      <c r="M61" s="41"/>
      <c r="N61" s="41" t="s">
        <v>29</v>
      </c>
      <c r="O61" s="3">
        <v>0</v>
      </c>
      <c r="P61" s="66">
        <v>2.3199999999999998</v>
      </c>
      <c r="Q61" s="3">
        <v>0</v>
      </c>
      <c r="R61" s="3"/>
      <c r="S61" s="3"/>
      <c r="T61" s="3"/>
      <c r="U61" s="67">
        <f t="shared" si="0"/>
        <v>2.3199999999999998</v>
      </c>
      <c r="V61" s="67">
        <f t="shared" si="1"/>
        <v>0</v>
      </c>
      <c r="W61" s="3"/>
      <c r="X61" s="3"/>
      <c r="Y61" s="3"/>
      <c r="Z61" s="67">
        <f t="shared" si="2"/>
        <v>2.3199999999999998</v>
      </c>
      <c r="AA61" s="67">
        <f t="shared" si="3"/>
        <v>0</v>
      </c>
      <c r="AB61" s="3"/>
      <c r="AC61" s="3"/>
      <c r="AD61" s="3"/>
      <c r="AE61" s="67">
        <f t="shared" si="4"/>
        <v>2.3199999999999998</v>
      </c>
      <c r="AF61" s="67">
        <f t="shared" si="5"/>
        <v>0</v>
      </c>
    </row>
    <row r="62" spans="1:32" ht="46.8">
      <c r="A62" s="41">
        <f t="shared" si="6"/>
        <v>60</v>
      </c>
      <c r="B62" s="42" t="s">
        <v>131</v>
      </c>
      <c r="C62" s="42" t="s">
        <v>1002</v>
      </c>
      <c r="D62" s="34" t="s">
        <v>1017</v>
      </c>
      <c r="E62" s="41" t="s">
        <v>1113</v>
      </c>
      <c r="F62" s="43" t="s">
        <v>132</v>
      </c>
      <c r="G62" s="41" t="s">
        <v>28</v>
      </c>
      <c r="H62" s="41"/>
      <c r="I62" s="41"/>
      <c r="J62" s="41"/>
      <c r="K62" s="41"/>
      <c r="L62" s="41"/>
      <c r="M62" s="41"/>
      <c r="N62" s="41" t="s">
        <v>29</v>
      </c>
      <c r="O62" s="3">
        <v>0</v>
      </c>
      <c r="P62" s="66">
        <v>56.6</v>
      </c>
      <c r="Q62" s="3">
        <v>0</v>
      </c>
      <c r="R62" s="3"/>
      <c r="S62" s="3"/>
      <c r="T62" s="3"/>
      <c r="U62" s="67">
        <f t="shared" si="0"/>
        <v>56.6</v>
      </c>
      <c r="V62" s="67">
        <f t="shared" si="1"/>
        <v>0</v>
      </c>
      <c r="W62" s="3"/>
      <c r="X62" s="3"/>
      <c r="Y62" s="3"/>
      <c r="Z62" s="67">
        <f t="shared" si="2"/>
        <v>56.6</v>
      </c>
      <c r="AA62" s="67">
        <f t="shared" si="3"/>
        <v>0</v>
      </c>
      <c r="AB62" s="3"/>
      <c r="AC62" s="3"/>
      <c r="AD62" s="3"/>
      <c r="AE62" s="67">
        <f t="shared" si="4"/>
        <v>56.6</v>
      </c>
      <c r="AF62" s="67">
        <f t="shared" si="5"/>
        <v>0</v>
      </c>
    </row>
    <row r="63" spans="1:32" ht="46.8">
      <c r="A63" s="41">
        <f t="shared" si="6"/>
        <v>61</v>
      </c>
      <c r="B63" s="42" t="s">
        <v>133</v>
      </c>
      <c r="C63" s="42" t="s">
        <v>1002</v>
      </c>
      <c r="D63" s="34" t="s">
        <v>1017</v>
      </c>
      <c r="E63" s="41" t="s">
        <v>1114</v>
      </c>
      <c r="F63" s="43" t="s">
        <v>134</v>
      </c>
      <c r="G63" s="41" t="s">
        <v>28</v>
      </c>
      <c r="H63" s="41"/>
      <c r="I63" s="41"/>
      <c r="J63" s="41"/>
      <c r="K63" s="41"/>
      <c r="L63" s="41"/>
      <c r="M63" s="41"/>
      <c r="N63" s="41" t="s">
        <v>32</v>
      </c>
      <c r="O63" s="3">
        <v>0</v>
      </c>
      <c r="P63" s="66">
        <v>0.52</v>
      </c>
      <c r="Q63" s="3">
        <v>0</v>
      </c>
      <c r="R63" s="3"/>
      <c r="S63" s="3"/>
      <c r="T63" s="3"/>
      <c r="U63" s="67">
        <f t="shared" si="0"/>
        <v>0.52</v>
      </c>
      <c r="V63" s="67">
        <f t="shared" si="1"/>
        <v>0</v>
      </c>
      <c r="W63" s="3"/>
      <c r="X63" s="3"/>
      <c r="Y63" s="3"/>
      <c r="Z63" s="67">
        <f t="shared" si="2"/>
        <v>0.52</v>
      </c>
      <c r="AA63" s="67">
        <f t="shared" si="3"/>
        <v>0</v>
      </c>
      <c r="AB63" s="3"/>
      <c r="AC63" s="3"/>
      <c r="AD63" s="3"/>
      <c r="AE63" s="67">
        <f t="shared" si="4"/>
        <v>0.52</v>
      </c>
      <c r="AF63" s="67">
        <f t="shared" si="5"/>
        <v>0</v>
      </c>
    </row>
    <row r="64" spans="1:32" ht="46.8">
      <c r="A64" s="41">
        <f t="shared" si="6"/>
        <v>62</v>
      </c>
      <c r="B64" s="42" t="s">
        <v>135</v>
      </c>
      <c r="C64" s="42" t="s">
        <v>1002</v>
      </c>
      <c r="D64" s="42" t="s">
        <v>1017</v>
      </c>
      <c r="E64" s="41" t="s">
        <v>1115</v>
      </c>
      <c r="F64" s="43" t="s">
        <v>136</v>
      </c>
      <c r="G64" s="41" t="s">
        <v>28</v>
      </c>
      <c r="H64" s="41"/>
      <c r="I64" s="41"/>
      <c r="J64" s="41"/>
      <c r="K64" s="41"/>
      <c r="L64" s="41"/>
      <c r="M64" s="41"/>
      <c r="N64" s="41" t="s">
        <v>32</v>
      </c>
      <c r="O64" s="3">
        <v>0</v>
      </c>
      <c r="P64" s="66">
        <v>0.96</v>
      </c>
      <c r="Q64" s="3">
        <v>0</v>
      </c>
      <c r="R64" s="3"/>
      <c r="S64" s="3"/>
      <c r="T64" s="3"/>
      <c r="U64" s="67">
        <f t="shared" si="0"/>
        <v>0.96</v>
      </c>
      <c r="V64" s="67">
        <f t="shared" si="1"/>
        <v>0</v>
      </c>
      <c r="W64" s="3"/>
      <c r="X64" s="3"/>
      <c r="Y64" s="3"/>
      <c r="Z64" s="67">
        <f t="shared" si="2"/>
        <v>0.96</v>
      </c>
      <c r="AA64" s="67">
        <f t="shared" si="3"/>
        <v>0</v>
      </c>
      <c r="AB64" s="3"/>
      <c r="AC64" s="3"/>
      <c r="AD64" s="3"/>
      <c r="AE64" s="67">
        <f t="shared" si="4"/>
        <v>0.96</v>
      </c>
      <c r="AF64" s="67">
        <f t="shared" si="5"/>
        <v>0</v>
      </c>
    </row>
    <row r="65" spans="1:32" ht="46.8">
      <c r="A65" s="41">
        <f t="shared" si="6"/>
        <v>63</v>
      </c>
      <c r="B65" s="42" t="s">
        <v>137</v>
      </c>
      <c r="C65" s="42" t="s">
        <v>1002</v>
      </c>
      <c r="D65" s="34" t="s">
        <v>1017</v>
      </c>
      <c r="E65" s="41" t="s">
        <v>1116</v>
      </c>
      <c r="F65" s="43" t="s">
        <v>138</v>
      </c>
      <c r="G65" s="41" t="s">
        <v>28</v>
      </c>
      <c r="H65" s="41"/>
      <c r="I65" s="41"/>
      <c r="J65" s="41"/>
      <c r="K65" s="41"/>
      <c r="L65" s="41"/>
      <c r="M65" s="41"/>
      <c r="N65" s="41" t="s">
        <v>32</v>
      </c>
      <c r="O65" s="3">
        <v>0</v>
      </c>
      <c r="P65" s="66">
        <v>8.48</v>
      </c>
      <c r="Q65" s="3">
        <v>0</v>
      </c>
      <c r="R65" s="3"/>
      <c r="S65" s="3"/>
      <c r="T65" s="3"/>
      <c r="U65" s="67">
        <f t="shared" si="0"/>
        <v>8.48</v>
      </c>
      <c r="V65" s="67">
        <f t="shared" si="1"/>
        <v>0</v>
      </c>
      <c r="W65" s="3"/>
      <c r="X65" s="3"/>
      <c r="Y65" s="3"/>
      <c r="Z65" s="67">
        <f t="shared" si="2"/>
        <v>8.48</v>
      </c>
      <c r="AA65" s="67">
        <f t="shared" si="3"/>
        <v>0</v>
      </c>
      <c r="AB65" s="3"/>
      <c r="AC65" s="3"/>
      <c r="AD65" s="3"/>
      <c r="AE65" s="67">
        <f t="shared" si="4"/>
        <v>8.48</v>
      </c>
      <c r="AF65" s="67">
        <f t="shared" si="5"/>
        <v>0</v>
      </c>
    </row>
    <row r="66" spans="1:32" ht="46.8">
      <c r="A66" s="41">
        <f t="shared" si="6"/>
        <v>64</v>
      </c>
      <c r="B66" s="42" t="s">
        <v>139</v>
      </c>
      <c r="C66" s="42" t="s">
        <v>1002</v>
      </c>
      <c r="D66" s="42" t="s">
        <v>1017</v>
      </c>
      <c r="E66" s="41" t="s">
        <v>1117</v>
      </c>
      <c r="F66" s="43" t="s">
        <v>140</v>
      </c>
      <c r="G66" s="41" t="s">
        <v>28</v>
      </c>
      <c r="H66" s="41"/>
      <c r="I66" s="41"/>
      <c r="J66" s="41"/>
      <c r="K66" s="41"/>
      <c r="L66" s="41"/>
      <c r="M66" s="41"/>
      <c r="N66" s="41" t="s">
        <v>32</v>
      </c>
      <c r="O66" s="3">
        <v>0</v>
      </c>
      <c r="P66" s="66">
        <v>6.04</v>
      </c>
      <c r="Q66" s="3">
        <v>0</v>
      </c>
      <c r="R66" s="3"/>
      <c r="S66" s="3"/>
      <c r="T66" s="3"/>
      <c r="U66" s="67">
        <f t="shared" si="0"/>
        <v>6.04</v>
      </c>
      <c r="V66" s="67">
        <f t="shared" si="1"/>
        <v>0</v>
      </c>
      <c r="W66" s="3"/>
      <c r="X66" s="3"/>
      <c r="Y66" s="3"/>
      <c r="Z66" s="67">
        <f t="shared" si="2"/>
        <v>6.04</v>
      </c>
      <c r="AA66" s="67">
        <f t="shared" si="3"/>
        <v>0</v>
      </c>
      <c r="AB66" s="3"/>
      <c r="AC66" s="3"/>
      <c r="AD66" s="3"/>
      <c r="AE66" s="67">
        <f t="shared" si="4"/>
        <v>6.04</v>
      </c>
      <c r="AF66" s="67">
        <f t="shared" si="5"/>
        <v>0</v>
      </c>
    </row>
    <row r="67" spans="1:32" ht="78">
      <c r="A67" s="41">
        <f t="shared" si="6"/>
        <v>65</v>
      </c>
      <c r="B67" s="42" t="s">
        <v>141</v>
      </c>
      <c r="C67" s="42" t="s">
        <v>1002</v>
      </c>
      <c r="D67" s="34" t="s">
        <v>1017</v>
      </c>
      <c r="E67" s="41" t="s">
        <v>1118</v>
      </c>
      <c r="F67" s="43" t="s">
        <v>142</v>
      </c>
      <c r="G67" s="41" t="s">
        <v>28</v>
      </c>
      <c r="H67" s="41"/>
      <c r="I67" s="41"/>
      <c r="J67" s="41"/>
      <c r="K67" s="41"/>
      <c r="L67" s="41"/>
      <c r="M67" s="41"/>
      <c r="N67" s="41" t="s">
        <v>29</v>
      </c>
      <c r="O67" s="3">
        <v>0</v>
      </c>
      <c r="P67" s="66">
        <v>1.82</v>
      </c>
      <c r="Q67" s="3">
        <v>0</v>
      </c>
      <c r="R67" s="3"/>
      <c r="S67" s="3"/>
      <c r="T67" s="3"/>
      <c r="U67" s="67">
        <f t="shared" si="0"/>
        <v>1.82</v>
      </c>
      <c r="V67" s="67">
        <f t="shared" si="1"/>
        <v>0</v>
      </c>
      <c r="W67" s="3"/>
      <c r="X67" s="3"/>
      <c r="Y67" s="3"/>
      <c r="Z67" s="67">
        <f t="shared" si="2"/>
        <v>1.82</v>
      </c>
      <c r="AA67" s="67">
        <f t="shared" si="3"/>
        <v>0</v>
      </c>
      <c r="AB67" s="3"/>
      <c r="AC67" s="3"/>
      <c r="AD67" s="3"/>
      <c r="AE67" s="67">
        <f t="shared" si="4"/>
        <v>1.82</v>
      </c>
      <c r="AF67" s="67">
        <f t="shared" si="5"/>
        <v>0</v>
      </c>
    </row>
    <row r="68" spans="1:32" ht="124.8">
      <c r="A68" s="41">
        <f t="shared" si="6"/>
        <v>66</v>
      </c>
      <c r="B68" s="42" t="s">
        <v>143</v>
      </c>
      <c r="C68" s="42" t="s">
        <v>1002</v>
      </c>
      <c r="D68" s="34" t="s">
        <v>1017</v>
      </c>
      <c r="E68" s="41" t="s">
        <v>1119</v>
      </c>
      <c r="F68" s="43" t="s">
        <v>144</v>
      </c>
      <c r="G68" s="41" t="s">
        <v>28</v>
      </c>
      <c r="H68" s="41"/>
      <c r="I68" s="41"/>
      <c r="J68" s="41"/>
      <c r="K68" s="41"/>
      <c r="L68" s="41"/>
      <c r="M68" s="41"/>
      <c r="N68" s="41" t="s">
        <v>29</v>
      </c>
      <c r="O68" s="3">
        <v>0</v>
      </c>
      <c r="P68" s="66">
        <v>0.83</v>
      </c>
      <c r="Q68" s="3">
        <v>0</v>
      </c>
      <c r="R68" s="3"/>
      <c r="S68" s="3"/>
      <c r="T68" s="3"/>
      <c r="U68" s="67">
        <f t="shared" ref="U68:U131" si="7">P68+S68+T68</f>
        <v>0.83</v>
      </c>
      <c r="V68" s="67">
        <f t="shared" ref="V68:V131" si="8">Q68+R68-S68-T68</f>
        <v>0</v>
      </c>
      <c r="W68" s="3"/>
      <c r="X68" s="3"/>
      <c r="Y68" s="3"/>
      <c r="Z68" s="67">
        <f t="shared" ref="Z68:Z131" si="9">U68+X68+Y68</f>
        <v>0.83</v>
      </c>
      <c r="AA68" s="67">
        <f t="shared" ref="AA68:AA131" si="10">V68+W68-X68-Y68</f>
        <v>0</v>
      </c>
      <c r="AB68" s="3"/>
      <c r="AC68" s="3"/>
      <c r="AD68" s="3"/>
      <c r="AE68" s="67">
        <f t="shared" ref="AE68:AE131" si="11">Z68+AC68+AD68</f>
        <v>0.83</v>
      </c>
      <c r="AF68" s="67">
        <f t="shared" ref="AF68:AF131" si="12">AA68+AB68-AC68-AD68</f>
        <v>0</v>
      </c>
    </row>
    <row r="69" spans="1:32" ht="109.2">
      <c r="A69" s="41">
        <f t="shared" ref="A69:A132" si="13">A68+1</f>
        <v>67</v>
      </c>
      <c r="B69" s="42" t="s">
        <v>145</v>
      </c>
      <c r="C69" s="42" t="s">
        <v>1002</v>
      </c>
      <c r="D69" s="42" t="s">
        <v>1017</v>
      </c>
      <c r="E69" s="41" t="s">
        <v>1124</v>
      </c>
      <c r="F69" s="43" t="s">
        <v>879</v>
      </c>
      <c r="G69" s="41" t="s">
        <v>28</v>
      </c>
      <c r="H69" s="41"/>
      <c r="I69" s="41"/>
      <c r="J69" s="41"/>
      <c r="K69" s="41"/>
      <c r="L69" s="41"/>
      <c r="M69" s="41"/>
      <c r="N69" s="41" t="s">
        <v>29</v>
      </c>
      <c r="O69" s="3">
        <v>0</v>
      </c>
      <c r="P69" s="66">
        <v>1.02</v>
      </c>
      <c r="Q69" s="3">
        <v>0</v>
      </c>
      <c r="R69" s="3"/>
      <c r="S69" s="3"/>
      <c r="T69" s="3"/>
      <c r="U69" s="67">
        <f t="shared" si="7"/>
        <v>1.02</v>
      </c>
      <c r="V69" s="67">
        <f t="shared" si="8"/>
        <v>0</v>
      </c>
      <c r="W69" s="3"/>
      <c r="X69" s="3"/>
      <c r="Y69" s="3"/>
      <c r="Z69" s="67">
        <f t="shared" si="9"/>
        <v>1.02</v>
      </c>
      <c r="AA69" s="67">
        <f t="shared" si="10"/>
        <v>0</v>
      </c>
      <c r="AB69" s="3"/>
      <c r="AC69" s="3"/>
      <c r="AD69" s="3"/>
      <c r="AE69" s="67">
        <f t="shared" si="11"/>
        <v>1.02</v>
      </c>
      <c r="AF69" s="67">
        <f t="shared" si="12"/>
        <v>0</v>
      </c>
    </row>
    <row r="70" spans="1:32" ht="46.8">
      <c r="A70" s="41">
        <f t="shared" si="13"/>
        <v>68</v>
      </c>
      <c r="B70" s="42" t="s">
        <v>146</v>
      </c>
      <c r="C70" s="42" t="s">
        <v>1002</v>
      </c>
      <c r="D70" s="34" t="s">
        <v>1017</v>
      </c>
      <c r="E70" s="41" t="s">
        <v>1123</v>
      </c>
      <c r="F70" s="43" t="s">
        <v>147</v>
      </c>
      <c r="G70" s="41" t="s">
        <v>28</v>
      </c>
      <c r="H70" s="41"/>
      <c r="I70" s="41"/>
      <c r="J70" s="41"/>
      <c r="K70" s="41"/>
      <c r="L70" s="41"/>
      <c r="M70" s="41"/>
      <c r="N70" s="41" t="s">
        <v>29</v>
      </c>
      <c r="O70" s="3">
        <v>0</v>
      </c>
      <c r="P70" s="66">
        <v>16.34</v>
      </c>
      <c r="Q70" s="3">
        <v>0</v>
      </c>
      <c r="R70" s="3"/>
      <c r="S70" s="3"/>
      <c r="T70" s="3"/>
      <c r="U70" s="67">
        <f t="shared" si="7"/>
        <v>16.34</v>
      </c>
      <c r="V70" s="67">
        <f t="shared" si="8"/>
        <v>0</v>
      </c>
      <c r="W70" s="3"/>
      <c r="X70" s="3"/>
      <c r="Y70" s="3"/>
      <c r="Z70" s="67">
        <f t="shared" si="9"/>
        <v>16.34</v>
      </c>
      <c r="AA70" s="67">
        <f t="shared" si="10"/>
        <v>0</v>
      </c>
      <c r="AB70" s="3"/>
      <c r="AC70" s="3"/>
      <c r="AD70" s="3"/>
      <c r="AE70" s="67">
        <f t="shared" si="11"/>
        <v>16.34</v>
      </c>
      <c r="AF70" s="67">
        <f t="shared" si="12"/>
        <v>0</v>
      </c>
    </row>
    <row r="71" spans="1:32" ht="62.4">
      <c r="A71" s="41">
        <f t="shared" si="13"/>
        <v>69</v>
      </c>
      <c r="B71" s="42" t="s">
        <v>148</v>
      </c>
      <c r="C71" s="42" t="s">
        <v>1002</v>
      </c>
      <c r="D71" s="42" t="s">
        <v>1017</v>
      </c>
      <c r="E71" s="41" t="s">
        <v>1122</v>
      </c>
      <c r="F71" s="43" t="s">
        <v>149</v>
      </c>
      <c r="G71" s="41" t="s">
        <v>28</v>
      </c>
      <c r="H71" s="41"/>
      <c r="I71" s="41"/>
      <c r="J71" s="41"/>
      <c r="K71" s="41"/>
      <c r="L71" s="41"/>
      <c r="M71" s="65">
        <v>472.53</v>
      </c>
      <c r="N71" s="41" t="s">
        <v>29</v>
      </c>
      <c r="O71" s="3">
        <v>0</v>
      </c>
      <c r="P71" s="66">
        <v>3.56</v>
      </c>
      <c r="Q71" s="3">
        <v>0</v>
      </c>
      <c r="R71" s="3"/>
      <c r="S71" s="3"/>
      <c r="T71" s="3"/>
      <c r="U71" s="67">
        <f t="shared" si="7"/>
        <v>3.56</v>
      </c>
      <c r="V71" s="67">
        <f t="shared" si="8"/>
        <v>0</v>
      </c>
      <c r="W71" s="3"/>
      <c r="X71" s="3"/>
      <c r="Y71" s="3"/>
      <c r="Z71" s="67">
        <f t="shared" si="9"/>
        <v>3.56</v>
      </c>
      <c r="AA71" s="67">
        <f t="shared" si="10"/>
        <v>0</v>
      </c>
      <c r="AB71" s="3"/>
      <c r="AC71" s="3"/>
      <c r="AD71" s="3"/>
      <c r="AE71" s="67">
        <f t="shared" si="11"/>
        <v>3.56</v>
      </c>
      <c r="AF71" s="67">
        <f t="shared" si="12"/>
        <v>0</v>
      </c>
    </row>
    <row r="72" spans="1:32" ht="93.6">
      <c r="A72" s="41">
        <f t="shared" si="13"/>
        <v>70</v>
      </c>
      <c r="B72" s="42" t="s">
        <v>150</v>
      </c>
      <c r="C72" s="42" t="s">
        <v>1002</v>
      </c>
      <c r="D72" s="34" t="s">
        <v>1017</v>
      </c>
      <c r="E72" s="41" t="s">
        <v>1121</v>
      </c>
      <c r="F72" s="43" t="s">
        <v>151</v>
      </c>
      <c r="G72" s="41" t="s">
        <v>28</v>
      </c>
      <c r="H72" s="41"/>
      <c r="I72" s="41"/>
      <c r="J72" s="41"/>
      <c r="K72" s="41"/>
      <c r="L72" s="41"/>
      <c r="M72" s="65">
        <v>472.53</v>
      </c>
      <c r="N72" s="41" t="s">
        <v>29</v>
      </c>
      <c r="O72" s="3">
        <v>0</v>
      </c>
      <c r="P72" s="66">
        <v>4.2699999999999996</v>
      </c>
      <c r="Q72" s="3">
        <v>0</v>
      </c>
      <c r="R72" s="3"/>
      <c r="S72" s="3"/>
      <c r="T72" s="3"/>
      <c r="U72" s="67">
        <f t="shared" si="7"/>
        <v>4.2699999999999996</v>
      </c>
      <c r="V72" s="67">
        <f t="shared" si="8"/>
        <v>0</v>
      </c>
      <c r="W72" s="3"/>
      <c r="X72" s="3"/>
      <c r="Y72" s="3"/>
      <c r="Z72" s="67">
        <f t="shared" si="9"/>
        <v>4.2699999999999996</v>
      </c>
      <c r="AA72" s="67">
        <f t="shared" si="10"/>
        <v>0</v>
      </c>
      <c r="AB72" s="3"/>
      <c r="AC72" s="3"/>
      <c r="AD72" s="3"/>
      <c r="AE72" s="67">
        <f t="shared" si="11"/>
        <v>4.2699999999999996</v>
      </c>
      <c r="AF72" s="67">
        <f t="shared" si="12"/>
        <v>0</v>
      </c>
    </row>
    <row r="73" spans="1:32" ht="78">
      <c r="A73" s="41">
        <f t="shared" si="13"/>
        <v>71</v>
      </c>
      <c r="B73" s="42" t="s">
        <v>152</v>
      </c>
      <c r="C73" s="42" t="s">
        <v>1002</v>
      </c>
      <c r="D73" s="34" t="s">
        <v>1017</v>
      </c>
      <c r="E73" s="41" t="s">
        <v>1120</v>
      </c>
      <c r="F73" s="43" t="s">
        <v>153</v>
      </c>
      <c r="G73" s="41" t="s">
        <v>28</v>
      </c>
      <c r="H73" s="41"/>
      <c r="I73" s="41"/>
      <c r="J73" s="41"/>
      <c r="K73" s="41"/>
      <c r="L73" s="41"/>
      <c r="M73" s="71">
        <v>1370.02</v>
      </c>
      <c r="N73" s="41" t="s">
        <v>29</v>
      </c>
      <c r="O73" s="3">
        <v>0</v>
      </c>
      <c r="P73" s="66">
        <v>3.74</v>
      </c>
      <c r="Q73" s="3">
        <v>0</v>
      </c>
      <c r="R73" s="3"/>
      <c r="S73" s="3"/>
      <c r="T73" s="3"/>
      <c r="U73" s="67">
        <f t="shared" si="7"/>
        <v>3.74</v>
      </c>
      <c r="V73" s="67">
        <f t="shared" si="8"/>
        <v>0</v>
      </c>
      <c r="W73" s="3"/>
      <c r="X73" s="3"/>
      <c r="Y73" s="3"/>
      <c r="Z73" s="67">
        <f t="shared" si="9"/>
        <v>3.74</v>
      </c>
      <c r="AA73" s="67">
        <f t="shared" si="10"/>
        <v>0</v>
      </c>
      <c r="AB73" s="3"/>
      <c r="AC73" s="3"/>
      <c r="AD73" s="3"/>
      <c r="AE73" s="67">
        <f t="shared" si="11"/>
        <v>3.74</v>
      </c>
      <c r="AF73" s="67">
        <f t="shared" si="12"/>
        <v>0</v>
      </c>
    </row>
    <row r="74" spans="1:32" ht="46.8">
      <c r="A74" s="41">
        <f t="shared" si="13"/>
        <v>72</v>
      </c>
      <c r="B74" s="42" t="s">
        <v>154</v>
      </c>
      <c r="C74" s="42" t="s">
        <v>1002</v>
      </c>
      <c r="D74" s="34" t="s">
        <v>1017</v>
      </c>
      <c r="E74" s="41" t="s">
        <v>1125</v>
      </c>
      <c r="F74" s="43" t="s">
        <v>155</v>
      </c>
      <c r="G74" s="41" t="s">
        <v>28</v>
      </c>
      <c r="H74" s="41"/>
      <c r="I74" s="41"/>
      <c r="J74" s="41"/>
      <c r="K74" s="41"/>
      <c r="L74" s="41"/>
      <c r="M74" s="65">
        <v>472.53</v>
      </c>
      <c r="N74" s="41" t="s">
        <v>29</v>
      </c>
      <c r="O74" s="3">
        <v>0</v>
      </c>
      <c r="P74" s="66">
        <v>10.09</v>
      </c>
      <c r="Q74" s="3">
        <v>0</v>
      </c>
      <c r="R74" s="3"/>
      <c r="S74" s="3"/>
      <c r="T74" s="3"/>
      <c r="U74" s="67">
        <f t="shared" si="7"/>
        <v>10.09</v>
      </c>
      <c r="V74" s="67">
        <f t="shared" si="8"/>
        <v>0</v>
      </c>
      <c r="W74" s="3"/>
      <c r="X74" s="3"/>
      <c r="Y74" s="3"/>
      <c r="Z74" s="67">
        <f t="shared" si="9"/>
        <v>10.09</v>
      </c>
      <c r="AA74" s="67">
        <f t="shared" si="10"/>
        <v>0</v>
      </c>
      <c r="AB74" s="3"/>
      <c r="AC74" s="3"/>
      <c r="AD74" s="3"/>
      <c r="AE74" s="67">
        <f t="shared" si="11"/>
        <v>10.09</v>
      </c>
      <c r="AF74" s="67">
        <f t="shared" si="12"/>
        <v>0</v>
      </c>
    </row>
    <row r="75" spans="1:32" ht="46.8">
      <c r="A75" s="41">
        <f t="shared" si="13"/>
        <v>73</v>
      </c>
      <c r="B75" s="42" t="s">
        <v>156</v>
      </c>
      <c r="C75" s="42" t="s">
        <v>1002</v>
      </c>
      <c r="D75" s="34" t="s">
        <v>1017</v>
      </c>
      <c r="E75" s="41" t="s">
        <v>1126</v>
      </c>
      <c r="F75" s="43" t="s">
        <v>157</v>
      </c>
      <c r="G75" s="41" t="s">
        <v>28</v>
      </c>
      <c r="H75" s="41"/>
      <c r="I75" s="41"/>
      <c r="J75" s="41"/>
      <c r="K75" s="41"/>
      <c r="L75" s="41"/>
      <c r="M75" s="71">
        <v>1370.02</v>
      </c>
      <c r="N75" s="41" t="s">
        <v>29</v>
      </c>
      <c r="O75" s="65">
        <v>9.84</v>
      </c>
      <c r="P75" s="66">
        <v>10.4</v>
      </c>
      <c r="Q75" s="3">
        <v>0</v>
      </c>
      <c r="R75" s="3"/>
      <c r="S75" s="3"/>
      <c r="T75" s="3"/>
      <c r="U75" s="67">
        <f t="shared" si="7"/>
        <v>10.4</v>
      </c>
      <c r="V75" s="67">
        <f t="shared" si="8"/>
        <v>0</v>
      </c>
      <c r="W75" s="154">
        <v>0.2395398</v>
      </c>
      <c r="X75" s="3"/>
      <c r="Y75" s="3"/>
      <c r="Z75" s="67">
        <f t="shared" si="9"/>
        <v>10.4</v>
      </c>
      <c r="AA75" s="67">
        <f t="shared" si="10"/>
        <v>0.2395398</v>
      </c>
      <c r="AB75" s="3"/>
      <c r="AC75" s="3"/>
      <c r="AD75" s="3"/>
      <c r="AE75" s="67">
        <f t="shared" si="11"/>
        <v>10.4</v>
      </c>
      <c r="AF75" s="67">
        <f t="shared" si="12"/>
        <v>0.2395398</v>
      </c>
    </row>
    <row r="76" spans="1:32" ht="46.8">
      <c r="A76" s="41">
        <f t="shared" si="13"/>
        <v>74</v>
      </c>
      <c r="B76" s="42" t="s">
        <v>158</v>
      </c>
      <c r="C76" s="42" t="s">
        <v>1002</v>
      </c>
      <c r="D76" s="42" t="s">
        <v>1017</v>
      </c>
      <c r="E76" s="41" t="s">
        <v>1127</v>
      </c>
      <c r="F76" s="43" t="s">
        <v>159</v>
      </c>
      <c r="G76" s="41" t="s">
        <v>28</v>
      </c>
      <c r="H76" s="41"/>
      <c r="I76" s="41"/>
      <c r="J76" s="41"/>
      <c r="K76" s="41"/>
      <c r="L76" s="41"/>
      <c r="M76" s="65">
        <v>472.53</v>
      </c>
      <c r="N76" s="41" t="s">
        <v>29</v>
      </c>
      <c r="O76" s="3">
        <v>0</v>
      </c>
      <c r="P76" s="66">
        <v>56.97</v>
      </c>
      <c r="Q76" s="3">
        <v>0</v>
      </c>
      <c r="R76" s="3"/>
      <c r="S76" s="3"/>
      <c r="T76" s="3"/>
      <c r="U76" s="67">
        <f t="shared" si="7"/>
        <v>56.97</v>
      </c>
      <c r="V76" s="67">
        <f t="shared" si="8"/>
        <v>0</v>
      </c>
      <c r="W76" s="3"/>
      <c r="X76" s="3"/>
      <c r="Y76" s="3"/>
      <c r="Z76" s="67">
        <f t="shared" si="9"/>
        <v>56.97</v>
      </c>
      <c r="AA76" s="67">
        <f t="shared" si="10"/>
        <v>0</v>
      </c>
      <c r="AB76" s="3"/>
      <c r="AC76" s="3"/>
      <c r="AD76" s="3"/>
      <c r="AE76" s="67">
        <f t="shared" si="11"/>
        <v>56.97</v>
      </c>
      <c r="AF76" s="67">
        <f t="shared" si="12"/>
        <v>0</v>
      </c>
    </row>
    <row r="77" spans="1:32" ht="46.8">
      <c r="A77" s="41">
        <f t="shared" si="13"/>
        <v>75</v>
      </c>
      <c r="B77" s="42" t="s">
        <v>160</v>
      </c>
      <c r="C77" s="42" t="s">
        <v>1002</v>
      </c>
      <c r="D77" s="42" t="s">
        <v>1017</v>
      </c>
      <c r="E77" s="41" t="s">
        <v>1128</v>
      </c>
      <c r="F77" s="43" t="s">
        <v>161</v>
      </c>
      <c r="G77" s="41" t="s">
        <v>28</v>
      </c>
      <c r="H77" s="41">
        <v>1</v>
      </c>
      <c r="I77" s="41" t="s">
        <v>114</v>
      </c>
      <c r="J77" s="41" t="s">
        <v>114</v>
      </c>
      <c r="K77" s="41" t="s">
        <v>115</v>
      </c>
      <c r="L77" s="41">
        <v>17.75</v>
      </c>
      <c r="M77" s="71">
        <v>1370.02</v>
      </c>
      <c r="N77" s="41" t="s">
        <v>29</v>
      </c>
      <c r="O77" s="65">
        <v>17.739999999999998</v>
      </c>
      <c r="P77" s="66">
        <v>17.68</v>
      </c>
      <c r="Q77" s="66">
        <v>0.28999999999999998</v>
      </c>
      <c r="R77" s="3"/>
      <c r="S77" s="3"/>
      <c r="T77" s="3"/>
      <c r="U77" s="67">
        <f t="shared" si="7"/>
        <v>17.68</v>
      </c>
      <c r="V77" s="67">
        <f t="shared" si="8"/>
        <v>0.28999999999999998</v>
      </c>
      <c r="W77" s="3"/>
      <c r="X77" s="3"/>
      <c r="Y77" s="3"/>
      <c r="Z77" s="67">
        <f t="shared" si="9"/>
        <v>17.68</v>
      </c>
      <c r="AA77" s="67">
        <f t="shared" si="10"/>
        <v>0.28999999999999998</v>
      </c>
      <c r="AB77" s="3"/>
      <c r="AC77" s="3"/>
      <c r="AD77" s="3"/>
      <c r="AE77" s="67">
        <f t="shared" si="11"/>
        <v>17.68</v>
      </c>
      <c r="AF77" s="67">
        <f t="shared" si="12"/>
        <v>0.28999999999999998</v>
      </c>
    </row>
    <row r="78" spans="1:32" ht="62.4">
      <c r="A78" s="41">
        <f t="shared" si="13"/>
        <v>76</v>
      </c>
      <c r="B78" s="42" t="s">
        <v>162</v>
      </c>
      <c r="C78" s="42" t="s">
        <v>1002</v>
      </c>
      <c r="D78" s="34" t="s">
        <v>1017</v>
      </c>
      <c r="E78" s="41" t="s">
        <v>1129</v>
      </c>
      <c r="F78" s="43" t="s">
        <v>163</v>
      </c>
      <c r="G78" s="41" t="s">
        <v>28</v>
      </c>
      <c r="H78" s="41"/>
      <c r="I78" s="41"/>
      <c r="J78" s="41"/>
      <c r="K78" s="41"/>
      <c r="L78" s="41"/>
      <c r="M78" s="65">
        <v>472.53</v>
      </c>
      <c r="N78" s="41" t="s">
        <v>29</v>
      </c>
      <c r="O78" s="3">
        <v>0</v>
      </c>
      <c r="P78" s="66">
        <v>0.93</v>
      </c>
      <c r="Q78" s="3">
        <v>0</v>
      </c>
      <c r="R78" s="3"/>
      <c r="S78" s="3"/>
      <c r="T78" s="3"/>
      <c r="U78" s="67">
        <f t="shared" si="7"/>
        <v>0.93</v>
      </c>
      <c r="V78" s="67">
        <f t="shared" si="8"/>
        <v>0</v>
      </c>
      <c r="W78" s="3"/>
      <c r="X78" s="3"/>
      <c r="Y78" s="3"/>
      <c r="Z78" s="67">
        <f t="shared" si="9"/>
        <v>0.93</v>
      </c>
      <c r="AA78" s="67">
        <f t="shared" si="10"/>
        <v>0</v>
      </c>
      <c r="AB78" s="3"/>
      <c r="AC78" s="3"/>
      <c r="AD78" s="3"/>
      <c r="AE78" s="67">
        <f t="shared" si="11"/>
        <v>0.93</v>
      </c>
      <c r="AF78" s="67">
        <f t="shared" si="12"/>
        <v>0</v>
      </c>
    </row>
    <row r="79" spans="1:32" ht="46.8">
      <c r="A79" s="41">
        <f t="shared" si="13"/>
        <v>77</v>
      </c>
      <c r="B79" s="42" t="s">
        <v>164</v>
      </c>
      <c r="C79" s="42" t="s">
        <v>1002</v>
      </c>
      <c r="D79" s="34" t="s">
        <v>1017</v>
      </c>
      <c r="E79" s="41" t="s">
        <v>1130</v>
      </c>
      <c r="F79" s="43" t="s">
        <v>165</v>
      </c>
      <c r="G79" s="41" t="s">
        <v>28</v>
      </c>
      <c r="H79" s="41"/>
      <c r="I79" s="41"/>
      <c r="J79" s="41"/>
      <c r="K79" s="41"/>
      <c r="L79" s="41"/>
      <c r="M79" s="65">
        <v>472.53</v>
      </c>
      <c r="N79" s="41" t="s">
        <v>29</v>
      </c>
      <c r="O79" s="3">
        <v>0</v>
      </c>
      <c r="P79" s="66">
        <v>1.65</v>
      </c>
      <c r="Q79" s="3">
        <v>0</v>
      </c>
      <c r="R79" s="3"/>
      <c r="S79" s="3"/>
      <c r="T79" s="3"/>
      <c r="U79" s="67">
        <f t="shared" si="7"/>
        <v>1.65</v>
      </c>
      <c r="V79" s="67">
        <f t="shared" si="8"/>
        <v>0</v>
      </c>
      <c r="W79" s="3"/>
      <c r="X79" s="3"/>
      <c r="Y79" s="3"/>
      <c r="Z79" s="67">
        <f t="shared" si="9"/>
        <v>1.65</v>
      </c>
      <c r="AA79" s="67">
        <f t="shared" si="10"/>
        <v>0</v>
      </c>
      <c r="AB79" s="3"/>
      <c r="AC79" s="3"/>
      <c r="AD79" s="3"/>
      <c r="AE79" s="67">
        <f t="shared" si="11"/>
        <v>1.65</v>
      </c>
      <c r="AF79" s="67">
        <f t="shared" si="12"/>
        <v>0</v>
      </c>
    </row>
    <row r="80" spans="1:32" ht="140.4">
      <c r="A80" s="41">
        <f t="shared" si="13"/>
        <v>78</v>
      </c>
      <c r="B80" s="42" t="s">
        <v>166</v>
      </c>
      <c r="C80" s="42" t="s">
        <v>1002</v>
      </c>
      <c r="D80" s="42" t="s">
        <v>1017</v>
      </c>
      <c r="E80" s="41" t="s">
        <v>1131</v>
      </c>
      <c r="F80" s="43" t="s">
        <v>167</v>
      </c>
      <c r="G80" s="41" t="s">
        <v>28</v>
      </c>
      <c r="H80" s="41">
        <v>2</v>
      </c>
      <c r="I80" s="41" t="s">
        <v>168</v>
      </c>
      <c r="J80" s="41" t="s">
        <v>168</v>
      </c>
      <c r="K80" s="41" t="s">
        <v>169</v>
      </c>
      <c r="L80" s="41">
        <v>43.53</v>
      </c>
      <c r="M80" s="65">
        <v>58.46</v>
      </c>
      <c r="N80" s="41" t="s">
        <v>29</v>
      </c>
      <c r="O80" s="65">
        <v>36.619999999999997</v>
      </c>
      <c r="P80" s="66">
        <v>34.61</v>
      </c>
      <c r="Q80" s="3">
        <v>0</v>
      </c>
      <c r="R80" s="3"/>
      <c r="S80" s="3"/>
      <c r="T80" s="3"/>
      <c r="U80" s="67">
        <f t="shared" si="7"/>
        <v>34.61</v>
      </c>
      <c r="V80" s="67">
        <f t="shared" si="8"/>
        <v>0</v>
      </c>
      <c r="W80" s="3"/>
      <c r="X80" s="3"/>
      <c r="Y80" s="3"/>
      <c r="Z80" s="67">
        <f t="shared" si="9"/>
        <v>34.61</v>
      </c>
      <c r="AA80" s="67">
        <f t="shared" si="10"/>
        <v>0</v>
      </c>
      <c r="AB80" s="3"/>
      <c r="AC80" s="3"/>
      <c r="AD80" s="3"/>
      <c r="AE80" s="67">
        <f t="shared" si="11"/>
        <v>34.61</v>
      </c>
      <c r="AF80" s="67">
        <f t="shared" si="12"/>
        <v>0</v>
      </c>
    </row>
    <row r="81" spans="1:32" ht="46.8">
      <c r="A81" s="41">
        <f t="shared" si="13"/>
        <v>79</v>
      </c>
      <c r="B81" s="42" t="s">
        <v>170</v>
      </c>
      <c r="C81" s="42" t="s">
        <v>1002</v>
      </c>
      <c r="D81" s="42" t="s">
        <v>1017</v>
      </c>
      <c r="E81" s="41" t="s">
        <v>1132</v>
      </c>
      <c r="F81" s="43" t="s">
        <v>171</v>
      </c>
      <c r="G81" s="41" t="s">
        <v>28</v>
      </c>
      <c r="H81" s="41"/>
      <c r="I81" s="41"/>
      <c r="J81" s="41"/>
      <c r="K81" s="41"/>
      <c r="L81" s="41"/>
      <c r="M81" s="71">
        <v>1370.02</v>
      </c>
      <c r="N81" s="41" t="s">
        <v>29</v>
      </c>
      <c r="O81" s="3">
        <v>0</v>
      </c>
      <c r="P81" s="66">
        <v>23.78</v>
      </c>
      <c r="Q81" s="3">
        <v>0</v>
      </c>
      <c r="R81" s="3"/>
      <c r="S81" s="3"/>
      <c r="T81" s="3"/>
      <c r="U81" s="67">
        <f t="shared" si="7"/>
        <v>23.78</v>
      </c>
      <c r="V81" s="67">
        <f t="shared" si="8"/>
        <v>0</v>
      </c>
      <c r="W81" s="3"/>
      <c r="X81" s="3"/>
      <c r="Y81" s="3"/>
      <c r="Z81" s="67">
        <f t="shared" si="9"/>
        <v>23.78</v>
      </c>
      <c r="AA81" s="67">
        <f t="shared" si="10"/>
        <v>0</v>
      </c>
      <c r="AB81" s="3"/>
      <c r="AC81" s="3"/>
      <c r="AD81" s="3"/>
      <c r="AE81" s="67">
        <f t="shared" si="11"/>
        <v>23.78</v>
      </c>
      <c r="AF81" s="67">
        <f t="shared" si="12"/>
        <v>0</v>
      </c>
    </row>
    <row r="82" spans="1:32" ht="46.8">
      <c r="A82" s="41">
        <f t="shared" si="13"/>
        <v>80</v>
      </c>
      <c r="B82" s="42" t="s">
        <v>172</v>
      </c>
      <c r="C82" s="42" t="s">
        <v>1002</v>
      </c>
      <c r="D82" s="42" t="s">
        <v>1017</v>
      </c>
      <c r="E82" s="41" t="s">
        <v>1133</v>
      </c>
      <c r="F82" s="43" t="s">
        <v>173</v>
      </c>
      <c r="G82" s="41" t="s">
        <v>28</v>
      </c>
      <c r="H82" s="41"/>
      <c r="I82" s="41"/>
      <c r="J82" s="41"/>
      <c r="K82" s="41"/>
      <c r="L82" s="41"/>
      <c r="M82" s="41"/>
      <c r="N82" s="41" t="s">
        <v>29</v>
      </c>
      <c r="O82" s="65">
        <v>61.87</v>
      </c>
      <c r="P82" s="66">
        <v>0.09</v>
      </c>
      <c r="Q82" s="3">
        <v>0</v>
      </c>
      <c r="R82" s="3"/>
      <c r="S82" s="3"/>
      <c r="T82" s="3"/>
      <c r="U82" s="67">
        <f t="shared" si="7"/>
        <v>0.09</v>
      </c>
      <c r="V82" s="67">
        <f t="shared" si="8"/>
        <v>0</v>
      </c>
      <c r="W82" s="3"/>
      <c r="X82" s="3"/>
      <c r="Y82" s="3"/>
      <c r="Z82" s="67">
        <f t="shared" si="9"/>
        <v>0.09</v>
      </c>
      <c r="AA82" s="67">
        <f t="shared" si="10"/>
        <v>0</v>
      </c>
      <c r="AB82" s="3"/>
      <c r="AC82" s="3"/>
      <c r="AD82" s="3"/>
      <c r="AE82" s="67">
        <f t="shared" si="11"/>
        <v>0.09</v>
      </c>
      <c r="AF82" s="67">
        <f t="shared" si="12"/>
        <v>0</v>
      </c>
    </row>
    <row r="83" spans="1:32" ht="46.8">
      <c r="A83" s="41">
        <f t="shared" si="13"/>
        <v>81</v>
      </c>
      <c r="B83" s="34" t="s">
        <v>914</v>
      </c>
      <c r="C83" s="34" t="s">
        <v>1002</v>
      </c>
      <c r="D83" s="34" t="s">
        <v>1017</v>
      </c>
      <c r="E83" s="41" t="s">
        <v>1134</v>
      </c>
      <c r="F83" s="43" t="s">
        <v>367</v>
      </c>
      <c r="G83" s="41" t="s">
        <v>28</v>
      </c>
      <c r="H83" s="41"/>
      <c r="I83" s="167" t="s">
        <v>349</v>
      </c>
      <c r="J83" s="167"/>
      <c r="K83" s="167"/>
      <c r="L83" s="167"/>
      <c r="M83" s="167"/>
      <c r="N83" s="41" t="s">
        <v>32</v>
      </c>
      <c r="O83" s="3">
        <v>0</v>
      </c>
      <c r="P83" s="66">
        <v>0.83</v>
      </c>
      <c r="Q83" s="3">
        <v>0</v>
      </c>
      <c r="R83" s="3"/>
      <c r="S83" s="3"/>
      <c r="T83" s="3"/>
      <c r="U83" s="67">
        <f t="shared" si="7"/>
        <v>0.83</v>
      </c>
      <c r="V83" s="67">
        <f t="shared" si="8"/>
        <v>0</v>
      </c>
      <c r="W83" s="3"/>
      <c r="X83" s="3"/>
      <c r="Y83" s="3"/>
      <c r="Z83" s="67">
        <f t="shared" si="9"/>
        <v>0.83</v>
      </c>
      <c r="AA83" s="67">
        <f t="shared" si="10"/>
        <v>0</v>
      </c>
      <c r="AB83" s="3"/>
      <c r="AC83" s="3"/>
      <c r="AD83" s="3"/>
      <c r="AE83" s="67">
        <f t="shared" si="11"/>
        <v>0.83</v>
      </c>
      <c r="AF83" s="67">
        <f t="shared" si="12"/>
        <v>0</v>
      </c>
    </row>
    <row r="84" spans="1:32" ht="78">
      <c r="A84" s="41">
        <f t="shared" si="13"/>
        <v>82</v>
      </c>
      <c r="B84" s="42" t="s">
        <v>174</v>
      </c>
      <c r="C84" s="41" t="s">
        <v>1005</v>
      </c>
      <c r="D84" s="42" t="s">
        <v>1017</v>
      </c>
      <c r="E84" s="41" t="s">
        <v>1135</v>
      </c>
      <c r="F84" s="43" t="s">
        <v>175</v>
      </c>
      <c r="G84" s="41" t="s">
        <v>28</v>
      </c>
      <c r="H84" s="41"/>
      <c r="I84" s="41"/>
      <c r="J84" s="41"/>
      <c r="K84" s="41"/>
      <c r="L84" s="41"/>
      <c r="M84" s="41"/>
      <c r="N84" s="41" t="s">
        <v>29</v>
      </c>
      <c r="O84" s="3">
        <v>0</v>
      </c>
      <c r="P84" s="3">
        <v>0</v>
      </c>
      <c r="Q84" s="66">
        <v>2.39</v>
      </c>
      <c r="R84" s="3"/>
      <c r="S84" s="3"/>
      <c r="T84" s="3"/>
      <c r="U84" s="67">
        <f t="shared" si="7"/>
        <v>0</v>
      </c>
      <c r="V84" s="67">
        <f t="shared" si="8"/>
        <v>2.39</v>
      </c>
      <c r="W84" s="3"/>
      <c r="X84" s="3"/>
      <c r="Y84" s="3"/>
      <c r="Z84" s="67">
        <f t="shared" si="9"/>
        <v>0</v>
      </c>
      <c r="AA84" s="67">
        <f t="shared" si="10"/>
        <v>2.39</v>
      </c>
      <c r="AB84" s="3"/>
      <c r="AC84" s="3"/>
      <c r="AD84" s="3"/>
      <c r="AE84" s="67">
        <f t="shared" si="11"/>
        <v>0</v>
      </c>
      <c r="AF84" s="67">
        <f t="shared" si="12"/>
        <v>2.39</v>
      </c>
    </row>
    <row r="85" spans="1:32" ht="93.6">
      <c r="A85" s="41">
        <f t="shared" si="13"/>
        <v>83</v>
      </c>
      <c r="B85" s="42" t="s">
        <v>212</v>
      </c>
      <c r="C85" s="41" t="s">
        <v>1006</v>
      </c>
      <c r="D85" s="34" t="s">
        <v>1017</v>
      </c>
      <c r="E85" s="41" t="s">
        <v>1136</v>
      </c>
      <c r="F85" s="43" t="s">
        <v>213</v>
      </c>
      <c r="G85" s="41" t="s">
        <v>28</v>
      </c>
      <c r="H85" s="41"/>
      <c r="I85" s="41"/>
      <c r="J85" s="41"/>
      <c r="K85" s="41"/>
      <c r="L85" s="41"/>
      <c r="M85" s="41"/>
      <c r="N85" s="41" t="s">
        <v>32</v>
      </c>
      <c r="O85" s="3">
        <v>0</v>
      </c>
      <c r="P85" s="66">
        <v>2.39</v>
      </c>
      <c r="Q85" s="3">
        <v>0</v>
      </c>
      <c r="R85" s="3"/>
      <c r="S85" s="3"/>
      <c r="T85" s="3"/>
      <c r="U85" s="67">
        <f t="shared" si="7"/>
        <v>2.39</v>
      </c>
      <c r="V85" s="67">
        <f t="shared" si="8"/>
        <v>0</v>
      </c>
      <c r="W85" s="3"/>
      <c r="X85" s="3"/>
      <c r="Y85" s="3"/>
      <c r="Z85" s="67">
        <f t="shared" si="9"/>
        <v>2.39</v>
      </c>
      <c r="AA85" s="67">
        <f t="shared" si="10"/>
        <v>0</v>
      </c>
      <c r="AB85" s="3"/>
      <c r="AC85" s="3"/>
      <c r="AD85" s="3"/>
      <c r="AE85" s="67">
        <f t="shared" si="11"/>
        <v>2.39</v>
      </c>
      <c r="AF85" s="67">
        <f t="shared" si="12"/>
        <v>0</v>
      </c>
    </row>
    <row r="86" spans="1:32" ht="93.6">
      <c r="A86" s="41">
        <f t="shared" si="13"/>
        <v>84</v>
      </c>
      <c r="B86" s="42" t="s">
        <v>176</v>
      </c>
      <c r="C86" s="42" t="s">
        <v>1002</v>
      </c>
      <c r="D86" s="42" t="s">
        <v>1017</v>
      </c>
      <c r="E86" s="41" t="s">
        <v>1137</v>
      </c>
      <c r="F86" s="43" t="s">
        <v>177</v>
      </c>
      <c r="G86" s="41" t="s">
        <v>28</v>
      </c>
      <c r="H86" s="41"/>
      <c r="I86" s="41"/>
      <c r="J86" s="41"/>
      <c r="K86" s="41"/>
      <c r="L86" s="41"/>
      <c r="M86" s="41"/>
      <c r="N86" s="41" t="s">
        <v>32</v>
      </c>
      <c r="O86" s="65">
        <v>83.03</v>
      </c>
      <c r="P86" s="66">
        <v>1.1599999999999999</v>
      </c>
      <c r="Q86" s="3">
        <v>0</v>
      </c>
      <c r="R86" s="3"/>
      <c r="S86" s="3"/>
      <c r="T86" s="3"/>
      <c r="U86" s="67">
        <f t="shared" si="7"/>
        <v>1.1599999999999999</v>
      </c>
      <c r="V86" s="67">
        <f t="shared" si="8"/>
        <v>0</v>
      </c>
      <c r="W86" s="3"/>
      <c r="X86" s="3"/>
      <c r="Y86" s="3"/>
      <c r="Z86" s="67">
        <f t="shared" si="9"/>
        <v>1.1599999999999999</v>
      </c>
      <c r="AA86" s="67">
        <f t="shared" si="10"/>
        <v>0</v>
      </c>
      <c r="AB86" s="3"/>
      <c r="AC86" s="3"/>
      <c r="AD86" s="3"/>
      <c r="AE86" s="67">
        <f t="shared" si="11"/>
        <v>1.1599999999999999</v>
      </c>
      <c r="AF86" s="67">
        <f t="shared" si="12"/>
        <v>0</v>
      </c>
    </row>
    <row r="87" spans="1:32" ht="46.8">
      <c r="A87" s="41">
        <f t="shared" si="13"/>
        <v>85</v>
      </c>
      <c r="B87" s="42" t="s">
        <v>178</v>
      </c>
      <c r="C87" s="42" t="s">
        <v>1002</v>
      </c>
      <c r="D87" s="34" t="s">
        <v>1017</v>
      </c>
      <c r="E87" s="41" t="s">
        <v>1138</v>
      </c>
      <c r="F87" s="43" t="s">
        <v>179</v>
      </c>
      <c r="G87" s="41" t="s">
        <v>28</v>
      </c>
      <c r="H87" s="41"/>
      <c r="I87" s="41"/>
      <c r="J87" s="41"/>
      <c r="K87" s="41"/>
      <c r="L87" s="41"/>
      <c r="M87" s="41"/>
      <c r="N87" s="41" t="s">
        <v>32</v>
      </c>
      <c r="O87" s="3">
        <v>0</v>
      </c>
      <c r="P87" s="66">
        <v>0.6</v>
      </c>
      <c r="Q87" s="3">
        <v>0</v>
      </c>
      <c r="R87" s="3"/>
      <c r="S87" s="3"/>
      <c r="T87" s="3"/>
      <c r="U87" s="67">
        <f t="shared" si="7"/>
        <v>0.6</v>
      </c>
      <c r="V87" s="67">
        <f t="shared" si="8"/>
        <v>0</v>
      </c>
      <c r="W87" s="3"/>
      <c r="X87" s="3"/>
      <c r="Y87" s="3"/>
      <c r="Z87" s="67">
        <f t="shared" si="9"/>
        <v>0.6</v>
      </c>
      <c r="AA87" s="67">
        <f t="shared" si="10"/>
        <v>0</v>
      </c>
      <c r="AB87" s="3"/>
      <c r="AC87" s="3"/>
      <c r="AD87" s="3"/>
      <c r="AE87" s="67">
        <f t="shared" si="11"/>
        <v>0.6</v>
      </c>
      <c r="AF87" s="67">
        <f t="shared" si="12"/>
        <v>0</v>
      </c>
    </row>
    <row r="88" spans="1:32" ht="93.6">
      <c r="A88" s="41">
        <f t="shared" si="13"/>
        <v>86</v>
      </c>
      <c r="B88" s="42" t="s">
        <v>180</v>
      </c>
      <c r="C88" s="41" t="s">
        <v>1007</v>
      </c>
      <c r="D88" s="42" t="s">
        <v>1017</v>
      </c>
      <c r="E88" s="41" t="s">
        <v>1139</v>
      </c>
      <c r="F88" s="43" t="s">
        <v>181</v>
      </c>
      <c r="G88" s="41" t="s">
        <v>28</v>
      </c>
      <c r="H88" s="41"/>
      <c r="I88" s="41"/>
      <c r="J88" s="41"/>
      <c r="K88" s="41"/>
      <c r="L88" s="41"/>
      <c r="M88" s="41"/>
      <c r="N88" s="41" t="s">
        <v>32</v>
      </c>
      <c r="O88" s="3">
        <v>0</v>
      </c>
      <c r="P88" s="3">
        <v>0</v>
      </c>
      <c r="Q88" s="66">
        <v>3.61</v>
      </c>
      <c r="R88" s="3"/>
      <c r="S88" s="3"/>
      <c r="T88" s="3"/>
      <c r="U88" s="67">
        <f t="shared" si="7"/>
        <v>0</v>
      </c>
      <c r="V88" s="67">
        <f t="shared" si="8"/>
        <v>3.61</v>
      </c>
      <c r="W88" s="3"/>
      <c r="X88" s="3"/>
      <c r="Y88" s="3"/>
      <c r="Z88" s="67">
        <f t="shared" si="9"/>
        <v>0</v>
      </c>
      <c r="AA88" s="67">
        <f t="shared" si="10"/>
        <v>3.61</v>
      </c>
      <c r="AB88" s="3"/>
      <c r="AC88" s="3"/>
      <c r="AD88" s="3"/>
      <c r="AE88" s="67">
        <f t="shared" si="11"/>
        <v>0</v>
      </c>
      <c r="AF88" s="67">
        <f t="shared" si="12"/>
        <v>3.61</v>
      </c>
    </row>
    <row r="89" spans="1:32" ht="93.6">
      <c r="A89" s="41">
        <f t="shared" si="13"/>
        <v>87</v>
      </c>
      <c r="B89" s="42" t="s">
        <v>180</v>
      </c>
      <c r="C89" s="41" t="s">
        <v>1008</v>
      </c>
      <c r="D89" s="34" t="s">
        <v>1017</v>
      </c>
      <c r="E89" s="41" t="s">
        <v>1139</v>
      </c>
      <c r="F89" s="43" t="s">
        <v>270</v>
      </c>
      <c r="G89" s="41" t="s">
        <v>28</v>
      </c>
      <c r="H89" s="41"/>
      <c r="I89" s="41"/>
      <c r="J89" s="41"/>
      <c r="K89" s="41"/>
      <c r="L89" s="41"/>
      <c r="M89" s="41"/>
      <c r="N89" s="41" t="s">
        <v>516</v>
      </c>
      <c r="O89" s="3">
        <v>0</v>
      </c>
      <c r="P89" s="66">
        <v>3.61</v>
      </c>
      <c r="Q89" s="3">
        <v>0</v>
      </c>
      <c r="R89" s="3"/>
      <c r="S89" s="3"/>
      <c r="T89" s="3"/>
      <c r="U89" s="67">
        <f t="shared" si="7"/>
        <v>3.61</v>
      </c>
      <c r="V89" s="67">
        <f t="shared" si="8"/>
        <v>0</v>
      </c>
      <c r="W89" s="3"/>
      <c r="X89" s="3"/>
      <c r="Y89" s="3"/>
      <c r="Z89" s="67">
        <f t="shared" si="9"/>
        <v>3.61</v>
      </c>
      <c r="AA89" s="67">
        <f t="shared" si="10"/>
        <v>0</v>
      </c>
      <c r="AB89" s="3"/>
      <c r="AC89" s="3"/>
      <c r="AD89" s="3"/>
      <c r="AE89" s="67">
        <f t="shared" si="11"/>
        <v>3.61</v>
      </c>
      <c r="AF89" s="67">
        <f t="shared" si="12"/>
        <v>0</v>
      </c>
    </row>
    <row r="90" spans="1:32" ht="46.8">
      <c r="A90" s="41">
        <f t="shared" si="13"/>
        <v>88</v>
      </c>
      <c r="B90" s="42" t="s">
        <v>182</v>
      </c>
      <c r="C90" s="42" t="s">
        <v>1002</v>
      </c>
      <c r="D90" s="42" t="s">
        <v>1017</v>
      </c>
      <c r="E90" s="41" t="s">
        <v>1140</v>
      </c>
      <c r="F90" s="43" t="s">
        <v>183</v>
      </c>
      <c r="G90" s="41" t="s">
        <v>28</v>
      </c>
      <c r="H90" s="41"/>
      <c r="I90" s="41"/>
      <c r="J90" s="41"/>
      <c r="K90" s="41"/>
      <c r="L90" s="41"/>
      <c r="M90" s="41"/>
      <c r="N90" s="41" t="s">
        <v>32</v>
      </c>
      <c r="O90" s="3">
        <v>0</v>
      </c>
      <c r="P90" s="3">
        <v>0</v>
      </c>
      <c r="Q90" s="66">
        <v>2.4900000000000002</v>
      </c>
      <c r="R90" s="3"/>
      <c r="S90" s="3"/>
      <c r="T90" s="3"/>
      <c r="U90" s="67">
        <f t="shared" si="7"/>
        <v>0</v>
      </c>
      <c r="V90" s="67">
        <f t="shared" si="8"/>
        <v>2.4900000000000002</v>
      </c>
      <c r="W90" s="3"/>
      <c r="X90" s="3"/>
      <c r="Y90" s="3"/>
      <c r="Z90" s="67">
        <f t="shared" si="9"/>
        <v>0</v>
      </c>
      <c r="AA90" s="67">
        <f t="shared" si="10"/>
        <v>2.4900000000000002</v>
      </c>
      <c r="AB90" s="3"/>
      <c r="AC90" s="3"/>
      <c r="AD90" s="3"/>
      <c r="AE90" s="67">
        <f t="shared" si="11"/>
        <v>0</v>
      </c>
      <c r="AF90" s="67">
        <f t="shared" si="12"/>
        <v>2.4900000000000002</v>
      </c>
    </row>
    <row r="91" spans="1:32" ht="46.8">
      <c r="A91" s="41">
        <f t="shared" si="13"/>
        <v>89</v>
      </c>
      <c r="B91" s="42" t="s">
        <v>184</v>
      </c>
      <c r="C91" s="42" t="s">
        <v>1002</v>
      </c>
      <c r="D91" s="34" t="s">
        <v>1017</v>
      </c>
      <c r="E91" s="41" t="s">
        <v>1141</v>
      </c>
      <c r="F91" s="43" t="s">
        <v>185</v>
      </c>
      <c r="G91" s="41" t="s">
        <v>28</v>
      </c>
      <c r="H91" s="41"/>
      <c r="I91" s="41"/>
      <c r="J91" s="41"/>
      <c r="K91" s="41"/>
      <c r="L91" s="41"/>
      <c r="M91" s="41"/>
      <c r="N91" s="41" t="s">
        <v>32</v>
      </c>
      <c r="O91" s="3">
        <v>0</v>
      </c>
      <c r="P91" s="66">
        <v>1.61</v>
      </c>
      <c r="Q91" s="3">
        <v>0</v>
      </c>
      <c r="R91" s="3"/>
      <c r="S91" s="3"/>
      <c r="T91" s="3"/>
      <c r="U91" s="67">
        <f t="shared" si="7"/>
        <v>1.61</v>
      </c>
      <c r="V91" s="67">
        <f t="shared" si="8"/>
        <v>0</v>
      </c>
      <c r="W91" s="3"/>
      <c r="X91" s="3"/>
      <c r="Y91" s="3"/>
      <c r="Z91" s="67">
        <f t="shared" si="9"/>
        <v>1.61</v>
      </c>
      <c r="AA91" s="67">
        <f t="shared" si="10"/>
        <v>0</v>
      </c>
      <c r="AB91" s="3"/>
      <c r="AC91" s="3"/>
      <c r="AD91" s="3"/>
      <c r="AE91" s="67">
        <f t="shared" si="11"/>
        <v>1.61</v>
      </c>
      <c r="AF91" s="67">
        <f t="shared" si="12"/>
        <v>0</v>
      </c>
    </row>
    <row r="92" spans="1:32" ht="46.8">
      <c r="A92" s="41">
        <f t="shared" si="13"/>
        <v>90</v>
      </c>
      <c r="B92" s="42" t="s">
        <v>186</v>
      </c>
      <c r="C92" s="42" t="s">
        <v>1002</v>
      </c>
      <c r="D92" s="42" t="s">
        <v>1017</v>
      </c>
      <c r="E92" s="41" t="s">
        <v>1142</v>
      </c>
      <c r="F92" s="43" t="s">
        <v>187</v>
      </c>
      <c r="G92" s="41" t="s">
        <v>28</v>
      </c>
      <c r="H92" s="41"/>
      <c r="I92" s="41"/>
      <c r="J92" s="41"/>
      <c r="K92" s="41"/>
      <c r="L92" s="41"/>
      <c r="M92" s="41"/>
      <c r="N92" s="41" t="s">
        <v>32</v>
      </c>
      <c r="O92" s="65">
        <v>1.01</v>
      </c>
      <c r="P92" s="66">
        <v>0.94</v>
      </c>
      <c r="Q92" s="3">
        <v>0</v>
      </c>
      <c r="R92" s="3"/>
      <c r="S92" s="3"/>
      <c r="T92" s="3"/>
      <c r="U92" s="67">
        <f t="shared" si="7"/>
        <v>0.94</v>
      </c>
      <c r="V92" s="67">
        <f t="shared" si="8"/>
        <v>0</v>
      </c>
      <c r="W92" s="3"/>
      <c r="X92" s="3"/>
      <c r="Y92" s="3"/>
      <c r="Z92" s="67">
        <f t="shared" si="9"/>
        <v>0.94</v>
      </c>
      <c r="AA92" s="67">
        <f t="shared" si="10"/>
        <v>0</v>
      </c>
      <c r="AB92" s="3"/>
      <c r="AC92" s="3"/>
      <c r="AD92" s="3"/>
      <c r="AE92" s="67">
        <f t="shared" si="11"/>
        <v>0.94</v>
      </c>
      <c r="AF92" s="67">
        <f t="shared" si="12"/>
        <v>0</v>
      </c>
    </row>
    <row r="93" spans="1:32" ht="46.8">
      <c r="A93" s="41">
        <f t="shared" si="13"/>
        <v>91</v>
      </c>
      <c r="B93" s="42" t="s">
        <v>188</v>
      </c>
      <c r="C93" s="42" t="s">
        <v>1002</v>
      </c>
      <c r="D93" s="42" t="s">
        <v>1017</v>
      </c>
      <c r="E93" s="41" t="s">
        <v>1143</v>
      </c>
      <c r="F93" s="43" t="s">
        <v>189</v>
      </c>
      <c r="G93" s="41" t="s">
        <v>28</v>
      </c>
      <c r="H93" s="41"/>
      <c r="I93" s="41"/>
      <c r="J93" s="41"/>
      <c r="K93" s="41"/>
      <c r="L93" s="41"/>
      <c r="M93" s="41"/>
      <c r="N93" s="41" t="s">
        <v>32</v>
      </c>
      <c r="O93" s="3">
        <v>0</v>
      </c>
      <c r="P93" s="66">
        <v>1.02</v>
      </c>
      <c r="Q93" s="3">
        <v>0</v>
      </c>
      <c r="R93" s="3"/>
      <c r="S93" s="3"/>
      <c r="T93" s="3"/>
      <c r="U93" s="67">
        <f t="shared" si="7"/>
        <v>1.02</v>
      </c>
      <c r="V93" s="67">
        <f t="shared" si="8"/>
        <v>0</v>
      </c>
      <c r="W93" s="3"/>
      <c r="X93" s="3"/>
      <c r="Y93" s="3"/>
      <c r="Z93" s="67">
        <f t="shared" si="9"/>
        <v>1.02</v>
      </c>
      <c r="AA93" s="67">
        <f t="shared" si="10"/>
        <v>0</v>
      </c>
      <c r="AB93" s="3"/>
      <c r="AC93" s="3"/>
      <c r="AD93" s="3"/>
      <c r="AE93" s="67">
        <f t="shared" si="11"/>
        <v>1.02</v>
      </c>
      <c r="AF93" s="67">
        <f t="shared" si="12"/>
        <v>0</v>
      </c>
    </row>
    <row r="94" spans="1:32" ht="46.8">
      <c r="A94" s="41">
        <f t="shared" si="13"/>
        <v>92</v>
      </c>
      <c r="B94" s="42" t="s">
        <v>190</v>
      </c>
      <c r="C94" s="42" t="s">
        <v>1002</v>
      </c>
      <c r="D94" s="42" t="s">
        <v>1017</v>
      </c>
      <c r="E94" s="41" t="s">
        <v>1144</v>
      </c>
      <c r="F94" s="43" t="s">
        <v>191</v>
      </c>
      <c r="G94" s="41" t="s">
        <v>28</v>
      </c>
      <c r="H94" s="41"/>
      <c r="I94" s="41"/>
      <c r="J94" s="41"/>
      <c r="K94" s="41"/>
      <c r="L94" s="41"/>
      <c r="M94" s="41"/>
      <c r="N94" s="41" t="s">
        <v>32</v>
      </c>
      <c r="O94" s="3">
        <v>0</v>
      </c>
      <c r="P94" s="66">
        <v>1.48</v>
      </c>
      <c r="Q94" s="3">
        <v>0</v>
      </c>
      <c r="R94" s="3"/>
      <c r="S94" s="3"/>
      <c r="T94" s="3"/>
      <c r="U94" s="67">
        <f t="shared" si="7"/>
        <v>1.48</v>
      </c>
      <c r="V94" s="67">
        <f t="shared" si="8"/>
        <v>0</v>
      </c>
      <c r="W94" s="3"/>
      <c r="X94" s="3"/>
      <c r="Y94" s="3"/>
      <c r="Z94" s="67">
        <f t="shared" si="9"/>
        <v>1.48</v>
      </c>
      <c r="AA94" s="67">
        <f t="shared" si="10"/>
        <v>0</v>
      </c>
      <c r="AB94" s="3"/>
      <c r="AC94" s="3"/>
      <c r="AD94" s="3"/>
      <c r="AE94" s="67">
        <f t="shared" si="11"/>
        <v>1.48</v>
      </c>
      <c r="AF94" s="67">
        <f t="shared" si="12"/>
        <v>0</v>
      </c>
    </row>
    <row r="95" spans="1:32" ht="46.8">
      <c r="A95" s="41">
        <f t="shared" si="13"/>
        <v>93</v>
      </c>
      <c r="B95" s="42" t="s">
        <v>192</v>
      </c>
      <c r="C95" s="42" t="s">
        <v>1002</v>
      </c>
      <c r="D95" s="34" t="s">
        <v>1017</v>
      </c>
      <c r="E95" s="41" t="s">
        <v>1145</v>
      </c>
      <c r="F95" s="43" t="s">
        <v>193</v>
      </c>
      <c r="G95" s="41" t="s">
        <v>28</v>
      </c>
      <c r="H95" s="41"/>
      <c r="I95" s="41"/>
      <c r="J95" s="41"/>
      <c r="K95" s="41"/>
      <c r="L95" s="41"/>
      <c r="M95" s="41"/>
      <c r="N95" s="41" t="s">
        <v>32</v>
      </c>
      <c r="O95" s="3">
        <v>0</v>
      </c>
      <c r="P95" s="66">
        <v>0.42</v>
      </c>
      <c r="Q95" s="3">
        <v>0</v>
      </c>
      <c r="R95" s="3"/>
      <c r="S95" s="3"/>
      <c r="T95" s="3"/>
      <c r="U95" s="67">
        <f t="shared" si="7"/>
        <v>0.42</v>
      </c>
      <c r="V95" s="67">
        <f t="shared" si="8"/>
        <v>0</v>
      </c>
      <c r="W95" s="3"/>
      <c r="X95" s="3"/>
      <c r="Y95" s="3"/>
      <c r="Z95" s="67">
        <f t="shared" si="9"/>
        <v>0.42</v>
      </c>
      <c r="AA95" s="67">
        <f t="shared" si="10"/>
        <v>0</v>
      </c>
      <c r="AB95" s="3"/>
      <c r="AC95" s="3"/>
      <c r="AD95" s="3"/>
      <c r="AE95" s="67">
        <f t="shared" si="11"/>
        <v>0.42</v>
      </c>
      <c r="AF95" s="67">
        <f t="shared" si="12"/>
        <v>0</v>
      </c>
    </row>
    <row r="96" spans="1:32" ht="62.4">
      <c r="A96" s="41">
        <f t="shared" si="13"/>
        <v>94</v>
      </c>
      <c r="B96" s="42" t="s">
        <v>194</v>
      </c>
      <c r="C96" s="42" t="s">
        <v>1002</v>
      </c>
      <c r="D96" s="42" t="s">
        <v>1017</v>
      </c>
      <c r="E96" s="41" t="s">
        <v>1146</v>
      </c>
      <c r="F96" s="43" t="s">
        <v>195</v>
      </c>
      <c r="G96" s="41" t="s">
        <v>28</v>
      </c>
      <c r="H96" s="41"/>
      <c r="I96" s="41"/>
      <c r="J96" s="41"/>
      <c r="K96" s="41"/>
      <c r="L96" s="41"/>
      <c r="M96" s="41"/>
      <c r="N96" s="41" t="s">
        <v>32</v>
      </c>
      <c r="O96" s="3">
        <v>0</v>
      </c>
      <c r="P96" s="66">
        <v>2.97</v>
      </c>
      <c r="Q96" s="3">
        <v>0</v>
      </c>
      <c r="R96" s="3"/>
      <c r="S96" s="3"/>
      <c r="T96" s="3"/>
      <c r="U96" s="67">
        <f t="shared" si="7"/>
        <v>2.97</v>
      </c>
      <c r="V96" s="67">
        <f t="shared" si="8"/>
        <v>0</v>
      </c>
      <c r="W96" s="3"/>
      <c r="X96" s="3"/>
      <c r="Y96" s="3"/>
      <c r="Z96" s="67">
        <f t="shared" si="9"/>
        <v>2.97</v>
      </c>
      <c r="AA96" s="67">
        <f t="shared" si="10"/>
        <v>0</v>
      </c>
      <c r="AB96" s="3"/>
      <c r="AC96" s="3"/>
      <c r="AD96" s="3"/>
      <c r="AE96" s="67">
        <f t="shared" si="11"/>
        <v>2.97</v>
      </c>
      <c r="AF96" s="67">
        <f t="shared" si="12"/>
        <v>0</v>
      </c>
    </row>
    <row r="97" spans="1:32" ht="46.8">
      <c r="A97" s="41">
        <f t="shared" si="13"/>
        <v>95</v>
      </c>
      <c r="B97" s="42" t="s">
        <v>196</v>
      </c>
      <c r="C97" s="42" t="s">
        <v>1002</v>
      </c>
      <c r="D97" s="42" t="s">
        <v>1017</v>
      </c>
      <c r="E97" s="41" t="s">
        <v>1147</v>
      </c>
      <c r="F97" s="43" t="s">
        <v>197</v>
      </c>
      <c r="G97" s="41" t="s">
        <v>28</v>
      </c>
      <c r="H97" s="41"/>
      <c r="I97" s="41"/>
      <c r="J97" s="41"/>
      <c r="K97" s="41"/>
      <c r="L97" s="41"/>
      <c r="M97" s="41"/>
      <c r="N97" s="41" t="s">
        <v>32</v>
      </c>
      <c r="O97" s="3">
        <v>0</v>
      </c>
      <c r="P97" s="3">
        <v>0</v>
      </c>
      <c r="Q97" s="66">
        <v>1.01</v>
      </c>
      <c r="R97" s="3"/>
      <c r="S97" s="3"/>
      <c r="T97" s="3"/>
      <c r="U97" s="67">
        <f t="shared" si="7"/>
        <v>0</v>
      </c>
      <c r="V97" s="67">
        <f t="shared" si="8"/>
        <v>1.01</v>
      </c>
      <c r="W97" s="3"/>
      <c r="X97" s="3"/>
      <c r="Y97" s="3"/>
      <c r="Z97" s="67">
        <f t="shared" si="9"/>
        <v>0</v>
      </c>
      <c r="AA97" s="67">
        <f t="shared" si="10"/>
        <v>1.01</v>
      </c>
      <c r="AB97" s="3"/>
      <c r="AC97" s="3"/>
      <c r="AD97" s="3"/>
      <c r="AE97" s="67">
        <f t="shared" si="11"/>
        <v>0</v>
      </c>
      <c r="AF97" s="67">
        <f t="shared" si="12"/>
        <v>1.01</v>
      </c>
    </row>
    <row r="98" spans="1:32" ht="46.8">
      <c r="A98" s="41">
        <f t="shared" si="13"/>
        <v>96</v>
      </c>
      <c r="B98" s="42" t="s">
        <v>198</v>
      </c>
      <c r="C98" s="42" t="s">
        <v>1002</v>
      </c>
      <c r="D98" s="42" t="s">
        <v>1017</v>
      </c>
      <c r="E98" s="41" t="s">
        <v>1148</v>
      </c>
      <c r="F98" s="43" t="s">
        <v>199</v>
      </c>
      <c r="G98" s="41" t="s">
        <v>28</v>
      </c>
      <c r="H98" s="41"/>
      <c r="I98" s="41"/>
      <c r="J98" s="41"/>
      <c r="K98" s="41"/>
      <c r="L98" s="41"/>
      <c r="M98" s="65">
        <v>106.69</v>
      </c>
      <c r="N98" s="41" t="s">
        <v>32</v>
      </c>
      <c r="O98" s="65">
        <v>72.430000000000007</v>
      </c>
      <c r="P98" s="66">
        <v>0.53</v>
      </c>
      <c r="Q98" s="3">
        <v>0</v>
      </c>
      <c r="R98" s="3"/>
      <c r="S98" s="3"/>
      <c r="T98" s="3"/>
      <c r="U98" s="67">
        <f t="shared" si="7"/>
        <v>0.53</v>
      </c>
      <c r="V98" s="67">
        <f t="shared" si="8"/>
        <v>0</v>
      </c>
      <c r="W98" s="3"/>
      <c r="X98" s="3"/>
      <c r="Y98" s="3"/>
      <c r="Z98" s="67">
        <f t="shared" si="9"/>
        <v>0.53</v>
      </c>
      <c r="AA98" s="67">
        <f t="shared" si="10"/>
        <v>0</v>
      </c>
      <c r="AB98" s="3"/>
      <c r="AC98" s="3"/>
      <c r="AD98" s="3"/>
      <c r="AE98" s="67">
        <f t="shared" si="11"/>
        <v>0.53</v>
      </c>
      <c r="AF98" s="67">
        <f t="shared" si="12"/>
        <v>0</v>
      </c>
    </row>
    <row r="99" spans="1:32" ht="46.8">
      <c r="A99" s="41">
        <f t="shared" si="13"/>
        <v>97</v>
      </c>
      <c r="B99" s="34"/>
      <c r="C99" s="42" t="s">
        <v>1002</v>
      </c>
      <c r="D99" s="42" t="s">
        <v>1017</v>
      </c>
      <c r="E99" s="41" t="s">
        <v>1149</v>
      </c>
      <c r="F99" s="43" t="s">
        <v>880</v>
      </c>
      <c r="G99" s="41" t="s">
        <v>28</v>
      </c>
      <c r="H99" s="41"/>
      <c r="I99" s="41"/>
      <c r="J99" s="41"/>
      <c r="K99" s="41"/>
      <c r="L99" s="41"/>
      <c r="M99" s="41"/>
      <c r="N99" s="41" t="s">
        <v>29</v>
      </c>
      <c r="O99" s="3">
        <v>0</v>
      </c>
      <c r="P99" s="3">
        <v>0</v>
      </c>
      <c r="Q99" s="66">
        <v>1</v>
      </c>
      <c r="R99" s="3"/>
      <c r="S99" s="3"/>
      <c r="T99" s="3"/>
      <c r="U99" s="67">
        <f t="shared" si="7"/>
        <v>0</v>
      </c>
      <c r="V99" s="67">
        <f t="shared" si="8"/>
        <v>1</v>
      </c>
      <c r="W99" s="3"/>
      <c r="X99" s="3"/>
      <c r="Y99" s="3"/>
      <c r="Z99" s="67">
        <f t="shared" si="9"/>
        <v>0</v>
      </c>
      <c r="AA99" s="67">
        <f t="shared" si="10"/>
        <v>1</v>
      </c>
      <c r="AB99" s="3"/>
      <c r="AC99" s="3"/>
      <c r="AD99" s="3"/>
      <c r="AE99" s="67">
        <f t="shared" si="11"/>
        <v>0</v>
      </c>
      <c r="AF99" s="67">
        <f t="shared" si="12"/>
        <v>1</v>
      </c>
    </row>
    <row r="100" spans="1:32" ht="46.8">
      <c r="A100" s="41">
        <f t="shared" si="13"/>
        <v>98</v>
      </c>
      <c r="B100" s="42" t="s">
        <v>200</v>
      </c>
      <c r="C100" s="42" t="s">
        <v>1002</v>
      </c>
      <c r="D100" s="42" t="s">
        <v>1017</v>
      </c>
      <c r="E100" s="41" t="s">
        <v>1150</v>
      </c>
      <c r="F100" s="43" t="s">
        <v>201</v>
      </c>
      <c r="G100" s="41" t="s">
        <v>28</v>
      </c>
      <c r="H100" s="41">
        <v>2</v>
      </c>
      <c r="I100" s="41" t="s">
        <v>202</v>
      </c>
      <c r="J100" s="41" t="s">
        <v>202</v>
      </c>
      <c r="K100" s="41" t="s">
        <v>203</v>
      </c>
      <c r="L100" s="41">
        <v>33.49</v>
      </c>
      <c r="M100" s="41"/>
      <c r="N100" s="41" t="s">
        <v>29</v>
      </c>
      <c r="O100" s="65">
        <v>35.369999999999997</v>
      </c>
      <c r="P100" s="3">
        <v>0</v>
      </c>
      <c r="Q100" s="66">
        <v>36.49</v>
      </c>
      <c r="R100" s="3"/>
      <c r="S100" s="3"/>
      <c r="T100" s="3"/>
      <c r="U100" s="67">
        <f t="shared" si="7"/>
        <v>0</v>
      </c>
      <c r="V100" s="67">
        <f t="shared" si="8"/>
        <v>36.49</v>
      </c>
      <c r="W100" s="154">
        <f>0.1433447+0.0623836+0.0381047+0.1245718</f>
        <v>0.36840479999999998</v>
      </c>
      <c r="X100" s="3"/>
      <c r="Y100" s="3"/>
      <c r="Z100" s="67">
        <f t="shared" si="9"/>
        <v>0</v>
      </c>
      <c r="AA100" s="67">
        <f t="shared" si="10"/>
        <v>36.858404800000002</v>
      </c>
      <c r="AB100" s="3"/>
      <c r="AC100" s="3"/>
      <c r="AD100" s="3"/>
      <c r="AE100" s="67">
        <f t="shared" si="11"/>
        <v>0</v>
      </c>
      <c r="AF100" s="67">
        <f t="shared" si="12"/>
        <v>36.858404800000002</v>
      </c>
    </row>
    <row r="101" spans="1:32" ht="46.8">
      <c r="A101" s="41">
        <f t="shared" si="13"/>
        <v>99</v>
      </c>
      <c r="B101" s="42" t="s">
        <v>204</v>
      </c>
      <c r="C101" s="42" t="s">
        <v>1002</v>
      </c>
      <c r="D101" s="41" t="s">
        <v>1017</v>
      </c>
      <c r="E101" s="41" t="s">
        <v>1151</v>
      </c>
      <c r="F101" s="43" t="s">
        <v>205</v>
      </c>
      <c r="G101" s="41" t="s">
        <v>28</v>
      </c>
      <c r="H101" s="41"/>
      <c r="I101" s="41"/>
      <c r="J101" s="41"/>
      <c r="K101" s="41"/>
      <c r="L101" s="41"/>
      <c r="M101" s="41"/>
      <c r="N101" s="41" t="s">
        <v>32</v>
      </c>
      <c r="O101" s="3">
        <v>0</v>
      </c>
      <c r="P101" s="66">
        <v>0.12</v>
      </c>
      <c r="Q101" s="3">
        <v>0</v>
      </c>
      <c r="R101" s="3"/>
      <c r="S101" s="3"/>
      <c r="T101" s="3"/>
      <c r="U101" s="67">
        <f t="shared" si="7"/>
        <v>0.12</v>
      </c>
      <c r="V101" s="67">
        <f t="shared" si="8"/>
        <v>0</v>
      </c>
      <c r="W101" s="3"/>
      <c r="X101" s="3"/>
      <c r="Y101" s="3"/>
      <c r="Z101" s="67">
        <f t="shared" si="9"/>
        <v>0.12</v>
      </c>
      <c r="AA101" s="67">
        <f t="shared" si="10"/>
        <v>0</v>
      </c>
      <c r="AB101" s="3"/>
      <c r="AC101" s="3"/>
      <c r="AD101" s="3"/>
      <c r="AE101" s="67">
        <f t="shared" si="11"/>
        <v>0.12</v>
      </c>
      <c r="AF101" s="67">
        <f t="shared" si="12"/>
        <v>0</v>
      </c>
    </row>
    <row r="102" spans="1:32" ht="46.8">
      <c r="A102" s="41">
        <f t="shared" si="13"/>
        <v>100</v>
      </c>
      <c r="B102" s="42" t="s">
        <v>206</v>
      </c>
      <c r="C102" s="42" t="s">
        <v>1002</v>
      </c>
      <c r="D102" s="41" t="s">
        <v>1017</v>
      </c>
      <c r="E102" s="41" t="s">
        <v>1152</v>
      </c>
      <c r="F102" s="43" t="s">
        <v>207</v>
      </c>
      <c r="G102" s="41" t="s">
        <v>28</v>
      </c>
      <c r="H102" s="41"/>
      <c r="I102" s="41"/>
      <c r="J102" s="41"/>
      <c r="K102" s="41"/>
      <c r="L102" s="41"/>
      <c r="M102" s="41"/>
      <c r="N102" s="41" t="s">
        <v>32</v>
      </c>
      <c r="O102" s="3">
        <v>0</v>
      </c>
      <c r="P102" s="66">
        <v>0.71</v>
      </c>
      <c r="Q102" s="3">
        <v>0</v>
      </c>
      <c r="R102" s="3"/>
      <c r="S102" s="3"/>
      <c r="T102" s="3"/>
      <c r="U102" s="67">
        <f t="shared" si="7"/>
        <v>0.71</v>
      </c>
      <c r="V102" s="67">
        <f t="shared" si="8"/>
        <v>0</v>
      </c>
      <c r="W102" s="3"/>
      <c r="X102" s="3"/>
      <c r="Y102" s="3"/>
      <c r="Z102" s="67">
        <f t="shared" si="9"/>
        <v>0.71</v>
      </c>
      <c r="AA102" s="67">
        <f t="shared" si="10"/>
        <v>0</v>
      </c>
      <c r="AB102" s="3"/>
      <c r="AC102" s="3"/>
      <c r="AD102" s="3"/>
      <c r="AE102" s="67">
        <f t="shared" si="11"/>
        <v>0.71</v>
      </c>
      <c r="AF102" s="67">
        <f t="shared" si="12"/>
        <v>0</v>
      </c>
    </row>
    <row r="103" spans="1:32" ht="46.8">
      <c r="A103" s="41">
        <f t="shared" si="13"/>
        <v>101</v>
      </c>
      <c r="B103" s="42" t="s">
        <v>208</v>
      </c>
      <c r="C103" s="42" t="s">
        <v>1002</v>
      </c>
      <c r="D103" s="41" t="s">
        <v>1017</v>
      </c>
      <c r="E103" s="41" t="s">
        <v>1153</v>
      </c>
      <c r="F103" s="43" t="s">
        <v>209</v>
      </c>
      <c r="G103" s="41" t="s">
        <v>28</v>
      </c>
      <c r="H103" s="41"/>
      <c r="I103" s="41"/>
      <c r="J103" s="41"/>
      <c r="K103" s="41"/>
      <c r="L103" s="41"/>
      <c r="M103" s="41"/>
      <c r="N103" s="41" t="s">
        <v>32</v>
      </c>
      <c r="O103" s="3">
        <v>0</v>
      </c>
      <c r="P103" s="66">
        <v>0.18</v>
      </c>
      <c r="Q103" s="3">
        <v>0</v>
      </c>
      <c r="R103" s="3"/>
      <c r="S103" s="3"/>
      <c r="T103" s="3"/>
      <c r="U103" s="67">
        <f t="shared" si="7"/>
        <v>0.18</v>
      </c>
      <c r="V103" s="67">
        <f t="shared" si="8"/>
        <v>0</v>
      </c>
      <c r="W103" s="3"/>
      <c r="X103" s="3"/>
      <c r="Y103" s="3"/>
      <c r="Z103" s="67">
        <f t="shared" si="9"/>
        <v>0.18</v>
      </c>
      <c r="AA103" s="67">
        <f t="shared" si="10"/>
        <v>0</v>
      </c>
      <c r="AB103" s="3"/>
      <c r="AC103" s="3"/>
      <c r="AD103" s="3"/>
      <c r="AE103" s="67">
        <f t="shared" si="11"/>
        <v>0.18</v>
      </c>
      <c r="AF103" s="67">
        <f t="shared" si="12"/>
        <v>0</v>
      </c>
    </row>
    <row r="104" spans="1:32" ht="62.4">
      <c r="A104" s="41">
        <f t="shared" si="13"/>
        <v>102</v>
      </c>
      <c r="B104" s="42" t="s">
        <v>210</v>
      </c>
      <c r="C104" s="42" t="s">
        <v>1002</v>
      </c>
      <c r="D104" s="41" t="s">
        <v>1017</v>
      </c>
      <c r="E104" s="41" t="s">
        <v>1154</v>
      </c>
      <c r="F104" s="43" t="s">
        <v>211</v>
      </c>
      <c r="G104" s="41" t="s">
        <v>28</v>
      </c>
      <c r="H104" s="41">
        <v>6</v>
      </c>
      <c r="I104" s="64">
        <v>42229</v>
      </c>
      <c r="J104" s="64">
        <v>42229</v>
      </c>
      <c r="K104" s="64">
        <v>42533</v>
      </c>
      <c r="L104" s="65">
        <v>43.08</v>
      </c>
      <c r="M104" s="41">
        <v>60</v>
      </c>
      <c r="N104" s="41" t="s">
        <v>32</v>
      </c>
      <c r="O104" s="65">
        <v>43.08</v>
      </c>
      <c r="P104" s="66">
        <v>5.92</v>
      </c>
      <c r="Q104" s="3">
        <v>0</v>
      </c>
      <c r="R104" s="3"/>
      <c r="S104" s="3"/>
      <c r="T104" s="3"/>
      <c r="U104" s="67">
        <f t="shared" si="7"/>
        <v>5.92</v>
      </c>
      <c r="V104" s="67">
        <f t="shared" si="8"/>
        <v>0</v>
      </c>
      <c r="W104" s="3"/>
      <c r="X104" s="3"/>
      <c r="Y104" s="3"/>
      <c r="Z104" s="67">
        <f t="shared" si="9"/>
        <v>5.92</v>
      </c>
      <c r="AA104" s="67">
        <f t="shared" si="10"/>
        <v>0</v>
      </c>
      <c r="AB104" s="3"/>
      <c r="AC104" s="3"/>
      <c r="AD104" s="3"/>
      <c r="AE104" s="67">
        <f t="shared" si="11"/>
        <v>5.92</v>
      </c>
      <c r="AF104" s="67">
        <f t="shared" si="12"/>
        <v>0</v>
      </c>
    </row>
    <row r="105" spans="1:32" ht="46.8">
      <c r="A105" s="41">
        <f t="shared" si="13"/>
        <v>103</v>
      </c>
      <c r="B105" s="42" t="s">
        <v>214</v>
      </c>
      <c r="C105" s="42" t="s">
        <v>1002</v>
      </c>
      <c r="D105" s="34" t="s">
        <v>1017</v>
      </c>
      <c r="E105" s="41" t="s">
        <v>1155</v>
      </c>
      <c r="F105" s="43" t="s">
        <v>215</v>
      </c>
      <c r="G105" s="41" t="s">
        <v>28</v>
      </c>
      <c r="H105" s="41"/>
      <c r="I105" s="41"/>
      <c r="J105" s="41"/>
      <c r="K105" s="41"/>
      <c r="L105" s="41"/>
      <c r="M105" s="41"/>
      <c r="N105" s="41" t="s">
        <v>32</v>
      </c>
      <c r="O105" s="3">
        <v>0</v>
      </c>
      <c r="P105" s="66">
        <v>0.21</v>
      </c>
      <c r="Q105" s="3">
        <v>0</v>
      </c>
      <c r="R105" s="3"/>
      <c r="S105" s="3"/>
      <c r="T105" s="3"/>
      <c r="U105" s="67">
        <f t="shared" si="7"/>
        <v>0.21</v>
      </c>
      <c r="V105" s="67">
        <f t="shared" si="8"/>
        <v>0</v>
      </c>
      <c r="W105" s="3"/>
      <c r="X105" s="3"/>
      <c r="Y105" s="3"/>
      <c r="Z105" s="67">
        <f t="shared" si="9"/>
        <v>0.21</v>
      </c>
      <c r="AA105" s="67">
        <f t="shared" si="10"/>
        <v>0</v>
      </c>
      <c r="AB105" s="3"/>
      <c r="AC105" s="3"/>
      <c r="AD105" s="3"/>
      <c r="AE105" s="67">
        <f t="shared" si="11"/>
        <v>0.21</v>
      </c>
      <c r="AF105" s="67">
        <f t="shared" si="12"/>
        <v>0</v>
      </c>
    </row>
    <row r="106" spans="1:32" ht="46.8">
      <c r="A106" s="41">
        <f t="shared" si="13"/>
        <v>104</v>
      </c>
      <c r="B106" s="42" t="s">
        <v>216</v>
      </c>
      <c r="C106" s="42" t="s">
        <v>1002</v>
      </c>
      <c r="D106" s="34" t="s">
        <v>1017</v>
      </c>
      <c r="E106" s="41" t="s">
        <v>1156</v>
      </c>
      <c r="F106" s="43" t="s">
        <v>217</v>
      </c>
      <c r="G106" s="41" t="s">
        <v>28</v>
      </c>
      <c r="H106" s="41"/>
      <c r="I106" s="41"/>
      <c r="J106" s="41"/>
      <c r="K106" s="41"/>
      <c r="L106" s="41"/>
      <c r="M106" s="41"/>
      <c r="N106" s="41" t="s">
        <v>32</v>
      </c>
      <c r="O106" s="3">
        <v>0</v>
      </c>
      <c r="P106" s="66">
        <v>0.13</v>
      </c>
      <c r="Q106" s="3">
        <v>0</v>
      </c>
      <c r="R106" s="3"/>
      <c r="S106" s="3"/>
      <c r="T106" s="3"/>
      <c r="U106" s="67">
        <f t="shared" si="7"/>
        <v>0.13</v>
      </c>
      <c r="V106" s="67">
        <f t="shared" si="8"/>
        <v>0</v>
      </c>
      <c r="W106" s="3"/>
      <c r="X106" s="3"/>
      <c r="Y106" s="3"/>
      <c r="Z106" s="67">
        <f t="shared" si="9"/>
        <v>0.13</v>
      </c>
      <c r="AA106" s="67">
        <f t="shared" si="10"/>
        <v>0</v>
      </c>
      <c r="AB106" s="3"/>
      <c r="AC106" s="3"/>
      <c r="AD106" s="3"/>
      <c r="AE106" s="67">
        <f t="shared" si="11"/>
        <v>0.13</v>
      </c>
      <c r="AF106" s="67">
        <f t="shared" si="12"/>
        <v>0</v>
      </c>
    </row>
    <row r="107" spans="1:32" ht="62.4">
      <c r="A107" s="41">
        <f t="shared" si="13"/>
        <v>105</v>
      </c>
      <c r="B107" s="42" t="s">
        <v>218</v>
      </c>
      <c r="C107" s="42" t="s">
        <v>1002</v>
      </c>
      <c r="D107" s="41" t="s">
        <v>1017</v>
      </c>
      <c r="E107" s="41" t="s">
        <v>1157</v>
      </c>
      <c r="F107" s="43" t="s">
        <v>219</v>
      </c>
      <c r="G107" s="41" t="s">
        <v>28</v>
      </c>
      <c r="H107" s="41"/>
      <c r="I107" s="41"/>
      <c r="J107" s="41"/>
      <c r="K107" s="41"/>
      <c r="L107" s="41"/>
      <c r="M107" s="41"/>
      <c r="N107" s="41" t="s">
        <v>32</v>
      </c>
      <c r="O107" s="3">
        <v>0</v>
      </c>
      <c r="P107" s="66">
        <v>1.45</v>
      </c>
      <c r="Q107" s="3">
        <v>0</v>
      </c>
      <c r="R107" s="3"/>
      <c r="S107" s="3"/>
      <c r="T107" s="3"/>
      <c r="U107" s="67">
        <f t="shared" si="7"/>
        <v>1.45</v>
      </c>
      <c r="V107" s="67">
        <f t="shared" si="8"/>
        <v>0</v>
      </c>
      <c r="W107" s="3"/>
      <c r="X107" s="3"/>
      <c r="Y107" s="3"/>
      <c r="Z107" s="67">
        <f t="shared" si="9"/>
        <v>1.45</v>
      </c>
      <c r="AA107" s="67">
        <f t="shared" si="10"/>
        <v>0</v>
      </c>
      <c r="AB107" s="3"/>
      <c r="AC107" s="3"/>
      <c r="AD107" s="3"/>
      <c r="AE107" s="67">
        <f t="shared" si="11"/>
        <v>1.45</v>
      </c>
      <c r="AF107" s="67">
        <f t="shared" si="12"/>
        <v>0</v>
      </c>
    </row>
    <row r="108" spans="1:32" ht="46.8">
      <c r="A108" s="41">
        <f t="shared" si="13"/>
        <v>106</v>
      </c>
      <c r="B108" s="42" t="s">
        <v>220</v>
      </c>
      <c r="C108" s="42" t="s">
        <v>1002</v>
      </c>
      <c r="D108" s="41" t="s">
        <v>1017</v>
      </c>
      <c r="E108" s="41" t="s">
        <v>1158</v>
      </c>
      <c r="F108" s="43" t="s">
        <v>221</v>
      </c>
      <c r="G108" s="41" t="s">
        <v>28</v>
      </c>
      <c r="H108" s="41"/>
      <c r="I108" s="41"/>
      <c r="J108" s="41"/>
      <c r="K108" s="41"/>
      <c r="L108" s="41"/>
      <c r="M108" s="41"/>
      <c r="N108" s="41" t="s">
        <v>32</v>
      </c>
      <c r="O108" s="3">
        <v>0</v>
      </c>
      <c r="P108" s="66">
        <v>1.27</v>
      </c>
      <c r="Q108" s="3">
        <v>0</v>
      </c>
      <c r="R108" s="3"/>
      <c r="S108" s="3"/>
      <c r="T108" s="3"/>
      <c r="U108" s="67">
        <f t="shared" si="7"/>
        <v>1.27</v>
      </c>
      <c r="V108" s="67">
        <f t="shared" si="8"/>
        <v>0</v>
      </c>
      <c r="W108" s="3"/>
      <c r="X108" s="3"/>
      <c r="Y108" s="3"/>
      <c r="Z108" s="67">
        <f t="shared" si="9"/>
        <v>1.27</v>
      </c>
      <c r="AA108" s="67">
        <f t="shared" si="10"/>
        <v>0</v>
      </c>
      <c r="AB108" s="3"/>
      <c r="AC108" s="3"/>
      <c r="AD108" s="3"/>
      <c r="AE108" s="67">
        <f t="shared" si="11"/>
        <v>1.27</v>
      </c>
      <c r="AF108" s="67">
        <f t="shared" si="12"/>
        <v>0</v>
      </c>
    </row>
    <row r="109" spans="1:32" ht="62.4">
      <c r="A109" s="41">
        <f t="shared" si="13"/>
        <v>107</v>
      </c>
      <c r="B109" s="42" t="s">
        <v>997</v>
      </c>
      <c r="C109" s="42" t="s">
        <v>1002</v>
      </c>
      <c r="D109" s="34" t="s">
        <v>1017</v>
      </c>
      <c r="E109" s="41" t="s">
        <v>1159</v>
      </c>
      <c r="F109" s="43" t="s">
        <v>222</v>
      </c>
      <c r="G109" s="41" t="s">
        <v>28</v>
      </c>
      <c r="H109" s="41"/>
      <c r="I109" s="41"/>
      <c r="J109" s="41"/>
      <c r="K109" s="41"/>
      <c r="L109" s="41"/>
      <c r="M109" s="41"/>
      <c r="N109" s="41" t="s">
        <v>32</v>
      </c>
      <c r="O109" s="3">
        <v>0</v>
      </c>
      <c r="P109" s="66">
        <v>8.4</v>
      </c>
      <c r="Q109" s="3">
        <v>0</v>
      </c>
      <c r="R109" s="3"/>
      <c r="S109" s="3"/>
      <c r="T109" s="3"/>
      <c r="U109" s="67">
        <f t="shared" si="7"/>
        <v>8.4</v>
      </c>
      <c r="V109" s="67">
        <f t="shared" si="8"/>
        <v>0</v>
      </c>
      <c r="W109" s="3"/>
      <c r="X109" s="3"/>
      <c r="Y109" s="3"/>
      <c r="Z109" s="67">
        <f t="shared" si="9"/>
        <v>8.4</v>
      </c>
      <c r="AA109" s="67">
        <f t="shared" si="10"/>
        <v>0</v>
      </c>
      <c r="AB109" s="3"/>
      <c r="AC109" s="3"/>
      <c r="AD109" s="3"/>
      <c r="AE109" s="67">
        <f t="shared" si="11"/>
        <v>8.4</v>
      </c>
      <c r="AF109" s="67">
        <f t="shared" si="12"/>
        <v>0</v>
      </c>
    </row>
    <row r="110" spans="1:32" ht="46.8">
      <c r="A110" s="41">
        <f t="shared" si="13"/>
        <v>108</v>
      </c>
      <c r="B110" s="42" t="s">
        <v>223</v>
      </c>
      <c r="C110" s="42" t="s">
        <v>1002</v>
      </c>
      <c r="D110" s="41" t="s">
        <v>1017</v>
      </c>
      <c r="E110" s="41" t="s">
        <v>1160</v>
      </c>
      <c r="F110" s="43" t="s">
        <v>224</v>
      </c>
      <c r="G110" s="41" t="s">
        <v>28</v>
      </c>
      <c r="H110" s="41">
        <v>3</v>
      </c>
      <c r="I110" s="41" t="s">
        <v>225</v>
      </c>
      <c r="J110" s="41" t="s">
        <v>225</v>
      </c>
      <c r="K110" s="41" t="s">
        <v>226</v>
      </c>
      <c r="L110" s="41">
        <v>31.43</v>
      </c>
      <c r="M110" s="41">
        <v>38.93</v>
      </c>
      <c r="N110" s="41" t="s">
        <v>29</v>
      </c>
      <c r="O110" s="65">
        <v>32.67</v>
      </c>
      <c r="P110" s="66">
        <v>31.88</v>
      </c>
      <c r="Q110" s="3">
        <v>0</v>
      </c>
      <c r="R110" s="3"/>
      <c r="S110" s="3"/>
      <c r="T110" s="3"/>
      <c r="U110" s="67">
        <f t="shared" si="7"/>
        <v>31.88</v>
      </c>
      <c r="V110" s="67">
        <f t="shared" si="8"/>
        <v>0</v>
      </c>
      <c r="W110" s="3"/>
      <c r="X110" s="3"/>
      <c r="Y110" s="3"/>
      <c r="Z110" s="67">
        <f t="shared" si="9"/>
        <v>31.88</v>
      </c>
      <c r="AA110" s="67">
        <f t="shared" si="10"/>
        <v>0</v>
      </c>
      <c r="AB110" s="3"/>
      <c r="AC110" s="3"/>
      <c r="AD110" s="3"/>
      <c r="AE110" s="67">
        <f t="shared" si="11"/>
        <v>31.88</v>
      </c>
      <c r="AF110" s="67">
        <f t="shared" si="12"/>
        <v>0</v>
      </c>
    </row>
    <row r="111" spans="1:32" ht="46.8">
      <c r="A111" s="41">
        <f t="shared" si="13"/>
        <v>109</v>
      </c>
      <c r="B111" s="42" t="s">
        <v>227</v>
      </c>
      <c r="C111" s="42" t="s">
        <v>1002</v>
      </c>
      <c r="D111" s="41" t="s">
        <v>1017</v>
      </c>
      <c r="E111" s="41" t="s">
        <v>1161</v>
      </c>
      <c r="F111" s="43" t="s">
        <v>228</v>
      </c>
      <c r="G111" s="41" t="s">
        <v>28</v>
      </c>
      <c r="H111" s="41"/>
      <c r="I111" s="41"/>
      <c r="J111" s="41"/>
      <c r="K111" s="41"/>
      <c r="L111" s="41"/>
      <c r="M111" s="41"/>
      <c r="N111" s="41" t="s">
        <v>29</v>
      </c>
      <c r="O111" s="3">
        <v>0</v>
      </c>
      <c r="P111" s="66">
        <v>9.56</v>
      </c>
      <c r="Q111" s="3">
        <v>0</v>
      </c>
      <c r="R111" s="3"/>
      <c r="S111" s="3"/>
      <c r="T111" s="3"/>
      <c r="U111" s="67">
        <f t="shared" si="7"/>
        <v>9.56</v>
      </c>
      <c r="V111" s="67">
        <f t="shared" si="8"/>
        <v>0</v>
      </c>
      <c r="W111" s="3"/>
      <c r="X111" s="3"/>
      <c r="Y111" s="3"/>
      <c r="Z111" s="67">
        <f t="shared" si="9"/>
        <v>9.56</v>
      </c>
      <c r="AA111" s="67">
        <f t="shared" si="10"/>
        <v>0</v>
      </c>
      <c r="AB111" s="3"/>
      <c r="AC111" s="3"/>
      <c r="AD111" s="3"/>
      <c r="AE111" s="67">
        <f t="shared" si="11"/>
        <v>9.56</v>
      </c>
      <c r="AF111" s="67">
        <f t="shared" si="12"/>
        <v>0</v>
      </c>
    </row>
    <row r="112" spans="1:32" ht="46.8">
      <c r="A112" s="41">
        <f t="shared" si="13"/>
        <v>110</v>
      </c>
      <c r="B112" s="42" t="s">
        <v>229</v>
      </c>
      <c r="C112" s="42" t="s">
        <v>1002</v>
      </c>
      <c r="D112" s="34" t="s">
        <v>1017</v>
      </c>
      <c r="E112" s="41" t="s">
        <v>1162</v>
      </c>
      <c r="F112" s="43" t="s">
        <v>230</v>
      </c>
      <c r="G112" s="41" t="s">
        <v>28</v>
      </c>
      <c r="H112" s="41">
        <v>2</v>
      </c>
      <c r="I112" s="41" t="s">
        <v>231</v>
      </c>
      <c r="J112" s="41" t="s">
        <v>231</v>
      </c>
      <c r="K112" s="41" t="s">
        <v>232</v>
      </c>
      <c r="L112" s="41">
        <v>16.329999999999998</v>
      </c>
      <c r="M112" s="41"/>
      <c r="N112" s="41" t="s">
        <v>29</v>
      </c>
      <c r="O112" s="65">
        <v>15.97</v>
      </c>
      <c r="P112" s="66">
        <v>16.41</v>
      </c>
      <c r="Q112" s="3">
        <v>0</v>
      </c>
      <c r="R112" s="3"/>
      <c r="S112" s="3"/>
      <c r="T112" s="3"/>
      <c r="U112" s="67">
        <f t="shared" si="7"/>
        <v>16.41</v>
      </c>
      <c r="V112" s="67">
        <f t="shared" si="8"/>
        <v>0</v>
      </c>
      <c r="W112" s="3"/>
      <c r="X112" s="3"/>
      <c r="Y112" s="3"/>
      <c r="Z112" s="67">
        <f t="shared" si="9"/>
        <v>16.41</v>
      </c>
      <c r="AA112" s="67">
        <f t="shared" si="10"/>
        <v>0</v>
      </c>
      <c r="AB112" s="3"/>
      <c r="AC112" s="3"/>
      <c r="AD112" s="3"/>
      <c r="AE112" s="67">
        <f t="shared" si="11"/>
        <v>16.41</v>
      </c>
      <c r="AF112" s="67">
        <f t="shared" si="12"/>
        <v>0</v>
      </c>
    </row>
    <row r="113" spans="1:32" ht="46.8">
      <c r="A113" s="41">
        <f t="shared" si="13"/>
        <v>111</v>
      </c>
      <c r="B113" s="42" t="s">
        <v>233</v>
      </c>
      <c r="C113" s="42" t="s">
        <v>1002</v>
      </c>
      <c r="D113" s="41" t="s">
        <v>1017</v>
      </c>
      <c r="E113" s="41" t="s">
        <v>1163</v>
      </c>
      <c r="F113" s="43" t="s">
        <v>234</v>
      </c>
      <c r="G113" s="41" t="s">
        <v>28</v>
      </c>
      <c r="H113" s="41">
        <v>1</v>
      </c>
      <c r="I113" s="41" t="s">
        <v>231</v>
      </c>
      <c r="J113" s="41" t="s">
        <v>231</v>
      </c>
      <c r="K113" s="41" t="s">
        <v>232</v>
      </c>
      <c r="L113" s="41">
        <v>10</v>
      </c>
      <c r="M113" s="41"/>
      <c r="N113" s="41" t="s">
        <v>29</v>
      </c>
      <c r="O113" s="65">
        <v>11.47</v>
      </c>
      <c r="P113" s="66">
        <v>0.25</v>
      </c>
      <c r="Q113" s="3">
        <v>0</v>
      </c>
      <c r="R113" s="3"/>
      <c r="S113" s="3"/>
      <c r="T113" s="3"/>
      <c r="U113" s="67">
        <f t="shared" si="7"/>
        <v>0.25</v>
      </c>
      <c r="V113" s="67">
        <f t="shared" si="8"/>
        <v>0</v>
      </c>
      <c r="W113" s="3"/>
      <c r="X113" s="3"/>
      <c r="Y113" s="3"/>
      <c r="Z113" s="67">
        <f t="shared" si="9"/>
        <v>0.25</v>
      </c>
      <c r="AA113" s="67">
        <f t="shared" si="10"/>
        <v>0</v>
      </c>
      <c r="AB113" s="3"/>
      <c r="AC113" s="3"/>
      <c r="AD113" s="3"/>
      <c r="AE113" s="67">
        <f t="shared" si="11"/>
        <v>0.25</v>
      </c>
      <c r="AF113" s="67">
        <f t="shared" si="12"/>
        <v>0</v>
      </c>
    </row>
    <row r="114" spans="1:32" ht="46.8">
      <c r="A114" s="41">
        <f t="shared" si="13"/>
        <v>112</v>
      </c>
      <c r="B114" s="42" t="s">
        <v>235</v>
      </c>
      <c r="C114" s="42" t="s">
        <v>1002</v>
      </c>
      <c r="D114" s="41" t="s">
        <v>1017</v>
      </c>
      <c r="E114" s="41" t="s">
        <v>1164</v>
      </c>
      <c r="F114" s="43" t="s">
        <v>236</v>
      </c>
      <c r="G114" s="41" t="s">
        <v>28</v>
      </c>
      <c r="H114" s="41"/>
      <c r="I114" s="41"/>
      <c r="J114" s="41"/>
      <c r="K114" s="41"/>
      <c r="L114" s="41"/>
      <c r="M114" s="41"/>
      <c r="N114" s="41" t="s">
        <v>32</v>
      </c>
      <c r="O114" s="65">
        <v>112.73</v>
      </c>
      <c r="P114" s="66">
        <v>111.84</v>
      </c>
      <c r="Q114" s="3">
        <v>0</v>
      </c>
      <c r="R114" s="3"/>
      <c r="S114" s="3"/>
      <c r="T114" s="3"/>
      <c r="U114" s="67">
        <f t="shared" si="7"/>
        <v>111.84</v>
      </c>
      <c r="V114" s="67">
        <f t="shared" si="8"/>
        <v>0</v>
      </c>
      <c r="W114" s="3"/>
      <c r="X114" s="3"/>
      <c r="Y114" s="3"/>
      <c r="Z114" s="67">
        <f t="shared" si="9"/>
        <v>111.84</v>
      </c>
      <c r="AA114" s="67">
        <f t="shared" si="10"/>
        <v>0</v>
      </c>
      <c r="AB114" s="3"/>
      <c r="AC114" s="3"/>
      <c r="AD114" s="3"/>
      <c r="AE114" s="67">
        <f t="shared" si="11"/>
        <v>111.84</v>
      </c>
      <c r="AF114" s="67">
        <f t="shared" si="12"/>
        <v>0</v>
      </c>
    </row>
    <row r="115" spans="1:32" ht="46.8">
      <c r="A115" s="41">
        <f t="shared" si="13"/>
        <v>113</v>
      </c>
      <c r="B115" s="42" t="s">
        <v>237</v>
      </c>
      <c r="C115" s="42" t="s">
        <v>1002</v>
      </c>
      <c r="D115" s="34" t="s">
        <v>1017</v>
      </c>
      <c r="E115" s="41" t="s">
        <v>1165</v>
      </c>
      <c r="F115" s="43" t="s">
        <v>238</v>
      </c>
      <c r="G115" s="41" t="s">
        <v>28</v>
      </c>
      <c r="H115" s="41"/>
      <c r="I115" s="41"/>
      <c r="J115" s="41"/>
      <c r="K115" s="41"/>
      <c r="L115" s="41"/>
      <c r="M115" s="41"/>
      <c r="N115" s="41" t="s">
        <v>29</v>
      </c>
      <c r="O115" s="3">
        <v>0</v>
      </c>
      <c r="P115" s="66">
        <v>0.55000000000000004</v>
      </c>
      <c r="Q115" s="3">
        <v>0</v>
      </c>
      <c r="R115" s="3"/>
      <c r="S115" s="3"/>
      <c r="T115" s="3"/>
      <c r="U115" s="67">
        <f t="shared" si="7"/>
        <v>0.55000000000000004</v>
      </c>
      <c r="V115" s="67">
        <f t="shared" si="8"/>
        <v>0</v>
      </c>
      <c r="W115" s="3"/>
      <c r="X115" s="3"/>
      <c r="Y115" s="3"/>
      <c r="Z115" s="67">
        <f t="shared" si="9"/>
        <v>0.55000000000000004</v>
      </c>
      <c r="AA115" s="67">
        <f t="shared" si="10"/>
        <v>0</v>
      </c>
      <c r="AB115" s="3"/>
      <c r="AC115" s="3"/>
      <c r="AD115" s="3"/>
      <c r="AE115" s="67">
        <f t="shared" si="11"/>
        <v>0.55000000000000004</v>
      </c>
      <c r="AF115" s="67">
        <f t="shared" si="12"/>
        <v>0</v>
      </c>
    </row>
    <row r="116" spans="1:32" ht="46.8">
      <c r="A116" s="41">
        <f t="shared" si="13"/>
        <v>114</v>
      </c>
      <c r="B116" s="42" t="s">
        <v>239</v>
      </c>
      <c r="C116" s="42" t="s">
        <v>1002</v>
      </c>
      <c r="D116" s="34" t="s">
        <v>1017</v>
      </c>
      <c r="E116" s="41" t="s">
        <v>1166</v>
      </c>
      <c r="F116" s="43" t="s">
        <v>240</v>
      </c>
      <c r="G116" s="41" t="s">
        <v>28</v>
      </c>
      <c r="H116" s="41"/>
      <c r="I116" s="41"/>
      <c r="J116" s="41"/>
      <c r="K116" s="41"/>
      <c r="L116" s="41"/>
      <c r="M116" s="41"/>
      <c r="N116" s="41" t="s">
        <v>29</v>
      </c>
      <c r="O116" s="3">
        <v>0</v>
      </c>
      <c r="P116" s="3">
        <v>0</v>
      </c>
      <c r="Q116" s="3">
        <v>0</v>
      </c>
      <c r="R116" s="3"/>
      <c r="S116" s="3"/>
      <c r="T116" s="3"/>
      <c r="U116" s="67">
        <f t="shared" si="7"/>
        <v>0</v>
      </c>
      <c r="V116" s="67">
        <f t="shared" si="8"/>
        <v>0</v>
      </c>
      <c r="W116" s="3"/>
      <c r="X116" s="3"/>
      <c r="Y116" s="3"/>
      <c r="Z116" s="67">
        <f t="shared" si="9"/>
        <v>0</v>
      </c>
      <c r="AA116" s="67">
        <f t="shared" si="10"/>
        <v>0</v>
      </c>
      <c r="AB116" s="3"/>
      <c r="AC116" s="3"/>
      <c r="AD116" s="3"/>
      <c r="AE116" s="67">
        <f t="shared" si="11"/>
        <v>0</v>
      </c>
      <c r="AF116" s="67">
        <f t="shared" si="12"/>
        <v>0</v>
      </c>
    </row>
    <row r="117" spans="1:32" ht="46.8">
      <c r="A117" s="41">
        <f t="shared" si="13"/>
        <v>115</v>
      </c>
      <c r="B117" s="42" t="s">
        <v>241</v>
      </c>
      <c r="C117" s="42" t="s">
        <v>1002</v>
      </c>
      <c r="D117" s="34" t="s">
        <v>1017</v>
      </c>
      <c r="E117" s="41" t="s">
        <v>1167</v>
      </c>
      <c r="F117" s="43" t="s">
        <v>242</v>
      </c>
      <c r="G117" s="41" t="s">
        <v>28</v>
      </c>
      <c r="H117" s="41"/>
      <c r="I117" s="41"/>
      <c r="J117" s="41"/>
      <c r="K117" s="41"/>
      <c r="L117" s="41"/>
      <c r="M117" s="41"/>
      <c r="N117" s="41" t="s">
        <v>29</v>
      </c>
      <c r="O117" s="3">
        <v>0</v>
      </c>
      <c r="P117" s="3">
        <v>0</v>
      </c>
      <c r="Q117" s="3">
        <v>0</v>
      </c>
      <c r="R117" s="3"/>
      <c r="S117" s="3"/>
      <c r="T117" s="3"/>
      <c r="U117" s="67">
        <f t="shared" si="7"/>
        <v>0</v>
      </c>
      <c r="V117" s="67">
        <f t="shared" si="8"/>
        <v>0</v>
      </c>
      <c r="W117" s="3"/>
      <c r="X117" s="3"/>
      <c r="Y117" s="3"/>
      <c r="Z117" s="67">
        <f t="shared" si="9"/>
        <v>0</v>
      </c>
      <c r="AA117" s="67">
        <f t="shared" si="10"/>
        <v>0</v>
      </c>
      <c r="AB117" s="3"/>
      <c r="AC117" s="3"/>
      <c r="AD117" s="3"/>
      <c r="AE117" s="67">
        <f t="shared" si="11"/>
        <v>0</v>
      </c>
      <c r="AF117" s="67">
        <f t="shared" si="12"/>
        <v>0</v>
      </c>
    </row>
    <row r="118" spans="1:32" ht="46.8">
      <c r="A118" s="41">
        <f t="shared" si="13"/>
        <v>116</v>
      </c>
      <c r="B118" s="42" t="s">
        <v>243</v>
      </c>
      <c r="C118" s="42" t="s">
        <v>1002</v>
      </c>
      <c r="D118" s="41" t="s">
        <v>1017</v>
      </c>
      <c r="E118" s="41" t="s">
        <v>1168</v>
      </c>
      <c r="F118" s="43" t="s">
        <v>244</v>
      </c>
      <c r="G118" s="41" t="s">
        <v>28</v>
      </c>
      <c r="H118" s="41"/>
      <c r="I118" s="41"/>
      <c r="J118" s="41"/>
      <c r="K118" s="41"/>
      <c r="L118" s="41"/>
      <c r="M118" s="41"/>
      <c r="N118" s="41" t="s">
        <v>32</v>
      </c>
      <c r="O118" s="3">
        <v>0</v>
      </c>
      <c r="P118" s="3">
        <v>0</v>
      </c>
      <c r="Q118" s="3">
        <v>0</v>
      </c>
      <c r="R118" s="3"/>
      <c r="S118" s="3"/>
      <c r="T118" s="3"/>
      <c r="U118" s="67">
        <f t="shared" si="7"/>
        <v>0</v>
      </c>
      <c r="V118" s="67">
        <f t="shared" si="8"/>
        <v>0</v>
      </c>
      <c r="W118" s="3"/>
      <c r="X118" s="3"/>
      <c r="Y118" s="3"/>
      <c r="Z118" s="67">
        <f t="shared" si="9"/>
        <v>0</v>
      </c>
      <c r="AA118" s="67">
        <f t="shared" si="10"/>
        <v>0</v>
      </c>
      <c r="AB118" s="3"/>
      <c r="AC118" s="3"/>
      <c r="AD118" s="3"/>
      <c r="AE118" s="67">
        <f t="shared" si="11"/>
        <v>0</v>
      </c>
      <c r="AF118" s="67">
        <f t="shared" si="12"/>
        <v>0</v>
      </c>
    </row>
    <row r="119" spans="1:32" ht="46.8">
      <c r="A119" s="41">
        <f t="shared" si="13"/>
        <v>117</v>
      </c>
      <c r="B119" s="42" t="s">
        <v>245</v>
      </c>
      <c r="C119" s="42" t="s">
        <v>1002</v>
      </c>
      <c r="D119" s="34" t="s">
        <v>1017</v>
      </c>
      <c r="E119" s="41" t="s">
        <v>1169</v>
      </c>
      <c r="F119" s="43" t="s">
        <v>246</v>
      </c>
      <c r="G119" s="41" t="s">
        <v>28</v>
      </c>
      <c r="H119" s="41"/>
      <c r="I119" s="41"/>
      <c r="J119" s="41"/>
      <c r="K119" s="41"/>
      <c r="L119" s="41"/>
      <c r="M119" s="41"/>
      <c r="N119" s="41" t="s">
        <v>29</v>
      </c>
      <c r="O119" s="3">
        <v>0</v>
      </c>
      <c r="P119" s="3">
        <v>0</v>
      </c>
      <c r="Q119" s="3">
        <v>0</v>
      </c>
      <c r="R119" s="3"/>
      <c r="S119" s="3"/>
      <c r="T119" s="3"/>
      <c r="U119" s="67">
        <f t="shared" si="7"/>
        <v>0</v>
      </c>
      <c r="V119" s="67">
        <f t="shared" si="8"/>
        <v>0</v>
      </c>
      <c r="W119" s="3"/>
      <c r="X119" s="3"/>
      <c r="Y119" s="3"/>
      <c r="Z119" s="67">
        <f t="shared" si="9"/>
        <v>0</v>
      </c>
      <c r="AA119" s="67">
        <f t="shared" si="10"/>
        <v>0</v>
      </c>
      <c r="AB119" s="3"/>
      <c r="AC119" s="3"/>
      <c r="AD119" s="3"/>
      <c r="AE119" s="67">
        <f t="shared" si="11"/>
        <v>0</v>
      </c>
      <c r="AF119" s="67">
        <f t="shared" si="12"/>
        <v>0</v>
      </c>
    </row>
    <row r="120" spans="1:32" ht="46.8">
      <c r="A120" s="41">
        <f t="shared" si="13"/>
        <v>118</v>
      </c>
      <c r="B120" s="42" t="s">
        <v>247</v>
      </c>
      <c r="C120" s="42" t="s">
        <v>1002</v>
      </c>
      <c r="D120" s="41" t="s">
        <v>1017</v>
      </c>
      <c r="E120" s="41" t="s">
        <v>1170</v>
      </c>
      <c r="F120" s="43" t="s">
        <v>248</v>
      </c>
      <c r="G120" s="41" t="s">
        <v>28</v>
      </c>
      <c r="H120" s="41"/>
      <c r="I120" s="41"/>
      <c r="J120" s="41"/>
      <c r="K120" s="41"/>
      <c r="L120" s="41"/>
      <c r="M120" s="41"/>
      <c r="N120" s="41" t="s">
        <v>29</v>
      </c>
      <c r="O120" s="3">
        <v>0</v>
      </c>
      <c r="P120" s="3">
        <v>0</v>
      </c>
      <c r="Q120" s="66">
        <v>0.14000000000000001</v>
      </c>
      <c r="R120" s="3"/>
      <c r="S120" s="3"/>
      <c r="T120" s="3"/>
      <c r="U120" s="67">
        <f t="shared" si="7"/>
        <v>0</v>
      </c>
      <c r="V120" s="67">
        <f t="shared" si="8"/>
        <v>0.14000000000000001</v>
      </c>
      <c r="W120" s="3"/>
      <c r="X120" s="3"/>
      <c r="Y120" s="3"/>
      <c r="Z120" s="67">
        <f t="shared" si="9"/>
        <v>0</v>
      </c>
      <c r="AA120" s="67">
        <f t="shared" si="10"/>
        <v>0.14000000000000001</v>
      </c>
      <c r="AB120" s="3"/>
      <c r="AC120" s="3"/>
      <c r="AD120" s="3"/>
      <c r="AE120" s="67">
        <f t="shared" si="11"/>
        <v>0</v>
      </c>
      <c r="AF120" s="67">
        <f t="shared" si="12"/>
        <v>0.14000000000000001</v>
      </c>
    </row>
    <row r="121" spans="1:32" ht="62.4">
      <c r="A121" s="41">
        <f t="shared" si="13"/>
        <v>119</v>
      </c>
      <c r="B121" s="34"/>
      <c r="C121" s="42" t="s">
        <v>1002</v>
      </c>
      <c r="D121" s="34" t="s">
        <v>1017</v>
      </c>
      <c r="E121" s="41" t="s">
        <v>1171</v>
      </c>
      <c r="F121" s="43" t="s">
        <v>249</v>
      </c>
      <c r="G121" s="41" t="s">
        <v>28</v>
      </c>
      <c r="H121" s="41"/>
      <c r="I121" s="41"/>
      <c r="J121" s="41"/>
      <c r="K121" s="41"/>
      <c r="L121" s="41"/>
      <c r="M121" s="41"/>
      <c r="N121" s="41" t="s">
        <v>67</v>
      </c>
      <c r="O121" s="3">
        <v>0</v>
      </c>
      <c r="P121" s="3">
        <v>0</v>
      </c>
      <c r="Q121" s="3">
        <v>0</v>
      </c>
      <c r="R121" s="3"/>
      <c r="S121" s="3"/>
      <c r="T121" s="3"/>
      <c r="U121" s="67">
        <f t="shared" si="7"/>
        <v>0</v>
      </c>
      <c r="V121" s="67">
        <f t="shared" si="8"/>
        <v>0</v>
      </c>
      <c r="W121" s="3"/>
      <c r="X121" s="3"/>
      <c r="Y121" s="3"/>
      <c r="Z121" s="67">
        <f t="shared" si="9"/>
        <v>0</v>
      </c>
      <c r="AA121" s="67">
        <f t="shared" si="10"/>
        <v>0</v>
      </c>
      <c r="AB121" s="3"/>
      <c r="AC121" s="3"/>
      <c r="AD121" s="3"/>
      <c r="AE121" s="67">
        <f t="shared" si="11"/>
        <v>0</v>
      </c>
      <c r="AF121" s="67">
        <f t="shared" si="12"/>
        <v>0</v>
      </c>
    </row>
    <row r="122" spans="1:32" ht="46.8">
      <c r="A122" s="41">
        <f t="shared" si="13"/>
        <v>120</v>
      </c>
      <c r="B122" s="34"/>
      <c r="C122" s="42" t="s">
        <v>1002</v>
      </c>
      <c r="D122" s="34" t="s">
        <v>1017</v>
      </c>
      <c r="E122" s="41" t="s">
        <v>1172</v>
      </c>
      <c r="F122" s="43" t="s">
        <v>250</v>
      </c>
      <c r="G122" s="41" t="s">
        <v>28</v>
      </c>
      <c r="H122" s="41"/>
      <c r="I122" s="41"/>
      <c r="J122" s="41"/>
      <c r="K122" s="41"/>
      <c r="L122" s="41"/>
      <c r="M122" s="41"/>
      <c r="N122" s="41" t="s">
        <v>516</v>
      </c>
      <c r="O122" s="3">
        <v>0</v>
      </c>
      <c r="P122" s="3">
        <v>0</v>
      </c>
      <c r="Q122" s="3">
        <v>0</v>
      </c>
      <c r="R122" s="3"/>
      <c r="S122" s="3"/>
      <c r="T122" s="3"/>
      <c r="U122" s="67">
        <f t="shared" si="7"/>
        <v>0</v>
      </c>
      <c r="V122" s="67">
        <f t="shared" si="8"/>
        <v>0</v>
      </c>
      <c r="W122" s="3"/>
      <c r="X122" s="3"/>
      <c r="Y122" s="3"/>
      <c r="Z122" s="67">
        <f t="shared" si="9"/>
        <v>0</v>
      </c>
      <c r="AA122" s="67">
        <f t="shared" si="10"/>
        <v>0</v>
      </c>
      <c r="AB122" s="3"/>
      <c r="AC122" s="3"/>
      <c r="AD122" s="3"/>
      <c r="AE122" s="67">
        <f t="shared" si="11"/>
        <v>0</v>
      </c>
      <c r="AF122" s="67">
        <f t="shared" si="12"/>
        <v>0</v>
      </c>
    </row>
    <row r="123" spans="1:32" ht="78">
      <c r="A123" s="41">
        <f t="shared" si="13"/>
        <v>121</v>
      </c>
      <c r="B123" s="42" t="s">
        <v>251</v>
      </c>
      <c r="C123" s="42" t="s">
        <v>1002</v>
      </c>
      <c r="D123" s="34" t="s">
        <v>1017</v>
      </c>
      <c r="E123" s="41" t="s">
        <v>1173</v>
      </c>
      <c r="F123" s="43" t="s">
        <v>252</v>
      </c>
      <c r="G123" s="41" t="s">
        <v>28</v>
      </c>
      <c r="H123" s="41"/>
      <c r="I123" s="41"/>
      <c r="J123" s="41"/>
      <c r="K123" s="41"/>
      <c r="L123" s="41"/>
      <c r="M123" s="41"/>
      <c r="N123" s="41" t="s">
        <v>516</v>
      </c>
      <c r="O123" s="3">
        <v>0</v>
      </c>
      <c r="P123" s="66">
        <v>7.99</v>
      </c>
      <c r="Q123" s="3">
        <v>0</v>
      </c>
      <c r="R123" s="3"/>
      <c r="S123" s="3"/>
      <c r="T123" s="3"/>
      <c r="U123" s="67">
        <f t="shared" si="7"/>
        <v>7.99</v>
      </c>
      <c r="V123" s="67">
        <f t="shared" si="8"/>
        <v>0</v>
      </c>
      <c r="W123" s="3"/>
      <c r="X123" s="3"/>
      <c r="Y123" s="3"/>
      <c r="Z123" s="67">
        <f t="shared" si="9"/>
        <v>7.99</v>
      </c>
      <c r="AA123" s="67">
        <f t="shared" si="10"/>
        <v>0</v>
      </c>
      <c r="AB123" s="3"/>
      <c r="AC123" s="3"/>
      <c r="AD123" s="3"/>
      <c r="AE123" s="67">
        <f t="shared" si="11"/>
        <v>7.99</v>
      </c>
      <c r="AF123" s="67">
        <f t="shared" si="12"/>
        <v>0</v>
      </c>
    </row>
    <row r="124" spans="1:32" ht="62.4">
      <c r="A124" s="41">
        <f t="shared" si="13"/>
        <v>122</v>
      </c>
      <c r="B124" s="42" t="s">
        <v>253</v>
      </c>
      <c r="C124" s="42" t="s">
        <v>1002</v>
      </c>
      <c r="D124" s="41" t="s">
        <v>1017</v>
      </c>
      <c r="E124" s="41" t="s">
        <v>1174</v>
      </c>
      <c r="F124" s="43" t="s">
        <v>254</v>
      </c>
      <c r="G124" s="41" t="s">
        <v>28</v>
      </c>
      <c r="H124" s="41"/>
      <c r="I124" s="41"/>
      <c r="J124" s="41"/>
      <c r="K124" s="41"/>
      <c r="L124" s="41"/>
      <c r="M124" s="41"/>
      <c r="N124" s="41" t="s">
        <v>516</v>
      </c>
      <c r="O124" s="3">
        <v>0</v>
      </c>
      <c r="P124" s="3">
        <v>0</v>
      </c>
      <c r="Q124" s="66">
        <v>0.31</v>
      </c>
      <c r="R124" s="3"/>
      <c r="S124" s="3"/>
      <c r="T124" s="3"/>
      <c r="U124" s="67">
        <f t="shared" si="7"/>
        <v>0</v>
      </c>
      <c r="V124" s="67">
        <f t="shared" si="8"/>
        <v>0.31</v>
      </c>
      <c r="W124" s="3"/>
      <c r="X124" s="3"/>
      <c r="Y124" s="3"/>
      <c r="Z124" s="67">
        <f t="shared" si="9"/>
        <v>0</v>
      </c>
      <c r="AA124" s="67">
        <f t="shared" si="10"/>
        <v>0.31</v>
      </c>
      <c r="AB124" s="3"/>
      <c r="AC124" s="3"/>
      <c r="AD124" s="3"/>
      <c r="AE124" s="67">
        <f t="shared" si="11"/>
        <v>0</v>
      </c>
      <c r="AF124" s="67">
        <f t="shared" si="12"/>
        <v>0.31</v>
      </c>
    </row>
    <row r="125" spans="1:32" ht="62.4">
      <c r="A125" s="41">
        <f t="shared" si="13"/>
        <v>123</v>
      </c>
      <c r="B125" s="42" t="s">
        <v>255</v>
      </c>
      <c r="C125" s="42" t="s">
        <v>1002</v>
      </c>
      <c r="D125" s="34" t="s">
        <v>1017</v>
      </c>
      <c r="E125" s="41" t="s">
        <v>1175</v>
      </c>
      <c r="F125" s="43" t="s">
        <v>256</v>
      </c>
      <c r="G125" s="41" t="s">
        <v>28</v>
      </c>
      <c r="H125" s="41"/>
      <c r="I125" s="41"/>
      <c r="J125" s="41"/>
      <c r="K125" s="41"/>
      <c r="L125" s="41"/>
      <c r="M125" s="41"/>
      <c r="N125" s="41" t="s">
        <v>516</v>
      </c>
      <c r="O125" s="3">
        <v>0</v>
      </c>
      <c r="P125" s="3">
        <v>0</v>
      </c>
      <c r="Q125" s="3">
        <v>0</v>
      </c>
      <c r="R125" s="3"/>
      <c r="S125" s="3"/>
      <c r="T125" s="3"/>
      <c r="U125" s="67">
        <f t="shared" si="7"/>
        <v>0</v>
      </c>
      <c r="V125" s="67">
        <f t="shared" si="8"/>
        <v>0</v>
      </c>
      <c r="W125" s="3"/>
      <c r="X125" s="3"/>
      <c r="Y125" s="3"/>
      <c r="Z125" s="67">
        <f t="shared" si="9"/>
        <v>0</v>
      </c>
      <c r="AA125" s="67">
        <f t="shared" si="10"/>
        <v>0</v>
      </c>
      <c r="AB125" s="3"/>
      <c r="AC125" s="3"/>
      <c r="AD125" s="3"/>
      <c r="AE125" s="67">
        <f t="shared" si="11"/>
        <v>0</v>
      </c>
      <c r="AF125" s="67">
        <f t="shared" si="12"/>
        <v>0</v>
      </c>
    </row>
    <row r="126" spans="1:32" ht="78">
      <c r="A126" s="41">
        <f t="shared" si="13"/>
        <v>124</v>
      </c>
      <c r="B126" s="41" t="s">
        <v>765</v>
      </c>
      <c r="C126" s="42"/>
      <c r="D126" s="41" t="s">
        <v>1019</v>
      </c>
      <c r="E126" s="41" t="s">
        <v>1176</v>
      </c>
      <c r="F126" s="43" t="s">
        <v>257</v>
      </c>
      <c r="G126" s="41" t="s">
        <v>28</v>
      </c>
      <c r="H126" s="41"/>
      <c r="I126" s="41"/>
      <c r="J126" s="41"/>
      <c r="K126" s="41"/>
      <c r="L126" s="41"/>
      <c r="M126" s="41"/>
      <c r="N126" s="41" t="s">
        <v>516</v>
      </c>
      <c r="O126" s="65">
        <v>7.19</v>
      </c>
      <c r="P126" s="66">
        <v>10.62</v>
      </c>
      <c r="Q126" s="66">
        <v>34.009147400000003</v>
      </c>
      <c r="R126" s="25">
        <v>0.80462120000000004</v>
      </c>
      <c r="S126" s="3"/>
      <c r="T126" s="3"/>
      <c r="U126" s="67">
        <f t="shared" si="7"/>
        <v>10.62</v>
      </c>
      <c r="V126" s="67">
        <f t="shared" si="8"/>
        <v>34.813768600000003</v>
      </c>
      <c r="W126" s="154"/>
      <c r="X126" s="3"/>
      <c r="Y126" s="3"/>
      <c r="Z126" s="67">
        <f t="shared" si="9"/>
        <v>10.62</v>
      </c>
      <c r="AA126" s="67">
        <f t="shared" si="10"/>
        <v>34.813768600000003</v>
      </c>
      <c r="AB126" s="3"/>
      <c r="AC126" s="3"/>
      <c r="AD126" s="3"/>
      <c r="AE126" s="67">
        <f t="shared" si="11"/>
        <v>10.62</v>
      </c>
      <c r="AF126" s="67">
        <f t="shared" si="12"/>
        <v>34.813768600000003</v>
      </c>
    </row>
    <row r="127" spans="1:32" ht="46.8">
      <c r="A127" s="41">
        <f t="shared" si="13"/>
        <v>125</v>
      </c>
      <c r="B127" s="42" t="s">
        <v>258</v>
      </c>
      <c r="C127" s="42" t="s">
        <v>1002</v>
      </c>
      <c r="D127" s="41" t="s">
        <v>1017</v>
      </c>
      <c r="E127" s="41" t="s">
        <v>1177</v>
      </c>
      <c r="F127" s="43" t="s">
        <v>259</v>
      </c>
      <c r="G127" s="41" t="s">
        <v>28</v>
      </c>
      <c r="H127" s="41"/>
      <c r="I127" s="41"/>
      <c r="J127" s="41"/>
      <c r="K127" s="41"/>
      <c r="L127" s="41"/>
      <c r="M127" s="41"/>
      <c r="N127" s="41" t="s">
        <v>516</v>
      </c>
      <c r="O127" s="3">
        <v>0</v>
      </c>
      <c r="P127" s="66">
        <v>15.84</v>
      </c>
      <c r="Q127" s="66">
        <v>7.17</v>
      </c>
      <c r="R127" s="3"/>
      <c r="S127" s="3"/>
      <c r="T127" s="3"/>
      <c r="U127" s="67">
        <f t="shared" si="7"/>
        <v>15.84</v>
      </c>
      <c r="V127" s="67">
        <f t="shared" si="8"/>
        <v>7.17</v>
      </c>
      <c r="W127" s="3"/>
      <c r="X127" s="3"/>
      <c r="Y127" s="3"/>
      <c r="Z127" s="67">
        <f t="shared" si="9"/>
        <v>15.84</v>
      </c>
      <c r="AA127" s="67">
        <f t="shared" si="10"/>
        <v>7.17</v>
      </c>
      <c r="AB127" s="3"/>
      <c r="AC127" s="3"/>
      <c r="AD127" s="3"/>
      <c r="AE127" s="67">
        <f t="shared" si="11"/>
        <v>15.84</v>
      </c>
      <c r="AF127" s="67">
        <f t="shared" si="12"/>
        <v>7.17</v>
      </c>
    </row>
    <row r="128" spans="1:32" ht="62.4">
      <c r="A128" s="41">
        <f t="shared" si="13"/>
        <v>126</v>
      </c>
      <c r="B128" s="42" t="s">
        <v>260</v>
      </c>
      <c r="C128" s="42" t="s">
        <v>1002</v>
      </c>
      <c r="D128" s="41" t="s">
        <v>1017</v>
      </c>
      <c r="E128" s="41" t="s">
        <v>1178</v>
      </c>
      <c r="F128" s="43" t="s">
        <v>261</v>
      </c>
      <c r="G128" s="41" t="s">
        <v>28</v>
      </c>
      <c r="H128" s="41"/>
      <c r="I128" s="41"/>
      <c r="J128" s="41"/>
      <c r="K128" s="41"/>
      <c r="L128" s="41"/>
      <c r="M128" s="41"/>
      <c r="N128" s="41" t="s">
        <v>516</v>
      </c>
      <c r="O128" s="3">
        <v>0</v>
      </c>
      <c r="P128" s="3">
        <v>0</v>
      </c>
      <c r="Q128" s="66">
        <v>1.03</v>
      </c>
      <c r="R128" s="3"/>
      <c r="S128" s="3">
        <v>1.0313268</v>
      </c>
      <c r="T128" s="3"/>
      <c r="U128" s="67">
        <f t="shared" si="7"/>
        <v>1.0313268</v>
      </c>
      <c r="V128" s="67">
        <f t="shared" si="8"/>
        <v>-1.3267999999999613E-3</v>
      </c>
      <c r="W128" s="3"/>
      <c r="X128" s="3"/>
      <c r="Y128" s="3"/>
      <c r="Z128" s="67">
        <f t="shared" si="9"/>
        <v>1.0313268</v>
      </c>
      <c r="AA128" s="67">
        <f t="shared" si="10"/>
        <v>-1.3267999999999613E-3</v>
      </c>
      <c r="AB128" s="3"/>
      <c r="AC128" s="3"/>
      <c r="AD128" s="3"/>
      <c r="AE128" s="67">
        <f t="shared" si="11"/>
        <v>1.0313268</v>
      </c>
      <c r="AF128" s="67">
        <f t="shared" si="12"/>
        <v>-1.3267999999999613E-3</v>
      </c>
    </row>
    <row r="129" spans="1:32" ht="46.8">
      <c r="A129" s="41">
        <f t="shared" si="13"/>
        <v>127</v>
      </c>
      <c r="B129" s="42" t="s">
        <v>262</v>
      </c>
      <c r="C129" s="42" t="s">
        <v>1002</v>
      </c>
      <c r="D129" s="41" t="s">
        <v>1017</v>
      </c>
      <c r="E129" s="41" t="s">
        <v>1179</v>
      </c>
      <c r="F129" s="43" t="s">
        <v>263</v>
      </c>
      <c r="G129" s="41" t="s">
        <v>28</v>
      </c>
      <c r="H129" s="41"/>
      <c r="I129" s="41"/>
      <c r="J129" s="41"/>
      <c r="K129" s="41"/>
      <c r="L129" s="41"/>
      <c r="M129" s="41"/>
      <c r="N129" s="41" t="s">
        <v>516</v>
      </c>
      <c r="O129" s="159">
        <v>3.1</v>
      </c>
      <c r="P129" s="3">
        <v>0</v>
      </c>
      <c r="Q129" s="66">
        <v>3.38</v>
      </c>
      <c r="R129" s="3"/>
      <c r="S129" s="3"/>
      <c r="T129" s="3"/>
      <c r="U129" s="67">
        <f t="shared" si="7"/>
        <v>0</v>
      </c>
      <c r="V129" s="67">
        <f t="shared" si="8"/>
        <v>3.38</v>
      </c>
      <c r="W129" s="3"/>
      <c r="X129" s="3"/>
      <c r="Y129" s="3"/>
      <c r="Z129" s="67">
        <f t="shared" si="9"/>
        <v>0</v>
      </c>
      <c r="AA129" s="67">
        <f t="shared" si="10"/>
        <v>3.38</v>
      </c>
      <c r="AB129" s="3"/>
      <c r="AC129" s="3"/>
      <c r="AD129" s="3"/>
      <c r="AE129" s="67">
        <f t="shared" si="11"/>
        <v>0</v>
      </c>
      <c r="AF129" s="67">
        <f t="shared" si="12"/>
        <v>3.38</v>
      </c>
    </row>
    <row r="130" spans="1:32" ht="62.4">
      <c r="A130" s="41">
        <f t="shared" si="13"/>
        <v>128</v>
      </c>
      <c r="B130" s="42" t="s">
        <v>264</v>
      </c>
      <c r="C130" s="42" t="s">
        <v>1002</v>
      </c>
      <c r="D130" s="34" t="s">
        <v>1017</v>
      </c>
      <c r="E130" s="41" t="s">
        <v>1180</v>
      </c>
      <c r="F130" s="43" t="s">
        <v>265</v>
      </c>
      <c r="G130" s="41" t="s">
        <v>28</v>
      </c>
      <c r="H130" s="41">
        <v>3</v>
      </c>
      <c r="I130" s="41" t="s">
        <v>266</v>
      </c>
      <c r="J130" s="41" t="s">
        <v>266</v>
      </c>
      <c r="K130" s="41" t="s">
        <v>267</v>
      </c>
      <c r="L130" s="41">
        <v>5.49</v>
      </c>
      <c r="M130" s="41">
        <v>5.16</v>
      </c>
      <c r="N130" s="41" t="s">
        <v>516</v>
      </c>
      <c r="O130" s="65">
        <v>4.57</v>
      </c>
      <c r="P130" s="66">
        <v>4.4800000000000004</v>
      </c>
      <c r="Q130" s="3">
        <v>0</v>
      </c>
      <c r="R130" s="3"/>
      <c r="S130" s="3"/>
      <c r="T130" s="3"/>
      <c r="U130" s="67">
        <f t="shared" si="7"/>
        <v>4.4800000000000004</v>
      </c>
      <c r="V130" s="67">
        <f t="shared" si="8"/>
        <v>0</v>
      </c>
      <c r="W130" s="3"/>
      <c r="X130" s="3"/>
      <c r="Y130" s="3"/>
      <c r="Z130" s="67">
        <f t="shared" si="9"/>
        <v>4.4800000000000004</v>
      </c>
      <c r="AA130" s="67">
        <f t="shared" si="10"/>
        <v>0</v>
      </c>
      <c r="AB130" s="3"/>
      <c r="AC130" s="3"/>
      <c r="AD130" s="3"/>
      <c r="AE130" s="67">
        <f t="shared" si="11"/>
        <v>4.4800000000000004</v>
      </c>
      <c r="AF130" s="67">
        <f t="shared" si="12"/>
        <v>0</v>
      </c>
    </row>
    <row r="131" spans="1:32" ht="46.8">
      <c r="A131" s="41">
        <f t="shared" si="13"/>
        <v>129</v>
      </c>
      <c r="B131" s="34"/>
      <c r="C131" s="42" t="s">
        <v>1002</v>
      </c>
      <c r="D131" s="42" t="s">
        <v>1017</v>
      </c>
      <c r="E131" s="41" t="s">
        <v>1181</v>
      </c>
      <c r="F131" s="43" t="s">
        <v>268</v>
      </c>
      <c r="G131" s="41" t="s">
        <v>28</v>
      </c>
      <c r="H131" s="41"/>
      <c r="I131" s="41"/>
      <c r="J131" s="41"/>
      <c r="K131" s="41"/>
      <c r="L131" s="41"/>
      <c r="M131" s="41"/>
      <c r="N131" s="41" t="s">
        <v>516</v>
      </c>
      <c r="O131" s="3">
        <v>0</v>
      </c>
      <c r="P131" s="66">
        <v>0.81</v>
      </c>
      <c r="Q131" s="66">
        <v>16.02</v>
      </c>
      <c r="R131" s="3"/>
      <c r="S131" s="3"/>
      <c r="T131" s="3"/>
      <c r="U131" s="67">
        <f t="shared" si="7"/>
        <v>0.81</v>
      </c>
      <c r="V131" s="67">
        <f t="shared" si="8"/>
        <v>16.02</v>
      </c>
      <c r="W131" s="3"/>
      <c r="X131" s="3"/>
      <c r="Y131" s="3"/>
      <c r="Z131" s="67">
        <f t="shared" si="9"/>
        <v>0.81</v>
      </c>
      <c r="AA131" s="67">
        <f t="shared" si="10"/>
        <v>16.02</v>
      </c>
      <c r="AB131" s="3"/>
      <c r="AC131" s="3"/>
      <c r="AD131" s="3"/>
      <c r="AE131" s="67">
        <f t="shared" si="11"/>
        <v>0.81</v>
      </c>
      <c r="AF131" s="67">
        <f t="shared" si="12"/>
        <v>16.02</v>
      </c>
    </row>
    <row r="132" spans="1:32" ht="46.8">
      <c r="A132" s="41">
        <f t="shared" si="13"/>
        <v>130</v>
      </c>
      <c r="B132" s="34"/>
      <c r="C132" s="42" t="s">
        <v>1002</v>
      </c>
      <c r="D132" s="42" t="s">
        <v>1017</v>
      </c>
      <c r="E132" s="41" t="s">
        <v>1182</v>
      </c>
      <c r="F132" s="43" t="s">
        <v>269</v>
      </c>
      <c r="G132" s="41" t="s">
        <v>28</v>
      </c>
      <c r="H132" s="41"/>
      <c r="I132" s="41"/>
      <c r="J132" s="41"/>
      <c r="K132" s="41"/>
      <c r="L132" s="41"/>
      <c r="M132" s="41"/>
      <c r="N132" s="41" t="s">
        <v>516</v>
      </c>
      <c r="O132" s="3">
        <v>0</v>
      </c>
      <c r="P132" s="3">
        <v>0</v>
      </c>
      <c r="Q132" s="66">
        <v>0.92</v>
      </c>
      <c r="R132" s="3"/>
      <c r="S132" s="3"/>
      <c r="T132" s="3"/>
      <c r="U132" s="67">
        <f t="shared" ref="U132:U195" si="14">P132+S132+T132</f>
        <v>0</v>
      </c>
      <c r="V132" s="67">
        <f t="shared" ref="V132:V195" si="15">Q132+R132-S132-T132</f>
        <v>0.92</v>
      </c>
      <c r="W132" s="3"/>
      <c r="X132" s="3"/>
      <c r="Y132" s="3"/>
      <c r="Z132" s="67">
        <f t="shared" ref="Z132:Z195" si="16">U132+X132+Y132</f>
        <v>0</v>
      </c>
      <c r="AA132" s="67">
        <f t="shared" ref="AA132:AA195" si="17">V132+W132-X132-Y132</f>
        <v>0.92</v>
      </c>
      <c r="AB132" s="3"/>
      <c r="AC132" s="3"/>
      <c r="AD132" s="3"/>
      <c r="AE132" s="67">
        <f t="shared" ref="AE132:AE195" si="18">Z132+AC132+AD132</f>
        <v>0</v>
      </c>
      <c r="AF132" s="67">
        <f t="shared" ref="AF132:AF195" si="19">AA132+AB132-AC132-AD132</f>
        <v>0.92</v>
      </c>
    </row>
    <row r="133" spans="1:32" ht="78">
      <c r="A133" s="41">
        <f t="shared" ref="A133:A196" si="20">A132+1</f>
        <v>131</v>
      </c>
      <c r="B133" s="42" t="s">
        <v>271</v>
      </c>
      <c r="C133" s="42" t="s">
        <v>1002</v>
      </c>
      <c r="D133" s="34" t="s">
        <v>1017</v>
      </c>
      <c r="E133" s="41" t="s">
        <v>1183</v>
      </c>
      <c r="F133" s="43" t="s">
        <v>272</v>
      </c>
      <c r="G133" s="41" t="s">
        <v>28</v>
      </c>
      <c r="H133" s="41"/>
      <c r="I133" s="41"/>
      <c r="J133" s="41"/>
      <c r="K133" s="41"/>
      <c r="L133" s="41"/>
      <c r="M133" s="41"/>
      <c r="N133" s="41" t="s">
        <v>516</v>
      </c>
      <c r="O133" s="3">
        <v>0</v>
      </c>
      <c r="P133" s="66">
        <v>1.7</v>
      </c>
      <c r="Q133" s="3">
        <v>0</v>
      </c>
      <c r="R133" s="3"/>
      <c r="S133" s="3"/>
      <c r="T133" s="3"/>
      <c r="U133" s="67">
        <f t="shared" si="14"/>
        <v>1.7</v>
      </c>
      <c r="V133" s="67">
        <f t="shared" si="15"/>
        <v>0</v>
      </c>
      <c r="W133" s="3"/>
      <c r="X133" s="3"/>
      <c r="Y133" s="3"/>
      <c r="Z133" s="67">
        <f t="shared" si="16"/>
        <v>1.7</v>
      </c>
      <c r="AA133" s="67">
        <f t="shared" si="17"/>
        <v>0</v>
      </c>
      <c r="AB133" s="3"/>
      <c r="AC133" s="3"/>
      <c r="AD133" s="3"/>
      <c r="AE133" s="67">
        <f t="shared" si="18"/>
        <v>1.7</v>
      </c>
      <c r="AF133" s="67">
        <f t="shared" si="19"/>
        <v>0</v>
      </c>
    </row>
    <row r="134" spans="1:32" ht="46.8">
      <c r="A134" s="41">
        <f t="shared" si="20"/>
        <v>132</v>
      </c>
      <c r="B134" s="34"/>
      <c r="C134" s="42" t="s">
        <v>1002</v>
      </c>
      <c r="D134" s="42" t="s">
        <v>1017</v>
      </c>
      <c r="E134" s="41" t="s">
        <v>1184</v>
      </c>
      <c r="F134" s="43" t="s">
        <v>273</v>
      </c>
      <c r="G134" s="41" t="s">
        <v>28</v>
      </c>
      <c r="H134" s="41"/>
      <c r="I134" s="41"/>
      <c r="J134" s="41"/>
      <c r="K134" s="41"/>
      <c r="L134" s="41"/>
      <c r="M134" s="41"/>
      <c r="N134" s="41" t="s">
        <v>32</v>
      </c>
      <c r="O134" s="3">
        <v>0</v>
      </c>
      <c r="P134" s="3">
        <v>0</v>
      </c>
      <c r="Q134" s="3">
        <v>0</v>
      </c>
      <c r="R134" s="3"/>
      <c r="S134" s="3"/>
      <c r="T134" s="3"/>
      <c r="U134" s="67">
        <f t="shared" si="14"/>
        <v>0</v>
      </c>
      <c r="V134" s="67">
        <f t="shared" si="15"/>
        <v>0</v>
      </c>
      <c r="W134" s="3"/>
      <c r="X134" s="3"/>
      <c r="Y134" s="3"/>
      <c r="Z134" s="67">
        <f t="shared" si="16"/>
        <v>0</v>
      </c>
      <c r="AA134" s="67">
        <f t="shared" si="17"/>
        <v>0</v>
      </c>
      <c r="AB134" s="3"/>
      <c r="AC134" s="3"/>
      <c r="AD134" s="3"/>
      <c r="AE134" s="67">
        <f t="shared" si="18"/>
        <v>0</v>
      </c>
      <c r="AF134" s="67">
        <f t="shared" si="19"/>
        <v>0</v>
      </c>
    </row>
    <row r="135" spans="1:32" ht="46.8">
      <c r="A135" s="41">
        <f t="shared" si="20"/>
        <v>133</v>
      </c>
      <c r="B135" s="34"/>
      <c r="C135" s="42" t="s">
        <v>1002</v>
      </c>
      <c r="D135" s="42" t="s">
        <v>1017</v>
      </c>
      <c r="E135" s="41" t="s">
        <v>1185</v>
      </c>
      <c r="F135" s="43" t="s">
        <v>274</v>
      </c>
      <c r="G135" s="41" t="s">
        <v>28</v>
      </c>
      <c r="H135" s="41"/>
      <c r="I135" s="41"/>
      <c r="J135" s="41"/>
      <c r="K135" s="41"/>
      <c r="L135" s="41"/>
      <c r="M135" s="41"/>
      <c r="N135" s="41" t="s">
        <v>32</v>
      </c>
      <c r="O135" s="3">
        <v>0</v>
      </c>
      <c r="P135" s="3">
        <v>0</v>
      </c>
      <c r="Q135" s="66">
        <v>0.03</v>
      </c>
      <c r="R135" s="3"/>
      <c r="S135" s="3"/>
      <c r="T135" s="3"/>
      <c r="U135" s="67">
        <f t="shared" si="14"/>
        <v>0</v>
      </c>
      <c r="V135" s="67">
        <f t="shared" si="15"/>
        <v>0.03</v>
      </c>
      <c r="W135" s="3"/>
      <c r="X135" s="3"/>
      <c r="Y135" s="3"/>
      <c r="Z135" s="67">
        <f t="shared" si="16"/>
        <v>0</v>
      </c>
      <c r="AA135" s="67">
        <f t="shared" si="17"/>
        <v>0.03</v>
      </c>
      <c r="AB135" s="3"/>
      <c r="AC135" s="3"/>
      <c r="AD135" s="3"/>
      <c r="AE135" s="67">
        <f t="shared" si="18"/>
        <v>0</v>
      </c>
      <c r="AF135" s="67">
        <f t="shared" si="19"/>
        <v>0.03</v>
      </c>
    </row>
    <row r="136" spans="1:32" ht="46.8">
      <c r="A136" s="41">
        <f t="shared" si="20"/>
        <v>134</v>
      </c>
      <c r="B136" s="34"/>
      <c r="C136" s="42" t="s">
        <v>1002</v>
      </c>
      <c r="D136" s="42" t="s">
        <v>1017</v>
      </c>
      <c r="E136" s="41" t="s">
        <v>1186</v>
      </c>
      <c r="F136" s="43" t="s">
        <v>275</v>
      </c>
      <c r="G136" s="41" t="s">
        <v>28</v>
      </c>
      <c r="H136" s="41"/>
      <c r="I136" s="41"/>
      <c r="J136" s="41"/>
      <c r="K136" s="41"/>
      <c r="L136" s="41"/>
      <c r="M136" s="41"/>
      <c r="N136" s="41" t="s">
        <v>32</v>
      </c>
      <c r="O136" s="3">
        <v>0</v>
      </c>
      <c r="P136" s="3">
        <v>0</v>
      </c>
      <c r="Q136" s="66">
        <v>4.2</v>
      </c>
      <c r="R136" s="3"/>
      <c r="S136" s="3"/>
      <c r="T136" s="3"/>
      <c r="U136" s="67">
        <f t="shared" si="14"/>
        <v>0</v>
      </c>
      <c r="V136" s="67">
        <f t="shared" si="15"/>
        <v>4.2</v>
      </c>
      <c r="W136" s="3"/>
      <c r="X136" s="3"/>
      <c r="Y136" s="3"/>
      <c r="Z136" s="67">
        <f t="shared" si="16"/>
        <v>0</v>
      </c>
      <c r="AA136" s="67">
        <f t="shared" si="17"/>
        <v>4.2</v>
      </c>
      <c r="AB136" s="3"/>
      <c r="AC136" s="3"/>
      <c r="AD136" s="3"/>
      <c r="AE136" s="67">
        <f t="shared" si="18"/>
        <v>0</v>
      </c>
      <c r="AF136" s="67">
        <f t="shared" si="19"/>
        <v>4.2</v>
      </c>
    </row>
    <row r="137" spans="1:32" ht="46.8">
      <c r="A137" s="41">
        <f t="shared" si="20"/>
        <v>135</v>
      </c>
      <c r="B137" s="34"/>
      <c r="C137" s="42" t="s">
        <v>1002</v>
      </c>
      <c r="D137" s="42" t="s">
        <v>1017</v>
      </c>
      <c r="E137" s="41" t="s">
        <v>1187</v>
      </c>
      <c r="F137" s="43" t="s">
        <v>276</v>
      </c>
      <c r="G137" s="41" t="s">
        <v>28</v>
      </c>
      <c r="H137" s="41"/>
      <c r="I137" s="41"/>
      <c r="J137" s="41"/>
      <c r="K137" s="41"/>
      <c r="L137" s="41"/>
      <c r="M137" s="41"/>
      <c r="N137" s="41" t="s">
        <v>32</v>
      </c>
      <c r="O137" s="3">
        <v>0</v>
      </c>
      <c r="P137" s="66">
        <v>132.58000000000001</v>
      </c>
      <c r="Q137" s="66">
        <v>369.74</v>
      </c>
      <c r="R137" s="3">
        <v>136.80529520894061</v>
      </c>
      <c r="S137" s="3"/>
      <c r="T137" s="3"/>
      <c r="U137" s="67">
        <f t="shared" si="14"/>
        <v>132.58000000000001</v>
      </c>
      <c r="V137" s="67">
        <f t="shared" si="15"/>
        <v>506.54529520894062</v>
      </c>
      <c r="W137" s="3"/>
      <c r="X137" s="3"/>
      <c r="Y137" s="3"/>
      <c r="Z137" s="67">
        <f t="shared" si="16"/>
        <v>132.58000000000001</v>
      </c>
      <c r="AA137" s="67">
        <f t="shared" si="17"/>
        <v>506.54529520894062</v>
      </c>
      <c r="AB137" s="3"/>
      <c r="AC137" s="3"/>
      <c r="AD137" s="3"/>
      <c r="AE137" s="67">
        <f t="shared" si="18"/>
        <v>132.58000000000001</v>
      </c>
      <c r="AF137" s="67">
        <f t="shared" si="19"/>
        <v>506.54529520894062</v>
      </c>
    </row>
    <row r="138" spans="1:32" ht="46.8">
      <c r="A138" s="41">
        <f t="shared" si="20"/>
        <v>136</v>
      </c>
      <c r="B138" s="42" t="s">
        <v>277</v>
      </c>
      <c r="C138" s="42" t="s">
        <v>1002</v>
      </c>
      <c r="D138" s="42" t="s">
        <v>1017</v>
      </c>
      <c r="E138" s="41" t="s">
        <v>1188</v>
      </c>
      <c r="F138" s="43" t="s">
        <v>278</v>
      </c>
      <c r="G138" s="41" t="s">
        <v>28</v>
      </c>
      <c r="H138" s="41"/>
      <c r="I138" s="41"/>
      <c r="J138" s="41"/>
      <c r="K138" s="41"/>
      <c r="L138" s="41"/>
      <c r="M138" s="41"/>
      <c r="N138" s="41" t="s">
        <v>67</v>
      </c>
      <c r="O138" s="3">
        <v>0</v>
      </c>
      <c r="P138" s="3">
        <v>0</v>
      </c>
      <c r="Q138" s="66">
        <v>0.19</v>
      </c>
      <c r="R138" s="3"/>
      <c r="S138" s="3"/>
      <c r="T138" s="3"/>
      <c r="U138" s="67">
        <f t="shared" si="14"/>
        <v>0</v>
      </c>
      <c r="V138" s="67">
        <f t="shared" si="15"/>
        <v>0.19</v>
      </c>
      <c r="W138" s="3"/>
      <c r="X138" s="3"/>
      <c r="Y138" s="3"/>
      <c r="Z138" s="67">
        <f t="shared" si="16"/>
        <v>0</v>
      </c>
      <c r="AA138" s="67">
        <f t="shared" si="17"/>
        <v>0.19</v>
      </c>
      <c r="AB138" s="3"/>
      <c r="AC138" s="3"/>
      <c r="AD138" s="3"/>
      <c r="AE138" s="67">
        <f t="shared" si="18"/>
        <v>0</v>
      </c>
      <c r="AF138" s="67">
        <f t="shared" si="19"/>
        <v>0.19</v>
      </c>
    </row>
    <row r="139" spans="1:32" ht="46.8">
      <c r="A139" s="41">
        <f t="shared" si="20"/>
        <v>137</v>
      </c>
      <c r="B139" s="34"/>
      <c r="C139" s="42" t="s">
        <v>1002</v>
      </c>
      <c r="D139" s="34" t="s">
        <v>1017</v>
      </c>
      <c r="E139" s="41" t="s">
        <v>1189</v>
      </c>
      <c r="F139" s="43" t="s">
        <v>279</v>
      </c>
      <c r="G139" s="41"/>
      <c r="H139" s="41">
        <v>3</v>
      </c>
      <c r="I139" s="41" t="s">
        <v>280</v>
      </c>
      <c r="J139" s="70" t="s">
        <v>280</v>
      </c>
      <c r="K139" s="72" t="s">
        <v>281</v>
      </c>
      <c r="L139" s="160">
        <v>0.92</v>
      </c>
      <c r="M139" s="41"/>
      <c r="N139" s="41" t="s">
        <v>67</v>
      </c>
      <c r="O139" s="65">
        <v>0.95</v>
      </c>
      <c r="P139" s="66">
        <v>0.87</v>
      </c>
      <c r="Q139" s="3">
        <v>0</v>
      </c>
      <c r="R139" s="3"/>
      <c r="S139" s="3"/>
      <c r="T139" s="3"/>
      <c r="U139" s="67">
        <f t="shared" si="14"/>
        <v>0.87</v>
      </c>
      <c r="V139" s="67">
        <f t="shared" si="15"/>
        <v>0</v>
      </c>
      <c r="W139" s="3"/>
      <c r="X139" s="3"/>
      <c r="Y139" s="3"/>
      <c r="Z139" s="67">
        <f t="shared" si="16"/>
        <v>0.87</v>
      </c>
      <c r="AA139" s="67">
        <f t="shared" si="17"/>
        <v>0</v>
      </c>
      <c r="AB139" s="3"/>
      <c r="AC139" s="3"/>
      <c r="AD139" s="3"/>
      <c r="AE139" s="67">
        <f t="shared" si="18"/>
        <v>0.87</v>
      </c>
      <c r="AF139" s="67">
        <f t="shared" si="19"/>
        <v>0</v>
      </c>
    </row>
    <row r="140" spans="1:32" ht="46.8">
      <c r="A140" s="41">
        <f t="shared" si="20"/>
        <v>138</v>
      </c>
      <c r="B140" s="42" t="s">
        <v>282</v>
      </c>
      <c r="C140" s="42" t="s">
        <v>1002</v>
      </c>
      <c r="D140" s="42" t="s">
        <v>1017</v>
      </c>
      <c r="E140" s="41" t="s">
        <v>1190</v>
      </c>
      <c r="F140" s="43" t="s">
        <v>283</v>
      </c>
      <c r="G140" s="41"/>
      <c r="H140" s="41"/>
      <c r="I140" s="41"/>
      <c r="J140" s="41"/>
      <c r="K140" s="41"/>
      <c r="L140" s="41"/>
      <c r="M140" s="41"/>
      <c r="N140" s="41" t="s">
        <v>67</v>
      </c>
      <c r="O140" s="65">
        <v>0.54</v>
      </c>
      <c r="P140" s="66">
        <v>0.53</v>
      </c>
      <c r="Q140" s="3">
        <v>0</v>
      </c>
      <c r="R140" s="3"/>
      <c r="S140" s="3"/>
      <c r="T140" s="3"/>
      <c r="U140" s="67">
        <f t="shared" si="14"/>
        <v>0.53</v>
      </c>
      <c r="V140" s="67">
        <f t="shared" si="15"/>
        <v>0</v>
      </c>
      <c r="W140" s="3"/>
      <c r="X140" s="3"/>
      <c r="Y140" s="3"/>
      <c r="Z140" s="67">
        <f t="shared" si="16"/>
        <v>0.53</v>
      </c>
      <c r="AA140" s="67">
        <f t="shared" si="17"/>
        <v>0</v>
      </c>
      <c r="AB140" s="3"/>
      <c r="AC140" s="3"/>
      <c r="AD140" s="3"/>
      <c r="AE140" s="67">
        <f t="shared" si="18"/>
        <v>0.53</v>
      </c>
      <c r="AF140" s="67">
        <f t="shared" si="19"/>
        <v>0</v>
      </c>
    </row>
    <row r="141" spans="1:32" ht="78">
      <c r="A141" s="41">
        <f t="shared" si="20"/>
        <v>139</v>
      </c>
      <c r="B141" s="42" t="s">
        <v>284</v>
      </c>
      <c r="C141" s="42" t="s">
        <v>1002</v>
      </c>
      <c r="D141" s="42" t="s">
        <v>1017</v>
      </c>
      <c r="E141" s="41" t="s">
        <v>1191</v>
      </c>
      <c r="F141" s="43" t="s">
        <v>285</v>
      </c>
      <c r="G141" s="41"/>
      <c r="H141" s="41"/>
      <c r="I141" s="41"/>
      <c r="J141" s="41"/>
      <c r="K141" s="41"/>
      <c r="L141" s="41"/>
      <c r="M141" s="41"/>
      <c r="N141" s="41" t="s">
        <v>516</v>
      </c>
      <c r="O141" s="65">
        <v>15.12</v>
      </c>
      <c r="P141" s="66">
        <v>14.85</v>
      </c>
      <c r="Q141" s="3">
        <v>0</v>
      </c>
      <c r="R141" s="3"/>
      <c r="S141" s="3"/>
      <c r="T141" s="3"/>
      <c r="U141" s="67">
        <f t="shared" si="14"/>
        <v>14.85</v>
      </c>
      <c r="V141" s="67">
        <f t="shared" si="15"/>
        <v>0</v>
      </c>
      <c r="W141" s="3"/>
      <c r="X141" s="3"/>
      <c r="Y141" s="3"/>
      <c r="Z141" s="67">
        <f t="shared" si="16"/>
        <v>14.85</v>
      </c>
      <c r="AA141" s="67">
        <f t="shared" si="17"/>
        <v>0</v>
      </c>
      <c r="AB141" s="3"/>
      <c r="AC141" s="3"/>
      <c r="AD141" s="3"/>
      <c r="AE141" s="67">
        <f t="shared" si="18"/>
        <v>14.85</v>
      </c>
      <c r="AF141" s="67">
        <f t="shared" si="19"/>
        <v>0</v>
      </c>
    </row>
    <row r="142" spans="1:32" ht="62.4">
      <c r="A142" s="41">
        <f t="shared" si="20"/>
        <v>140</v>
      </c>
      <c r="B142" s="42" t="s">
        <v>286</v>
      </c>
      <c r="C142" s="42" t="s">
        <v>1002</v>
      </c>
      <c r="D142" s="42" t="s">
        <v>1017</v>
      </c>
      <c r="E142" s="41" t="s">
        <v>1192</v>
      </c>
      <c r="F142" s="43" t="s">
        <v>287</v>
      </c>
      <c r="G142" s="41"/>
      <c r="H142" s="41"/>
      <c r="I142" s="41"/>
      <c r="J142" s="41"/>
      <c r="K142" s="41"/>
      <c r="L142" s="41"/>
      <c r="M142" s="41"/>
      <c r="N142" s="41" t="s">
        <v>516</v>
      </c>
      <c r="O142" s="65">
        <v>5.19</v>
      </c>
      <c r="P142" s="66">
        <v>14.76</v>
      </c>
      <c r="Q142" s="3">
        <v>0</v>
      </c>
      <c r="R142" s="3"/>
      <c r="S142" s="3"/>
      <c r="T142" s="3"/>
      <c r="U142" s="67">
        <f t="shared" si="14"/>
        <v>14.76</v>
      </c>
      <c r="V142" s="67">
        <f t="shared" si="15"/>
        <v>0</v>
      </c>
      <c r="W142" s="3"/>
      <c r="X142" s="3"/>
      <c r="Y142" s="3"/>
      <c r="Z142" s="67">
        <f t="shared" si="16"/>
        <v>14.76</v>
      </c>
      <c r="AA142" s="67">
        <f t="shared" si="17"/>
        <v>0</v>
      </c>
      <c r="AB142" s="3"/>
      <c r="AC142" s="3"/>
      <c r="AD142" s="3"/>
      <c r="AE142" s="67">
        <f t="shared" si="18"/>
        <v>14.76</v>
      </c>
      <c r="AF142" s="67">
        <f t="shared" si="19"/>
        <v>0</v>
      </c>
    </row>
    <row r="143" spans="1:32" ht="93.6">
      <c r="A143" s="41">
        <f t="shared" si="20"/>
        <v>141</v>
      </c>
      <c r="B143" s="42" t="s">
        <v>288</v>
      </c>
      <c r="C143" s="42"/>
      <c r="D143" s="42" t="s">
        <v>1017</v>
      </c>
      <c r="E143" s="41" t="s">
        <v>1193</v>
      </c>
      <c r="F143" s="43" t="s">
        <v>779</v>
      </c>
      <c r="G143" s="41"/>
      <c r="H143" s="41"/>
      <c r="I143" s="41"/>
      <c r="J143" s="41"/>
      <c r="K143" s="41"/>
      <c r="L143" s="41"/>
      <c r="M143" s="41"/>
      <c r="N143" s="41" t="s">
        <v>67</v>
      </c>
      <c r="O143" s="159">
        <v>17.2</v>
      </c>
      <c r="P143" s="3">
        <v>0</v>
      </c>
      <c r="Q143" s="66">
        <v>8.2213602000000012</v>
      </c>
      <c r="R143" s="69"/>
      <c r="S143" s="3">
        <f>12.5587207+3.5159375+1.1035607</f>
        <v>17.178218900000001</v>
      </c>
      <c r="T143" s="3"/>
      <c r="U143" s="67">
        <f t="shared" si="14"/>
        <v>17.178218900000001</v>
      </c>
      <c r="V143" s="67">
        <f t="shared" si="15"/>
        <v>-8.9568586999999997</v>
      </c>
      <c r="W143" s="3"/>
      <c r="X143" s="3"/>
      <c r="Y143" s="3"/>
      <c r="Z143" s="67">
        <f t="shared" si="16"/>
        <v>17.178218900000001</v>
      </c>
      <c r="AA143" s="67">
        <f t="shared" si="17"/>
        <v>-8.9568586999999997</v>
      </c>
      <c r="AB143" s="3"/>
      <c r="AC143" s="3"/>
      <c r="AD143" s="3"/>
      <c r="AE143" s="67">
        <f t="shared" si="18"/>
        <v>17.178218900000001</v>
      </c>
      <c r="AF143" s="67">
        <f t="shared" si="19"/>
        <v>-8.9568586999999997</v>
      </c>
    </row>
    <row r="144" spans="1:32" ht="62.4">
      <c r="A144" s="41">
        <f t="shared" si="20"/>
        <v>142</v>
      </c>
      <c r="B144" s="42" t="s">
        <v>289</v>
      </c>
      <c r="C144" s="42" t="s">
        <v>1002</v>
      </c>
      <c r="D144" s="42" t="s">
        <v>1017</v>
      </c>
      <c r="E144" s="41" t="s">
        <v>1194</v>
      </c>
      <c r="F144" s="43" t="s">
        <v>290</v>
      </c>
      <c r="G144" s="41"/>
      <c r="H144" s="41"/>
      <c r="I144" s="41"/>
      <c r="J144" s="41"/>
      <c r="K144" s="41"/>
      <c r="L144" s="41"/>
      <c r="M144" s="41"/>
      <c r="N144" s="41" t="s">
        <v>67</v>
      </c>
      <c r="O144" s="3">
        <v>0</v>
      </c>
      <c r="P144" s="3">
        <v>0</v>
      </c>
      <c r="Q144" s="3">
        <v>0</v>
      </c>
      <c r="R144" s="3"/>
      <c r="S144" s="3"/>
      <c r="T144" s="3"/>
      <c r="U144" s="67">
        <f t="shared" si="14"/>
        <v>0</v>
      </c>
      <c r="V144" s="67">
        <f t="shared" si="15"/>
        <v>0</v>
      </c>
      <c r="W144" s="3"/>
      <c r="X144" s="3"/>
      <c r="Y144" s="3"/>
      <c r="Z144" s="67">
        <f t="shared" si="16"/>
        <v>0</v>
      </c>
      <c r="AA144" s="67">
        <f t="shared" si="17"/>
        <v>0</v>
      </c>
      <c r="AB144" s="3"/>
      <c r="AC144" s="3"/>
      <c r="AD144" s="3"/>
      <c r="AE144" s="67">
        <f t="shared" si="18"/>
        <v>0</v>
      </c>
      <c r="AF144" s="67">
        <f t="shared" si="19"/>
        <v>0</v>
      </c>
    </row>
    <row r="145" spans="1:32" ht="78">
      <c r="A145" s="41">
        <f t="shared" si="20"/>
        <v>143</v>
      </c>
      <c r="B145" s="42" t="s">
        <v>291</v>
      </c>
      <c r="C145" s="42" t="s">
        <v>1002</v>
      </c>
      <c r="D145" s="34" t="s">
        <v>1017</v>
      </c>
      <c r="E145" s="41" t="s">
        <v>1195</v>
      </c>
      <c r="F145" s="43" t="s">
        <v>292</v>
      </c>
      <c r="G145" s="41"/>
      <c r="H145" s="41"/>
      <c r="I145" s="41"/>
      <c r="J145" s="41"/>
      <c r="K145" s="41"/>
      <c r="L145" s="41"/>
      <c r="M145" s="41"/>
      <c r="N145" s="41" t="s">
        <v>67</v>
      </c>
      <c r="O145" s="3">
        <v>0</v>
      </c>
      <c r="P145" s="66">
        <v>0.15</v>
      </c>
      <c r="Q145" s="3">
        <v>0</v>
      </c>
      <c r="R145" s="3"/>
      <c r="S145" s="3"/>
      <c r="T145" s="3"/>
      <c r="U145" s="67">
        <f t="shared" si="14"/>
        <v>0.15</v>
      </c>
      <c r="V145" s="67">
        <f t="shared" si="15"/>
        <v>0</v>
      </c>
      <c r="W145" s="3"/>
      <c r="X145" s="3"/>
      <c r="Y145" s="3"/>
      <c r="Z145" s="67">
        <f t="shared" si="16"/>
        <v>0.15</v>
      </c>
      <c r="AA145" s="67">
        <f t="shared" si="17"/>
        <v>0</v>
      </c>
      <c r="AB145" s="3"/>
      <c r="AC145" s="3"/>
      <c r="AD145" s="3"/>
      <c r="AE145" s="67">
        <f t="shared" si="18"/>
        <v>0.15</v>
      </c>
      <c r="AF145" s="67">
        <f t="shared" si="19"/>
        <v>0</v>
      </c>
    </row>
    <row r="146" spans="1:32" ht="62.4">
      <c r="A146" s="41">
        <f t="shared" si="20"/>
        <v>144</v>
      </c>
      <c r="B146" s="42" t="s">
        <v>293</v>
      </c>
      <c r="C146" s="42" t="s">
        <v>1002</v>
      </c>
      <c r="D146" s="42" t="s">
        <v>1017</v>
      </c>
      <c r="E146" s="41" t="s">
        <v>1196</v>
      </c>
      <c r="F146" s="43" t="s">
        <v>294</v>
      </c>
      <c r="G146" s="41"/>
      <c r="H146" s="41"/>
      <c r="I146" s="41"/>
      <c r="J146" s="41"/>
      <c r="K146" s="41"/>
      <c r="L146" s="41"/>
      <c r="M146" s="41"/>
      <c r="N146" s="41" t="s">
        <v>67</v>
      </c>
      <c r="O146" s="65">
        <v>0.96</v>
      </c>
      <c r="P146" s="3">
        <v>0</v>
      </c>
      <c r="Q146" s="66">
        <v>0.8</v>
      </c>
      <c r="R146" s="3"/>
      <c r="S146" s="3"/>
      <c r="T146" s="3"/>
      <c r="U146" s="67">
        <f t="shared" si="14"/>
        <v>0</v>
      </c>
      <c r="V146" s="67">
        <f t="shared" si="15"/>
        <v>0.8</v>
      </c>
      <c r="W146" s="3"/>
      <c r="X146" s="3"/>
      <c r="Y146" s="3"/>
      <c r="Z146" s="67">
        <f t="shared" si="16"/>
        <v>0</v>
      </c>
      <c r="AA146" s="67">
        <f t="shared" si="17"/>
        <v>0.8</v>
      </c>
      <c r="AB146" s="3"/>
      <c r="AC146" s="3"/>
      <c r="AD146" s="3"/>
      <c r="AE146" s="67">
        <f t="shared" si="18"/>
        <v>0</v>
      </c>
      <c r="AF146" s="67">
        <f t="shared" si="19"/>
        <v>0.8</v>
      </c>
    </row>
    <row r="147" spans="1:32" ht="46.8">
      <c r="A147" s="41">
        <f t="shared" si="20"/>
        <v>145</v>
      </c>
      <c r="B147" s="42" t="s">
        <v>295</v>
      </c>
      <c r="C147" s="42" t="s">
        <v>1002</v>
      </c>
      <c r="D147" s="42" t="s">
        <v>1017</v>
      </c>
      <c r="E147" s="41" t="s">
        <v>1197</v>
      </c>
      <c r="F147" s="43" t="s">
        <v>296</v>
      </c>
      <c r="G147" s="41"/>
      <c r="H147" s="41"/>
      <c r="I147" s="41"/>
      <c r="J147" s="41"/>
      <c r="K147" s="41"/>
      <c r="L147" s="41"/>
      <c r="M147" s="41"/>
      <c r="N147" s="41" t="s">
        <v>67</v>
      </c>
      <c r="O147" s="3">
        <v>0</v>
      </c>
      <c r="P147" s="3">
        <v>0</v>
      </c>
      <c r="Q147" s="66">
        <v>0.21</v>
      </c>
      <c r="R147" s="3"/>
      <c r="S147" s="3"/>
      <c r="T147" s="3"/>
      <c r="U147" s="67">
        <f t="shared" si="14"/>
        <v>0</v>
      </c>
      <c r="V147" s="67">
        <f t="shared" si="15"/>
        <v>0.21</v>
      </c>
      <c r="W147" s="3"/>
      <c r="X147" s="3"/>
      <c r="Y147" s="3"/>
      <c r="Z147" s="67">
        <f t="shared" si="16"/>
        <v>0</v>
      </c>
      <c r="AA147" s="67">
        <f t="shared" si="17"/>
        <v>0.21</v>
      </c>
      <c r="AB147" s="3"/>
      <c r="AC147" s="3"/>
      <c r="AD147" s="3"/>
      <c r="AE147" s="67">
        <f t="shared" si="18"/>
        <v>0</v>
      </c>
      <c r="AF147" s="67">
        <f t="shared" si="19"/>
        <v>0.21</v>
      </c>
    </row>
    <row r="148" spans="1:32" ht="46.8">
      <c r="A148" s="41">
        <f t="shared" si="20"/>
        <v>146</v>
      </c>
      <c r="B148" s="42" t="s">
        <v>297</v>
      </c>
      <c r="C148" s="42" t="s">
        <v>1002</v>
      </c>
      <c r="D148" s="42" t="s">
        <v>1017</v>
      </c>
      <c r="E148" s="41" t="s">
        <v>1198</v>
      </c>
      <c r="F148" s="43" t="s">
        <v>298</v>
      </c>
      <c r="G148" s="41"/>
      <c r="H148" s="41"/>
      <c r="I148" s="41"/>
      <c r="J148" s="41"/>
      <c r="K148" s="41"/>
      <c r="L148" s="41"/>
      <c r="M148" s="41"/>
      <c r="N148" s="41" t="s">
        <v>67</v>
      </c>
      <c r="O148" s="3">
        <v>0</v>
      </c>
      <c r="P148" s="3">
        <v>0</v>
      </c>
      <c r="Q148" s="66">
        <v>0.13</v>
      </c>
      <c r="R148" s="3"/>
      <c r="S148" s="3"/>
      <c r="T148" s="3"/>
      <c r="U148" s="67">
        <f t="shared" si="14"/>
        <v>0</v>
      </c>
      <c r="V148" s="67">
        <f t="shared" si="15"/>
        <v>0.13</v>
      </c>
      <c r="W148" s="3"/>
      <c r="X148" s="3"/>
      <c r="Y148" s="3"/>
      <c r="Z148" s="67">
        <f t="shared" si="16"/>
        <v>0</v>
      </c>
      <c r="AA148" s="67">
        <f t="shared" si="17"/>
        <v>0.13</v>
      </c>
      <c r="AB148" s="3"/>
      <c r="AC148" s="3"/>
      <c r="AD148" s="3"/>
      <c r="AE148" s="67">
        <f t="shared" si="18"/>
        <v>0</v>
      </c>
      <c r="AF148" s="67">
        <f t="shared" si="19"/>
        <v>0.13</v>
      </c>
    </row>
    <row r="149" spans="1:32" ht="78">
      <c r="A149" s="41">
        <f t="shared" si="20"/>
        <v>147</v>
      </c>
      <c r="B149" s="42" t="s">
        <v>299</v>
      </c>
      <c r="C149" s="42" t="s">
        <v>1002</v>
      </c>
      <c r="D149" s="42" t="s">
        <v>1017</v>
      </c>
      <c r="E149" s="41" t="s">
        <v>1199</v>
      </c>
      <c r="F149" s="43" t="s">
        <v>300</v>
      </c>
      <c r="G149" s="41"/>
      <c r="H149" s="41"/>
      <c r="I149" s="41"/>
      <c r="J149" s="41"/>
      <c r="K149" s="41"/>
      <c r="L149" s="41"/>
      <c r="M149" s="41"/>
      <c r="N149" s="41" t="s">
        <v>67</v>
      </c>
      <c r="O149" s="3">
        <v>0</v>
      </c>
      <c r="P149" s="3">
        <v>0</v>
      </c>
      <c r="Q149" s="66">
        <v>1.52</v>
      </c>
      <c r="R149" s="3"/>
      <c r="S149" s="3"/>
      <c r="T149" s="3"/>
      <c r="U149" s="67">
        <f t="shared" si="14"/>
        <v>0</v>
      </c>
      <c r="V149" s="67">
        <f t="shared" si="15"/>
        <v>1.52</v>
      </c>
      <c r="W149" s="3"/>
      <c r="X149" s="3"/>
      <c r="Y149" s="3"/>
      <c r="Z149" s="67">
        <f t="shared" si="16"/>
        <v>0</v>
      </c>
      <c r="AA149" s="67">
        <f t="shared" si="17"/>
        <v>1.52</v>
      </c>
      <c r="AB149" s="3"/>
      <c r="AC149" s="3"/>
      <c r="AD149" s="3"/>
      <c r="AE149" s="67">
        <f t="shared" si="18"/>
        <v>0</v>
      </c>
      <c r="AF149" s="67">
        <f t="shared" si="19"/>
        <v>1.52</v>
      </c>
    </row>
    <row r="150" spans="1:32" ht="46.8">
      <c r="A150" s="41">
        <f t="shared" si="20"/>
        <v>148</v>
      </c>
      <c r="B150" s="42" t="s">
        <v>301</v>
      </c>
      <c r="C150" s="42" t="s">
        <v>1002</v>
      </c>
      <c r="D150" s="42" t="s">
        <v>1017</v>
      </c>
      <c r="E150" s="41" t="s">
        <v>1200</v>
      </c>
      <c r="F150" s="43" t="s">
        <v>302</v>
      </c>
      <c r="G150" s="41"/>
      <c r="H150" s="41"/>
      <c r="I150" s="41"/>
      <c r="J150" s="41"/>
      <c r="K150" s="41"/>
      <c r="L150" s="41"/>
      <c r="M150" s="41"/>
      <c r="N150" s="41" t="s">
        <v>67</v>
      </c>
      <c r="O150" s="65">
        <v>0.71</v>
      </c>
      <c r="P150" s="3">
        <v>0</v>
      </c>
      <c r="Q150" s="66">
        <v>0.22</v>
      </c>
      <c r="R150" s="3"/>
      <c r="S150" s="3"/>
      <c r="T150" s="3"/>
      <c r="U150" s="67">
        <f t="shared" si="14"/>
        <v>0</v>
      </c>
      <c r="V150" s="67">
        <f t="shared" si="15"/>
        <v>0.22</v>
      </c>
      <c r="W150" s="3"/>
      <c r="X150" s="3"/>
      <c r="Y150" s="3"/>
      <c r="Z150" s="67">
        <f t="shared" si="16"/>
        <v>0</v>
      </c>
      <c r="AA150" s="67">
        <f t="shared" si="17"/>
        <v>0.22</v>
      </c>
      <c r="AB150" s="3"/>
      <c r="AC150" s="3"/>
      <c r="AD150" s="3"/>
      <c r="AE150" s="67">
        <f t="shared" si="18"/>
        <v>0</v>
      </c>
      <c r="AF150" s="67">
        <f t="shared" si="19"/>
        <v>0.22</v>
      </c>
    </row>
    <row r="151" spans="1:32" ht="46.8">
      <c r="A151" s="41">
        <f t="shared" si="20"/>
        <v>149</v>
      </c>
      <c r="B151" s="42" t="s">
        <v>303</v>
      </c>
      <c r="C151" s="42" t="s">
        <v>1002</v>
      </c>
      <c r="D151" s="42" t="s">
        <v>1017</v>
      </c>
      <c r="E151" s="41" t="s">
        <v>1201</v>
      </c>
      <c r="F151" s="43" t="s">
        <v>304</v>
      </c>
      <c r="G151" s="41"/>
      <c r="H151" s="41"/>
      <c r="I151" s="41"/>
      <c r="J151" s="41"/>
      <c r="K151" s="41"/>
      <c r="L151" s="41"/>
      <c r="M151" s="41"/>
      <c r="N151" s="41" t="s">
        <v>67</v>
      </c>
      <c r="O151" s="3">
        <v>0</v>
      </c>
      <c r="P151" s="3">
        <v>0</v>
      </c>
      <c r="Q151" s="66">
        <v>4.72</v>
      </c>
      <c r="R151" s="3"/>
      <c r="S151" s="3"/>
      <c r="T151" s="3"/>
      <c r="U151" s="67">
        <f t="shared" si="14"/>
        <v>0</v>
      </c>
      <c r="V151" s="67">
        <f t="shared" si="15"/>
        <v>4.72</v>
      </c>
      <c r="W151" s="3"/>
      <c r="X151" s="3"/>
      <c r="Y151" s="3"/>
      <c r="Z151" s="67">
        <f t="shared" si="16"/>
        <v>0</v>
      </c>
      <c r="AA151" s="67">
        <f t="shared" si="17"/>
        <v>4.72</v>
      </c>
      <c r="AB151" s="3"/>
      <c r="AC151" s="3"/>
      <c r="AD151" s="3"/>
      <c r="AE151" s="67">
        <f t="shared" si="18"/>
        <v>0</v>
      </c>
      <c r="AF151" s="67">
        <f t="shared" si="19"/>
        <v>4.72</v>
      </c>
    </row>
    <row r="152" spans="1:32" ht="46.8">
      <c r="A152" s="41">
        <f t="shared" si="20"/>
        <v>150</v>
      </c>
      <c r="B152" s="42" t="s">
        <v>305</v>
      </c>
      <c r="C152" s="42" t="s">
        <v>1002</v>
      </c>
      <c r="D152" s="42" t="s">
        <v>1017</v>
      </c>
      <c r="E152" s="41" t="s">
        <v>1202</v>
      </c>
      <c r="F152" s="43" t="s">
        <v>306</v>
      </c>
      <c r="G152" s="41"/>
      <c r="H152" s="41"/>
      <c r="I152" s="41"/>
      <c r="J152" s="41"/>
      <c r="K152" s="41"/>
      <c r="L152" s="41"/>
      <c r="M152" s="41"/>
      <c r="N152" s="41" t="s">
        <v>67</v>
      </c>
      <c r="O152" s="3">
        <v>0</v>
      </c>
      <c r="P152" s="3">
        <v>0</v>
      </c>
      <c r="Q152" s="66">
        <v>0.18</v>
      </c>
      <c r="R152" s="3"/>
      <c r="S152" s="3"/>
      <c r="T152" s="3"/>
      <c r="U152" s="67">
        <f t="shared" si="14"/>
        <v>0</v>
      </c>
      <c r="V152" s="67">
        <f t="shared" si="15"/>
        <v>0.18</v>
      </c>
      <c r="W152" s="3"/>
      <c r="X152" s="3"/>
      <c r="Y152" s="3"/>
      <c r="Z152" s="67">
        <f t="shared" si="16"/>
        <v>0</v>
      </c>
      <c r="AA152" s="67">
        <f t="shared" si="17"/>
        <v>0.18</v>
      </c>
      <c r="AB152" s="3"/>
      <c r="AC152" s="3"/>
      <c r="AD152" s="3"/>
      <c r="AE152" s="67">
        <f t="shared" si="18"/>
        <v>0</v>
      </c>
      <c r="AF152" s="67">
        <f t="shared" si="19"/>
        <v>0.18</v>
      </c>
    </row>
    <row r="153" spans="1:32" ht="46.8">
      <c r="A153" s="41">
        <f t="shared" si="20"/>
        <v>151</v>
      </c>
      <c r="B153" s="34"/>
      <c r="C153" s="42" t="s">
        <v>1002</v>
      </c>
      <c r="D153" s="42" t="s">
        <v>1017</v>
      </c>
      <c r="E153" s="41" t="s">
        <v>1203</v>
      </c>
      <c r="F153" s="43" t="s">
        <v>307</v>
      </c>
      <c r="G153" s="41"/>
      <c r="H153" s="41"/>
      <c r="I153" s="41"/>
      <c r="J153" s="41"/>
      <c r="K153" s="41"/>
      <c r="L153" s="41"/>
      <c r="M153" s="41"/>
      <c r="N153" s="41" t="s">
        <v>67</v>
      </c>
      <c r="O153" s="3">
        <v>0</v>
      </c>
      <c r="P153" s="66">
        <v>24.64</v>
      </c>
      <c r="Q153" s="66">
        <v>13.56</v>
      </c>
      <c r="R153" s="3"/>
      <c r="S153" s="3"/>
      <c r="T153" s="3"/>
      <c r="U153" s="67">
        <f t="shared" si="14"/>
        <v>24.64</v>
      </c>
      <c r="V153" s="67">
        <f t="shared" si="15"/>
        <v>13.56</v>
      </c>
      <c r="W153" s="3"/>
      <c r="X153" s="3"/>
      <c r="Y153" s="3"/>
      <c r="Z153" s="67">
        <f t="shared" si="16"/>
        <v>24.64</v>
      </c>
      <c r="AA153" s="67">
        <f t="shared" si="17"/>
        <v>13.56</v>
      </c>
      <c r="AB153" s="3"/>
      <c r="AC153" s="3"/>
      <c r="AD153" s="3"/>
      <c r="AE153" s="67">
        <f t="shared" si="18"/>
        <v>24.64</v>
      </c>
      <c r="AF153" s="67">
        <f t="shared" si="19"/>
        <v>13.56</v>
      </c>
    </row>
    <row r="154" spans="1:32" ht="46.8">
      <c r="A154" s="41">
        <f t="shared" si="20"/>
        <v>152</v>
      </c>
      <c r="B154" s="34"/>
      <c r="C154" s="42" t="s">
        <v>1002</v>
      </c>
      <c r="D154" s="42" t="s">
        <v>1017</v>
      </c>
      <c r="E154" s="41" t="s">
        <v>1204</v>
      </c>
      <c r="F154" s="43" t="s">
        <v>308</v>
      </c>
      <c r="G154" s="41"/>
      <c r="H154" s="41"/>
      <c r="I154" s="41"/>
      <c r="J154" s="41"/>
      <c r="K154" s="41"/>
      <c r="L154" s="41"/>
      <c r="M154" s="41"/>
      <c r="N154" s="41" t="s">
        <v>82</v>
      </c>
      <c r="O154" s="3">
        <v>0</v>
      </c>
      <c r="P154" s="3">
        <v>0</v>
      </c>
      <c r="Q154" s="66">
        <v>0.16</v>
      </c>
      <c r="R154" s="3"/>
      <c r="S154" s="3"/>
      <c r="T154" s="3"/>
      <c r="U154" s="67">
        <f t="shared" si="14"/>
        <v>0</v>
      </c>
      <c r="V154" s="67">
        <f t="shared" si="15"/>
        <v>0.16</v>
      </c>
      <c r="W154" s="3"/>
      <c r="X154" s="3"/>
      <c r="Y154" s="3"/>
      <c r="Z154" s="67">
        <f t="shared" si="16"/>
        <v>0</v>
      </c>
      <c r="AA154" s="67">
        <f t="shared" si="17"/>
        <v>0.16</v>
      </c>
      <c r="AB154" s="3"/>
      <c r="AC154" s="3"/>
      <c r="AD154" s="3"/>
      <c r="AE154" s="67">
        <f t="shared" si="18"/>
        <v>0</v>
      </c>
      <c r="AF154" s="67">
        <f t="shared" si="19"/>
        <v>0.16</v>
      </c>
    </row>
    <row r="155" spans="1:32" ht="46.8">
      <c r="A155" s="41">
        <f t="shared" si="20"/>
        <v>153</v>
      </c>
      <c r="B155" s="34"/>
      <c r="C155" s="42" t="s">
        <v>1002</v>
      </c>
      <c r="D155" s="34" t="s">
        <v>1017</v>
      </c>
      <c r="E155" s="41" t="s">
        <v>1205</v>
      </c>
      <c r="F155" s="43" t="s">
        <v>309</v>
      </c>
      <c r="G155" s="41"/>
      <c r="H155" s="41"/>
      <c r="I155" s="41"/>
      <c r="J155" s="41"/>
      <c r="K155" s="41"/>
      <c r="L155" s="41"/>
      <c r="M155" s="41"/>
      <c r="N155" s="41" t="s">
        <v>82</v>
      </c>
      <c r="O155" s="3">
        <v>0</v>
      </c>
      <c r="P155" s="66">
        <v>1.1599999999999999</v>
      </c>
      <c r="Q155" s="3">
        <v>0</v>
      </c>
      <c r="R155" s="3"/>
      <c r="S155" s="3"/>
      <c r="T155" s="3"/>
      <c r="U155" s="67">
        <f t="shared" si="14"/>
        <v>1.1599999999999999</v>
      </c>
      <c r="V155" s="67">
        <f t="shared" si="15"/>
        <v>0</v>
      </c>
      <c r="W155" s="3"/>
      <c r="X155" s="3"/>
      <c r="Y155" s="3"/>
      <c r="Z155" s="67">
        <f t="shared" si="16"/>
        <v>1.1599999999999999</v>
      </c>
      <c r="AA155" s="67">
        <f t="shared" si="17"/>
        <v>0</v>
      </c>
      <c r="AB155" s="3"/>
      <c r="AC155" s="3"/>
      <c r="AD155" s="3"/>
      <c r="AE155" s="67">
        <f t="shared" si="18"/>
        <v>1.1599999999999999</v>
      </c>
      <c r="AF155" s="67">
        <f t="shared" si="19"/>
        <v>0</v>
      </c>
    </row>
    <row r="156" spans="1:32" ht="46.8">
      <c r="A156" s="41">
        <f t="shared" si="20"/>
        <v>154</v>
      </c>
      <c r="B156" s="42" t="s">
        <v>310</v>
      </c>
      <c r="C156" s="42" t="s">
        <v>1002</v>
      </c>
      <c r="D156" s="42" t="s">
        <v>1017</v>
      </c>
      <c r="E156" s="41" t="s">
        <v>1205</v>
      </c>
      <c r="F156" s="43" t="s">
        <v>311</v>
      </c>
      <c r="G156" s="41"/>
      <c r="H156" s="41"/>
      <c r="I156" s="41"/>
      <c r="J156" s="41"/>
      <c r="K156" s="41"/>
      <c r="L156" s="41"/>
      <c r="M156" s="41"/>
      <c r="N156" s="41" t="s">
        <v>67</v>
      </c>
      <c r="O156" s="3">
        <v>0</v>
      </c>
      <c r="P156" s="66">
        <v>0.12</v>
      </c>
      <c r="Q156" s="3">
        <v>0</v>
      </c>
      <c r="R156" s="3"/>
      <c r="S156" s="3"/>
      <c r="T156" s="3"/>
      <c r="U156" s="67">
        <f t="shared" si="14"/>
        <v>0.12</v>
      </c>
      <c r="V156" s="67">
        <f t="shared" si="15"/>
        <v>0</v>
      </c>
      <c r="W156" s="3"/>
      <c r="X156" s="3"/>
      <c r="Y156" s="3"/>
      <c r="Z156" s="67">
        <f t="shared" si="16"/>
        <v>0.12</v>
      </c>
      <c r="AA156" s="67">
        <f t="shared" si="17"/>
        <v>0</v>
      </c>
      <c r="AB156" s="3"/>
      <c r="AC156" s="3"/>
      <c r="AD156" s="3"/>
      <c r="AE156" s="67">
        <f t="shared" si="18"/>
        <v>0.12</v>
      </c>
      <c r="AF156" s="67">
        <f t="shared" si="19"/>
        <v>0</v>
      </c>
    </row>
    <row r="157" spans="1:32" ht="46.8">
      <c r="A157" s="41">
        <f t="shared" si="20"/>
        <v>155</v>
      </c>
      <c r="B157" s="42" t="s">
        <v>312</v>
      </c>
      <c r="C157" s="42" t="s">
        <v>1002</v>
      </c>
      <c r="D157" s="42" t="s">
        <v>1017</v>
      </c>
      <c r="E157" s="41" t="s">
        <v>1206</v>
      </c>
      <c r="F157" s="43" t="s">
        <v>313</v>
      </c>
      <c r="G157" s="41"/>
      <c r="H157" s="41"/>
      <c r="I157" s="41"/>
      <c r="J157" s="41"/>
      <c r="K157" s="41"/>
      <c r="L157" s="41"/>
      <c r="M157" s="41"/>
      <c r="N157" s="41" t="s">
        <v>67</v>
      </c>
      <c r="O157" s="3">
        <v>0</v>
      </c>
      <c r="P157" s="66">
        <v>0.8</v>
      </c>
      <c r="Q157" s="3">
        <v>0</v>
      </c>
      <c r="R157" s="3"/>
      <c r="S157" s="3"/>
      <c r="T157" s="3"/>
      <c r="U157" s="67">
        <f t="shared" si="14"/>
        <v>0.8</v>
      </c>
      <c r="V157" s="67">
        <f t="shared" si="15"/>
        <v>0</v>
      </c>
      <c r="W157" s="3"/>
      <c r="X157" s="3"/>
      <c r="Y157" s="3"/>
      <c r="Z157" s="67">
        <f t="shared" si="16"/>
        <v>0.8</v>
      </c>
      <c r="AA157" s="67">
        <f t="shared" si="17"/>
        <v>0</v>
      </c>
      <c r="AB157" s="3"/>
      <c r="AC157" s="3"/>
      <c r="AD157" s="3"/>
      <c r="AE157" s="67">
        <f t="shared" si="18"/>
        <v>0.8</v>
      </c>
      <c r="AF157" s="67">
        <f t="shared" si="19"/>
        <v>0</v>
      </c>
    </row>
    <row r="158" spans="1:32" ht="46.8">
      <c r="A158" s="41">
        <f t="shared" si="20"/>
        <v>156</v>
      </c>
      <c r="B158" s="42" t="s">
        <v>314</v>
      </c>
      <c r="C158" s="42" t="s">
        <v>1002</v>
      </c>
      <c r="D158" s="41" t="s">
        <v>1019</v>
      </c>
      <c r="E158" s="41" t="s">
        <v>1207</v>
      </c>
      <c r="F158" s="43" t="s">
        <v>315</v>
      </c>
      <c r="G158" s="41"/>
      <c r="H158" s="41"/>
      <c r="I158" s="41"/>
      <c r="J158" s="41"/>
      <c r="K158" s="41"/>
      <c r="L158" s="41"/>
      <c r="M158" s="41"/>
      <c r="N158" s="41" t="s">
        <v>67</v>
      </c>
      <c r="O158" s="3">
        <v>0</v>
      </c>
      <c r="P158" s="66">
        <v>0.78</v>
      </c>
      <c r="Q158" s="3">
        <v>0</v>
      </c>
      <c r="R158" s="3"/>
      <c r="S158" s="3"/>
      <c r="T158" s="3"/>
      <c r="U158" s="67">
        <f t="shared" si="14"/>
        <v>0.78</v>
      </c>
      <c r="V158" s="67">
        <f t="shared" si="15"/>
        <v>0</v>
      </c>
      <c r="W158" s="3"/>
      <c r="X158" s="3"/>
      <c r="Y158" s="3"/>
      <c r="Z158" s="67">
        <f t="shared" si="16"/>
        <v>0.78</v>
      </c>
      <c r="AA158" s="67">
        <f t="shared" si="17"/>
        <v>0</v>
      </c>
      <c r="AB158" s="3"/>
      <c r="AC158" s="3"/>
      <c r="AD158" s="3"/>
      <c r="AE158" s="67">
        <f t="shared" si="18"/>
        <v>0.78</v>
      </c>
      <c r="AF158" s="67">
        <f t="shared" si="19"/>
        <v>0</v>
      </c>
    </row>
    <row r="159" spans="1:32" ht="62.4">
      <c r="A159" s="41">
        <f t="shared" si="20"/>
        <v>157</v>
      </c>
      <c r="B159" s="42" t="s">
        <v>316</v>
      </c>
      <c r="C159" s="42" t="s">
        <v>1002</v>
      </c>
      <c r="D159" s="41" t="s">
        <v>1019</v>
      </c>
      <c r="E159" s="41" t="s">
        <v>1208</v>
      </c>
      <c r="F159" s="43" t="s">
        <v>317</v>
      </c>
      <c r="G159" s="41"/>
      <c r="H159" s="41"/>
      <c r="I159" s="41"/>
      <c r="J159" s="41"/>
      <c r="K159" s="41"/>
      <c r="L159" s="41"/>
      <c r="M159" s="41"/>
      <c r="N159" s="41" t="s">
        <v>67</v>
      </c>
      <c r="O159" s="3">
        <v>0</v>
      </c>
      <c r="P159" s="66">
        <v>0.22</v>
      </c>
      <c r="Q159" s="3">
        <v>0</v>
      </c>
      <c r="R159" s="3"/>
      <c r="S159" s="3"/>
      <c r="T159" s="3"/>
      <c r="U159" s="67">
        <f t="shared" si="14"/>
        <v>0.22</v>
      </c>
      <c r="V159" s="67">
        <f t="shared" si="15"/>
        <v>0</v>
      </c>
      <c r="W159" s="3"/>
      <c r="X159" s="3"/>
      <c r="Y159" s="3"/>
      <c r="Z159" s="67">
        <f t="shared" si="16"/>
        <v>0.22</v>
      </c>
      <c r="AA159" s="67">
        <f t="shared" si="17"/>
        <v>0</v>
      </c>
      <c r="AB159" s="3"/>
      <c r="AC159" s="3"/>
      <c r="AD159" s="3"/>
      <c r="AE159" s="67">
        <f t="shared" si="18"/>
        <v>0.22</v>
      </c>
      <c r="AF159" s="67">
        <f t="shared" si="19"/>
        <v>0</v>
      </c>
    </row>
    <row r="160" spans="1:32" ht="46.8">
      <c r="A160" s="41">
        <f t="shared" si="20"/>
        <v>158</v>
      </c>
      <c r="B160" s="42" t="s">
        <v>318</v>
      </c>
      <c r="C160" s="42" t="s">
        <v>1002</v>
      </c>
      <c r="D160" s="41" t="s">
        <v>1019</v>
      </c>
      <c r="E160" s="41" t="s">
        <v>1209</v>
      </c>
      <c r="F160" s="43" t="s">
        <v>319</v>
      </c>
      <c r="G160" s="41"/>
      <c r="H160" s="41"/>
      <c r="I160" s="41"/>
      <c r="J160" s="41"/>
      <c r="K160" s="41"/>
      <c r="L160" s="41"/>
      <c r="M160" s="41"/>
      <c r="N160" s="41" t="s">
        <v>67</v>
      </c>
      <c r="O160" s="3">
        <v>0</v>
      </c>
      <c r="P160" s="66">
        <v>0.92</v>
      </c>
      <c r="Q160" s="3">
        <v>0</v>
      </c>
      <c r="R160" s="3"/>
      <c r="S160" s="3"/>
      <c r="T160" s="3"/>
      <c r="U160" s="67">
        <f t="shared" si="14"/>
        <v>0.92</v>
      </c>
      <c r="V160" s="67">
        <f t="shared" si="15"/>
        <v>0</v>
      </c>
      <c r="W160" s="3"/>
      <c r="X160" s="3"/>
      <c r="Y160" s="3"/>
      <c r="Z160" s="67">
        <f t="shared" si="16"/>
        <v>0.92</v>
      </c>
      <c r="AA160" s="67">
        <f t="shared" si="17"/>
        <v>0</v>
      </c>
      <c r="AB160" s="3"/>
      <c r="AC160" s="3"/>
      <c r="AD160" s="3"/>
      <c r="AE160" s="67">
        <f t="shared" si="18"/>
        <v>0.92</v>
      </c>
      <c r="AF160" s="67">
        <f t="shared" si="19"/>
        <v>0</v>
      </c>
    </row>
    <row r="161" spans="1:32" ht="47.4">
      <c r="A161" s="41">
        <f t="shared" si="20"/>
        <v>159</v>
      </c>
      <c r="B161" s="42" t="s">
        <v>320</v>
      </c>
      <c r="C161" s="42" t="s">
        <v>1002</v>
      </c>
      <c r="D161" s="41" t="s">
        <v>1019</v>
      </c>
      <c r="E161" s="41" t="s">
        <v>1210</v>
      </c>
      <c r="F161" s="43" t="s">
        <v>1009</v>
      </c>
      <c r="G161" s="41"/>
      <c r="H161" s="41"/>
      <c r="I161" s="41"/>
      <c r="J161" s="41"/>
      <c r="K161" s="41"/>
      <c r="L161" s="41"/>
      <c r="M161" s="41"/>
      <c r="N161" s="41" t="s">
        <v>67</v>
      </c>
      <c r="O161" s="3">
        <v>0</v>
      </c>
      <c r="P161" s="66">
        <v>8.2200000000000006</v>
      </c>
      <c r="Q161" s="3">
        <v>0</v>
      </c>
      <c r="R161" s="3"/>
      <c r="S161" s="3"/>
      <c r="T161" s="3"/>
      <c r="U161" s="67">
        <f t="shared" si="14"/>
        <v>8.2200000000000006</v>
      </c>
      <c r="V161" s="67">
        <f t="shared" si="15"/>
        <v>0</v>
      </c>
      <c r="W161" s="3"/>
      <c r="X161" s="3"/>
      <c r="Y161" s="3"/>
      <c r="Z161" s="67">
        <f t="shared" si="16"/>
        <v>8.2200000000000006</v>
      </c>
      <c r="AA161" s="67">
        <f t="shared" si="17"/>
        <v>0</v>
      </c>
      <c r="AB161" s="3"/>
      <c r="AC161" s="3"/>
      <c r="AD161" s="3"/>
      <c r="AE161" s="67">
        <f t="shared" si="18"/>
        <v>8.2200000000000006</v>
      </c>
      <c r="AF161" s="67">
        <f t="shared" si="19"/>
        <v>0</v>
      </c>
    </row>
    <row r="162" spans="1:32" ht="46.8">
      <c r="A162" s="41">
        <f t="shared" si="20"/>
        <v>160</v>
      </c>
      <c r="B162" s="42" t="s">
        <v>321</v>
      </c>
      <c r="C162" s="34" t="s">
        <v>1002</v>
      </c>
      <c r="D162" s="41" t="s">
        <v>1019</v>
      </c>
      <c r="E162" s="41" t="s">
        <v>1211</v>
      </c>
      <c r="F162" s="43" t="s">
        <v>998</v>
      </c>
      <c r="G162" s="41"/>
      <c r="H162" s="41"/>
      <c r="I162" s="41"/>
      <c r="J162" s="41"/>
      <c r="K162" s="41"/>
      <c r="L162" s="41"/>
      <c r="M162" s="41"/>
      <c r="N162" s="41" t="s">
        <v>67</v>
      </c>
      <c r="O162" s="3">
        <v>0</v>
      </c>
      <c r="P162" s="66">
        <v>0.18</v>
      </c>
      <c r="Q162" s="66">
        <v>0.4</v>
      </c>
      <c r="R162" s="3"/>
      <c r="S162" s="3"/>
      <c r="T162" s="3"/>
      <c r="U162" s="67">
        <f t="shared" si="14"/>
        <v>0.18</v>
      </c>
      <c r="V162" s="67">
        <f t="shared" si="15"/>
        <v>0.4</v>
      </c>
      <c r="W162" s="3"/>
      <c r="X162" s="3"/>
      <c r="Y162" s="3"/>
      <c r="Z162" s="67">
        <f t="shared" si="16"/>
        <v>0.18</v>
      </c>
      <c r="AA162" s="67">
        <f t="shared" si="17"/>
        <v>0.4</v>
      </c>
      <c r="AB162" s="3"/>
      <c r="AC162" s="3"/>
      <c r="AD162" s="3"/>
      <c r="AE162" s="67">
        <f t="shared" si="18"/>
        <v>0.18</v>
      </c>
      <c r="AF162" s="67">
        <f t="shared" si="19"/>
        <v>0.4</v>
      </c>
    </row>
    <row r="163" spans="1:32" ht="46.8">
      <c r="A163" s="41">
        <f t="shared" si="20"/>
        <v>161</v>
      </c>
      <c r="B163" s="42" t="s">
        <v>322</v>
      </c>
      <c r="C163" s="42" t="s">
        <v>1002</v>
      </c>
      <c r="D163" s="41" t="s">
        <v>1019</v>
      </c>
      <c r="E163" s="41" t="s">
        <v>1212</v>
      </c>
      <c r="F163" s="43" t="s">
        <v>323</v>
      </c>
      <c r="G163" s="41"/>
      <c r="H163" s="41"/>
      <c r="I163" s="41"/>
      <c r="J163" s="41"/>
      <c r="K163" s="41"/>
      <c r="L163" s="41"/>
      <c r="M163" s="41"/>
      <c r="N163" s="41" t="s">
        <v>67</v>
      </c>
      <c r="O163" s="3">
        <v>0</v>
      </c>
      <c r="P163" s="66">
        <v>1.17</v>
      </c>
      <c r="Q163" s="3">
        <v>0</v>
      </c>
      <c r="R163" s="3"/>
      <c r="S163" s="3"/>
      <c r="T163" s="3"/>
      <c r="U163" s="67">
        <f t="shared" si="14"/>
        <v>1.17</v>
      </c>
      <c r="V163" s="67">
        <f t="shared" si="15"/>
        <v>0</v>
      </c>
      <c r="W163" s="3"/>
      <c r="X163" s="3"/>
      <c r="Y163" s="3"/>
      <c r="Z163" s="67">
        <f t="shared" si="16"/>
        <v>1.17</v>
      </c>
      <c r="AA163" s="67">
        <f t="shared" si="17"/>
        <v>0</v>
      </c>
      <c r="AB163" s="3"/>
      <c r="AC163" s="3"/>
      <c r="AD163" s="3"/>
      <c r="AE163" s="67">
        <f t="shared" si="18"/>
        <v>1.17</v>
      </c>
      <c r="AF163" s="67">
        <f t="shared" si="19"/>
        <v>0</v>
      </c>
    </row>
    <row r="164" spans="1:32" ht="46.8">
      <c r="A164" s="41">
        <f t="shared" si="20"/>
        <v>162</v>
      </c>
      <c r="B164" s="42" t="s">
        <v>324</v>
      </c>
      <c r="C164" s="42" t="s">
        <v>1002</v>
      </c>
      <c r="D164" s="41" t="s">
        <v>1019</v>
      </c>
      <c r="E164" s="41" t="s">
        <v>1213</v>
      </c>
      <c r="F164" s="43" t="s">
        <v>325</v>
      </c>
      <c r="G164" s="41"/>
      <c r="H164" s="41"/>
      <c r="I164" s="41"/>
      <c r="J164" s="41"/>
      <c r="K164" s="41"/>
      <c r="L164" s="41"/>
      <c r="M164" s="41"/>
      <c r="N164" s="41" t="s">
        <v>67</v>
      </c>
      <c r="O164" s="3">
        <v>0</v>
      </c>
      <c r="P164" s="66">
        <v>0.08</v>
      </c>
      <c r="Q164" s="3">
        <v>0</v>
      </c>
      <c r="R164" s="3"/>
      <c r="S164" s="3"/>
      <c r="T164" s="3"/>
      <c r="U164" s="67">
        <f t="shared" si="14"/>
        <v>0.08</v>
      </c>
      <c r="V164" s="67">
        <f t="shared" si="15"/>
        <v>0</v>
      </c>
      <c r="W164" s="3"/>
      <c r="X164" s="3"/>
      <c r="Y164" s="3"/>
      <c r="Z164" s="67">
        <f t="shared" si="16"/>
        <v>0.08</v>
      </c>
      <c r="AA164" s="67">
        <f t="shared" si="17"/>
        <v>0</v>
      </c>
      <c r="AB164" s="3"/>
      <c r="AC164" s="3"/>
      <c r="AD164" s="3"/>
      <c r="AE164" s="67">
        <f t="shared" si="18"/>
        <v>0.08</v>
      </c>
      <c r="AF164" s="67">
        <f t="shared" si="19"/>
        <v>0</v>
      </c>
    </row>
    <row r="165" spans="1:32" ht="63.6">
      <c r="A165" s="41">
        <f t="shared" si="20"/>
        <v>163</v>
      </c>
      <c r="B165" s="42" t="s">
        <v>326</v>
      </c>
      <c r="C165" s="42" t="s">
        <v>1002</v>
      </c>
      <c r="D165" s="41" t="s">
        <v>1019</v>
      </c>
      <c r="E165" s="41" t="s">
        <v>1214</v>
      </c>
      <c r="F165" s="43" t="s">
        <v>1010</v>
      </c>
      <c r="G165" s="41"/>
      <c r="H165" s="41"/>
      <c r="I165" s="41"/>
      <c r="J165" s="41"/>
      <c r="K165" s="41"/>
      <c r="L165" s="41"/>
      <c r="M165" s="41"/>
      <c r="N165" s="41" t="s">
        <v>67</v>
      </c>
      <c r="O165" s="3">
        <v>0</v>
      </c>
      <c r="P165" s="66">
        <v>1.4</v>
      </c>
      <c r="Q165" s="66">
        <v>0.36</v>
      </c>
      <c r="R165" s="25">
        <v>0.36703669999999999</v>
      </c>
      <c r="S165" s="3">
        <v>0.36703669999999999</v>
      </c>
      <c r="T165" s="3"/>
      <c r="U165" s="67">
        <f t="shared" si="14"/>
        <v>1.7670366999999998</v>
      </c>
      <c r="V165" s="67">
        <f t="shared" si="15"/>
        <v>0.36</v>
      </c>
      <c r="W165" s="3"/>
      <c r="X165" s="3"/>
      <c r="Y165" s="3"/>
      <c r="Z165" s="67">
        <f t="shared" si="16"/>
        <v>1.7670366999999998</v>
      </c>
      <c r="AA165" s="67">
        <f t="shared" si="17"/>
        <v>0.36</v>
      </c>
      <c r="AB165" s="3"/>
      <c r="AC165" s="3"/>
      <c r="AD165" s="3"/>
      <c r="AE165" s="67">
        <f t="shared" si="18"/>
        <v>1.7670366999999998</v>
      </c>
      <c r="AF165" s="67">
        <f t="shared" si="19"/>
        <v>0.36</v>
      </c>
    </row>
    <row r="166" spans="1:32" ht="46.8">
      <c r="A166" s="41">
        <f t="shared" si="20"/>
        <v>164</v>
      </c>
      <c r="B166" s="42" t="s">
        <v>327</v>
      </c>
      <c r="C166" s="42" t="s">
        <v>1002</v>
      </c>
      <c r="D166" s="41" t="s">
        <v>1019</v>
      </c>
      <c r="E166" s="41" t="s">
        <v>1215</v>
      </c>
      <c r="F166" s="43" t="s">
        <v>328</v>
      </c>
      <c r="G166" s="41"/>
      <c r="H166" s="41"/>
      <c r="I166" s="41"/>
      <c r="J166" s="41"/>
      <c r="K166" s="41"/>
      <c r="L166" s="41"/>
      <c r="M166" s="41"/>
      <c r="N166" s="41" t="s">
        <v>67</v>
      </c>
      <c r="O166" s="3">
        <v>0</v>
      </c>
      <c r="P166" s="66">
        <v>0.32</v>
      </c>
      <c r="Q166" s="3">
        <v>0</v>
      </c>
      <c r="R166" s="3"/>
      <c r="S166" s="3"/>
      <c r="T166" s="3"/>
      <c r="U166" s="67">
        <f t="shared" si="14"/>
        <v>0.32</v>
      </c>
      <c r="V166" s="67">
        <f t="shared" si="15"/>
        <v>0</v>
      </c>
      <c r="W166" s="3"/>
      <c r="X166" s="3"/>
      <c r="Y166" s="3"/>
      <c r="Z166" s="67">
        <f t="shared" si="16"/>
        <v>0.32</v>
      </c>
      <c r="AA166" s="67">
        <f t="shared" si="17"/>
        <v>0</v>
      </c>
      <c r="AB166" s="3"/>
      <c r="AC166" s="3"/>
      <c r="AD166" s="3"/>
      <c r="AE166" s="67">
        <f t="shared" si="18"/>
        <v>0.32</v>
      </c>
      <c r="AF166" s="67">
        <f t="shared" si="19"/>
        <v>0</v>
      </c>
    </row>
    <row r="167" spans="1:32" ht="46.8">
      <c r="A167" s="41">
        <f t="shared" si="20"/>
        <v>165</v>
      </c>
      <c r="B167" s="42" t="s">
        <v>329</v>
      </c>
      <c r="C167" s="42" t="s">
        <v>1002</v>
      </c>
      <c r="D167" s="41" t="s">
        <v>1019</v>
      </c>
      <c r="E167" s="41" t="s">
        <v>1216</v>
      </c>
      <c r="F167" s="43" t="s">
        <v>881</v>
      </c>
      <c r="G167" s="41"/>
      <c r="H167" s="41"/>
      <c r="I167" s="41"/>
      <c r="J167" s="41"/>
      <c r="K167" s="41"/>
      <c r="L167" s="41"/>
      <c r="M167" s="41"/>
      <c r="N167" s="41" t="s">
        <v>67</v>
      </c>
      <c r="O167" s="3">
        <v>0</v>
      </c>
      <c r="P167" s="66">
        <v>1.08</v>
      </c>
      <c r="Q167" s="66">
        <v>0.09</v>
      </c>
      <c r="R167" s="3"/>
      <c r="S167" s="3"/>
      <c r="T167" s="3"/>
      <c r="U167" s="67">
        <f t="shared" si="14"/>
        <v>1.08</v>
      </c>
      <c r="V167" s="67">
        <f t="shared" si="15"/>
        <v>0.09</v>
      </c>
      <c r="W167" s="3"/>
      <c r="X167" s="3"/>
      <c r="Y167" s="3"/>
      <c r="Z167" s="67">
        <f t="shared" si="16"/>
        <v>1.08</v>
      </c>
      <c r="AA167" s="67">
        <f t="shared" si="17"/>
        <v>0.09</v>
      </c>
      <c r="AB167" s="3"/>
      <c r="AC167" s="3"/>
      <c r="AD167" s="3"/>
      <c r="AE167" s="67">
        <f t="shared" si="18"/>
        <v>1.08</v>
      </c>
      <c r="AF167" s="67">
        <f t="shared" si="19"/>
        <v>0.09</v>
      </c>
    </row>
    <row r="168" spans="1:32" ht="46.8">
      <c r="A168" s="41">
        <f t="shared" si="20"/>
        <v>166</v>
      </c>
      <c r="B168" s="42" t="s">
        <v>330</v>
      </c>
      <c r="C168" s="42" t="s">
        <v>1002</v>
      </c>
      <c r="D168" s="41" t="s">
        <v>1019</v>
      </c>
      <c r="E168" s="41" t="s">
        <v>1217</v>
      </c>
      <c r="F168" s="43" t="s">
        <v>331</v>
      </c>
      <c r="G168" s="41"/>
      <c r="H168" s="41"/>
      <c r="I168" s="41"/>
      <c r="J168" s="41"/>
      <c r="K168" s="41"/>
      <c r="L168" s="41"/>
      <c r="M168" s="41"/>
      <c r="N168" s="41" t="s">
        <v>67</v>
      </c>
      <c r="O168" s="3">
        <v>0</v>
      </c>
      <c r="P168" s="66">
        <v>0.44</v>
      </c>
      <c r="Q168" s="3">
        <v>0</v>
      </c>
      <c r="R168" s="3"/>
      <c r="S168" s="3"/>
      <c r="T168" s="3"/>
      <c r="U168" s="67">
        <f t="shared" si="14"/>
        <v>0.44</v>
      </c>
      <c r="V168" s="67">
        <f t="shared" si="15"/>
        <v>0</v>
      </c>
      <c r="W168" s="3"/>
      <c r="X168" s="3"/>
      <c r="Y168" s="3"/>
      <c r="Z168" s="67">
        <f t="shared" si="16"/>
        <v>0.44</v>
      </c>
      <c r="AA168" s="67">
        <f t="shared" si="17"/>
        <v>0</v>
      </c>
      <c r="AB168" s="3"/>
      <c r="AC168" s="3"/>
      <c r="AD168" s="3"/>
      <c r="AE168" s="67">
        <f t="shared" si="18"/>
        <v>0.44</v>
      </c>
      <c r="AF168" s="67">
        <f t="shared" si="19"/>
        <v>0</v>
      </c>
    </row>
    <row r="169" spans="1:32" ht="62.4">
      <c r="A169" s="41">
        <f t="shared" si="20"/>
        <v>167</v>
      </c>
      <c r="B169" s="42" t="s">
        <v>332</v>
      </c>
      <c r="C169" s="42" t="s">
        <v>1002</v>
      </c>
      <c r="D169" s="41" t="s">
        <v>1019</v>
      </c>
      <c r="E169" s="41" t="s">
        <v>1218</v>
      </c>
      <c r="F169" s="43" t="s">
        <v>333</v>
      </c>
      <c r="G169" s="41"/>
      <c r="H169" s="41"/>
      <c r="I169" s="41"/>
      <c r="J169" s="41"/>
      <c r="K169" s="41"/>
      <c r="L169" s="41"/>
      <c r="M169" s="41"/>
      <c r="N169" s="41" t="s">
        <v>67</v>
      </c>
      <c r="O169" s="3">
        <v>0</v>
      </c>
      <c r="P169" s="66">
        <v>0.41</v>
      </c>
      <c r="Q169" s="3">
        <v>0</v>
      </c>
      <c r="R169" s="3"/>
      <c r="S169" s="3"/>
      <c r="T169" s="3"/>
      <c r="U169" s="67">
        <f t="shared" si="14"/>
        <v>0.41</v>
      </c>
      <c r="V169" s="67">
        <f t="shared" si="15"/>
        <v>0</v>
      </c>
      <c r="W169" s="3"/>
      <c r="X169" s="3"/>
      <c r="Y169" s="3"/>
      <c r="Z169" s="67">
        <f t="shared" si="16"/>
        <v>0.41</v>
      </c>
      <c r="AA169" s="67">
        <f t="shared" si="17"/>
        <v>0</v>
      </c>
      <c r="AB169" s="3"/>
      <c r="AC169" s="3"/>
      <c r="AD169" s="3"/>
      <c r="AE169" s="67">
        <f t="shared" si="18"/>
        <v>0.41</v>
      </c>
      <c r="AF169" s="67">
        <f t="shared" si="19"/>
        <v>0</v>
      </c>
    </row>
    <row r="170" spans="1:32" ht="46.8">
      <c r="A170" s="41">
        <f t="shared" si="20"/>
        <v>168</v>
      </c>
      <c r="B170" s="42" t="s">
        <v>334</v>
      </c>
      <c r="C170" s="42" t="s">
        <v>876</v>
      </c>
      <c r="D170" s="41" t="s">
        <v>1019</v>
      </c>
      <c r="E170" s="41" t="s">
        <v>1219</v>
      </c>
      <c r="F170" s="43" t="s">
        <v>335</v>
      </c>
      <c r="G170" s="41"/>
      <c r="H170" s="41"/>
      <c r="I170" s="41"/>
      <c r="J170" s="41"/>
      <c r="K170" s="41"/>
      <c r="L170" s="41"/>
      <c r="M170" s="41"/>
      <c r="N170" s="41" t="s">
        <v>516</v>
      </c>
      <c r="O170" s="3">
        <v>0</v>
      </c>
      <c r="P170" s="3">
        <v>0</v>
      </c>
      <c r="Q170" s="66">
        <v>15.28</v>
      </c>
      <c r="R170" s="3"/>
      <c r="S170" s="3"/>
      <c r="T170" s="3"/>
      <c r="U170" s="67">
        <f t="shared" si="14"/>
        <v>0</v>
      </c>
      <c r="V170" s="67">
        <f t="shared" si="15"/>
        <v>15.28</v>
      </c>
      <c r="W170" s="3"/>
      <c r="X170" s="3"/>
      <c r="Y170" s="3"/>
      <c r="Z170" s="67">
        <f t="shared" si="16"/>
        <v>0</v>
      </c>
      <c r="AA170" s="67">
        <f t="shared" si="17"/>
        <v>15.28</v>
      </c>
      <c r="AB170" s="3"/>
      <c r="AC170" s="3"/>
      <c r="AD170" s="3"/>
      <c r="AE170" s="67">
        <f t="shared" si="18"/>
        <v>0</v>
      </c>
      <c r="AF170" s="67">
        <f t="shared" si="19"/>
        <v>15.28</v>
      </c>
    </row>
    <row r="171" spans="1:32" ht="46.8">
      <c r="A171" s="41">
        <f t="shared" si="20"/>
        <v>169</v>
      </c>
      <c r="B171" s="41" t="s">
        <v>534</v>
      </c>
      <c r="C171" s="41" t="s">
        <v>876</v>
      </c>
      <c r="D171" s="41" t="s">
        <v>1017</v>
      </c>
      <c r="E171" s="41" t="s">
        <v>1220</v>
      </c>
      <c r="F171" s="43" t="s">
        <v>1018</v>
      </c>
      <c r="G171" s="41" t="s">
        <v>28</v>
      </c>
      <c r="H171" s="41"/>
      <c r="I171" s="41"/>
      <c r="J171" s="41"/>
      <c r="K171" s="41"/>
      <c r="L171" s="3"/>
      <c r="M171" s="3"/>
      <c r="N171" s="41" t="s">
        <v>29</v>
      </c>
      <c r="O171" s="3">
        <v>0</v>
      </c>
      <c r="P171" s="3">
        <v>3.8840968999999999</v>
      </c>
      <c r="Q171" s="66">
        <v>-0.71409689999999992</v>
      </c>
      <c r="R171" s="25">
        <v>1.18E-2</v>
      </c>
      <c r="S171" s="22"/>
      <c r="T171" s="3"/>
      <c r="U171" s="67">
        <f t="shared" si="14"/>
        <v>3.8840968999999999</v>
      </c>
      <c r="V171" s="67">
        <f t="shared" si="15"/>
        <v>-0.70229689999999989</v>
      </c>
      <c r="W171" s="69"/>
      <c r="X171" s="3"/>
      <c r="Y171" s="3"/>
      <c r="Z171" s="67">
        <f t="shared" si="16"/>
        <v>3.8840968999999999</v>
      </c>
      <c r="AA171" s="67">
        <f t="shared" si="17"/>
        <v>-0.70229689999999989</v>
      </c>
      <c r="AB171" s="3"/>
      <c r="AC171" s="3"/>
      <c r="AD171" s="3"/>
      <c r="AE171" s="67">
        <f t="shared" si="18"/>
        <v>3.8840968999999999</v>
      </c>
      <c r="AF171" s="67">
        <f t="shared" si="19"/>
        <v>-0.70229689999999989</v>
      </c>
    </row>
    <row r="172" spans="1:32" ht="62.4">
      <c r="A172" s="41">
        <f t="shared" si="20"/>
        <v>170</v>
      </c>
      <c r="B172" s="41" t="s">
        <v>537</v>
      </c>
      <c r="C172" s="41" t="s">
        <v>876</v>
      </c>
      <c r="D172" s="34" t="s">
        <v>1017</v>
      </c>
      <c r="E172" s="41" t="s">
        <v>1221</v>
      </c>
      <c r="F172" s="43" t="s">
        <v>538</v>
      </c>
      <c r="G172" s="41" t="s">
        <v>28</v>
      </c>
      <c r="H172" s="41"/>
      <c r="I172" s="41"/>
      <c r="J172" s="41"/>
      <c r="K172" s="41"/>
      <c r="L172" s="3"/>
      <c r="M172" s="3"/>
      <c r="N172" s="41" t="s">
        <v>29</v>
      </c>
      <c r="O172" s="3">
        <v>0</v>
      </c>
      <c r="P172" s="66">
        <v>6.2967306000000001</v>
      </c>
      <c r="Q172" s="3">
        <v>-0.3458403000000001</v>
      </c>
      <c r="R172" s="69"/>
      <c r="S172" s="22"/>
      <c r="T172" s="3"/>
      <c r="U172" s="67">
        <f t="shared" si="14"/>
        <v>6.2967306000000001</v>
      </c>
      <c r="V172" s="67">
        <f t="shared" si="15"/>
        <v>-0.3458403000000001</v>
      </c>
      <c r="W172" s="3"/>
      <c r="X172" s="3"/>
      <c r="Y172" s="3"/>
      <c r="Z172" s="67">
        <f t="shared" si="16"/>
        <v>6.2967306000000001</v>
      </c>
      <c r="AA172" s="67">
        <f t="shared" si="17"/>
        <v>-0.3458403000000001</v>
      </c>
      <c r="AB172" s="3"/>
      <c r="AC172" s="3"/>
      <c r="AD172" s="3"/>
      <c r="AE172" s="67">
        <f t="shared" si="18"/>
        <v>6.2967306000000001</v>
      </c>
      <c r="AF172" s="67">
        <f t="shared" si="19"/>
        <v>-0.3458403000000001</v>
      </c>
    </row>
    <row r="173" spans="1:32" ht="62.4">
      <c r="A173" s="41">
        <f t="shared" si="20"/>
        <v>171</v>
      </c>
      <c r="B173" s="41" t="s">
        <v>726</v>
      </c>
      <c r="C173" s="41" t="s">
        <v>876</v>
      </c>
      <c r="D173" s="41" t="s">
        <v>1019</v>
      </c>
      <c r="E173" s="41" t="s">
        <v>1222</v>
      </c>
      <c r="F173" s="43" t="s">
        <v>727</v>
      </c>
      <c r="G173" s="41" t="s">
        <v>28</v>
      </c>
      <c r="H173" s="41">
        <v>2</v>
      </c>
      <c r="I173" s="41" t="s">
        <v>728</v>
      </c>
      <c r="J173" s="41" t="s">
        <v>729</v>
      </c>
      <c r="K173" s="41" t="s">
        <v>730</v>
      </c>
      <c r="L173" s="3">
        <v>8.58</v>
      </c>
      <c r="M173" s="3"/>
      <c r="N173" s="41" t="s">
        <v>516</v>
      </c>
      <c r="O173" s="3">
        <v>10.42</v>
      </c>
      <c r="P173" s="3">
        <v>0</v>
      </c>
      <c r="Q173" s="66">
        <v>9.6070594000000007</v>
      </c>
      <c r="R173" s="25">
        <v>0.44942029999999999</v>
      </c>
      <c r="S173" s="3">
        <v>10.0563462</v>
      </c>
      <c r="T173" s="3"/>
      <c r="U173" s="67">
        <f t="shared" si="14"/>
        <v>10.0563462</v>
      </c>
      <c r="V173" s="67">
        <f t="shared" si="15"/>
        <v>1.335000000004527E-4</v>
      </c>
      <c r="W173" s="154">
        <f>0.2840722+0.0011027</f>
        <v>0.28517490000000001</v>
      </c>
      <c r="X173" s="3"/>
      <c r="Y173" s="3"/>
      <c r="Z173" s="67">
        <f t="shared" si="16"/>
        <v>10.0563462</v>
      </c>
      <c r="AA173" s="67">
        <f t="shared" si="17"/>
        <v>0.28530840000000046</v>
      </c>
      <c r="AB173" s="3"/>
      <c r="AC173" s="3"/>
      <c r="AD173" s="3"/>
      <c r="AE173" s="67">
        <f t="shared" si="18"/>
        <v>10.0563462</v>
      </c>
      <c r="AF173" s="67">
        <f t="shared" si="19"/>
        <v>0.28530840000000046</v>
      </c>
    </row>
    <row r="174" spans="1:32" ht="93.6">
      <c r="A174" s="41">
        <f t="shared" si="20"/>
        <v>172</v>
      </c>
      <c r="B174" s="41" t="s">
        <v>774</v>
      </c>
      <c r="C174" s="42" t="s">
        <v>876</v>
      </c>
      <c r="D174" s="41" t="s">
        <v>1019</v>
      </c>
      <c r="E174" s="41" t="s">
        <v>1223</v>
      </c>
      <c r="F174" s="43" t="s">
        <v>775</v>
      </c>
      <c r="G174" s="41"/>
      <c r="H174" s="41"/>
      <c r="I174" s="41"/>
      <c r="J174" s="41"/>
      <c r="K174" s="41"/>
      <c r="L174" s="41"/>
      <c r="M174" s="41"/>
      <c r="N174" s="41" t="s">
        <v>516</v>
      </c>
      <c r="O174" s="3">
        <v>0</v>
      </c>
      <c r="P174" s="3">
        <v>0</v>
      </c>
      <c r="Q174" s="66">
        <v>8.2451836000000007</v>
      </c>
      <c r="R174" s="25">
        <v>0.41024359999999999</v>
      </c>
      <c r="S174" s="3">
        <f>4.3287011+4.3266572</f>
        <v>8.6553582999999996</v>
      </c>
      <c r="T174" s="3"/>
      <c r="U174" s="67">
        <f t="shared" si="14"/>
        <v>8.6553582999999996</v>
      </c>
      <c r="V174" s="67">
        <f t="shared" si="15"/>
        <v>6.8900000000482464E-5</v>
      </c>
      <c r="W174" s="154">
        <f>0.0438607+0.4301226</f>
        <v>0.4739833</v>
      </c>
      <c r="X174" s="3"/>
      <c r="Y174" s="3"/>
      <c r="Z174" s="67">
        <f t="shared" si="16"/>
        <v>8.6553582999999996</v>
      </c>
      <c r="AA174" s="67">
        <f t="shared" si="17"/>
        <v>0.47405220000000048</v>
      </c>
      <c r="AB174" s="3"/>
      <c r="AC174" s="3"/>
      <c r="AD174" s="3"/>
      <c r="AE174" s="67">
        <f t="shared" si="18"/>
        <v>8.6553582999999996</v>
      </c>
      <c r="AF174" s="67">
        <f t="shared" si="19"/>
        <v>0.47405220000000048</v>
      </c>
    </row>
    <row r="175" spans="1:32" ht="46.8">
      <c r="A175" s="41">
        <f t="shared" si="20"/>
        <v>173</v>
      </c>
      <c r="B175" s="41" t="s">
        <v>751</v>
      </c>
      <c r="C175" s="34" t="s">
        <v>1002</v>
      </c>
      <c r="D175" s="42" t="s">
        <v>1019</v>
      </c>
      <c r="E175" s="41" t="s">
        <v>1224</v>
      </c>
      <c r="F175" s="43" t="s">
        <v>336</v>
      </c>
      <c r="G175" s="41" t="s">
        <v>337</v>
      </c>
      <c r="H175" s="41"/>
      <c r="I175" s="41"/>
      <c r="J175" s="41"/>
      <c r="K175" s="41"/>
      <c r="L175" s="41"/>
      <c r="M175" s="41"/>
      <c r="N175" s="41" t="s">
        <v>516</v>
      </c>
      <c r="O175" s="3">
        <v>0</v>
      </c>
      <c r="P175" s="3">
        <v>0</v>
      </c>
      <c r="Q175" s="66">
        <v>5.8504190000000005</v>
      </c>
      <c r="R175" s="69"/>
      <c r="S175" s="3"/>
      <c r="T175" s="3"/>
      <c r="U175" s="67">
        <f t="shared" si="14"/>
        <v>0</v>
      </c>
      <c r="V175" s="67">
        <f t="shared" si="15"/>
        <v>5.8504190000000005</v>
      </c>
      <c r="W175" s="3"/>
      <c r="X175" s="67"/>
      <c r="Y175" s="3"/>
      <c r="Z175" s="67">
        <f t="shared" si="16"/>
        <v>0</v>
      </c>
      <c r="AA175" s="67">
        <f t="shared" si="17"/>
        <v>5.8504190000000005</v>
      </c>
      <c r="AB175" s="3"/>
      <c r="AC175" s="3"/>
      <c r="AD175" s="3"/>
      <c r="AE175" s="67">
        <f t="shared" si="18"/>
        <v>0</v>
      </c>
      <c r="AF175" s="67">
        <f t="shared" si="19"/>
        <v>5.8504190000000005</v>
      </c>
    </row>
    <row r="176" spans="1:32" ht="46.8">
      <c r="A176" s="41">
        <f t="shared" si="20"/>
        <v>174</v>
      </c>
      <c r="B176" s="34" t="s">
        <v>890</v>
      </c>
      <c r="C176" s="34" t="s">
        <v>1002</v>
      </c>
      <c r="D176" s="42" t="s">
        <v>1019</v>
      </c>
      <c r="E176" s="41" t="s">
        <v>1225</v>
      </c>
      <c r="F176" s="43" t="s">
        <v>338</v>
      </c>
      <c r="G176" s="41"/>
      <c r="H176" s="41"/>
      <c r="I176" s="41"/>
      <c r="J176" s="41"/>
      <c r="K176" s="41"/>
      <c r="L176" s="41"/>
      <c r="M176" s="41"/>
      <c r="N176" s="41" t="s">
        <v>67</v>
      </c>
      <c r="O176" s="3">
        <v>0</v>
      </c>
      <c r="P176" s="66">
        <v>0.14000000000000001</v>
      </c>
      <c r="Q176" s="3">
        <v>0</v>
      </c>
      <c r="R176" s="3"/>
      <c r="S176" s="3"/>
      <c r="T176" s="3"/>
      <c r="U176" s="67">
        <f t="shared" si="14"/>
        <v>0.14000000000000001</v>
      </c>
      <c r="V176" s="67">
        <f t="shared" si="15"/>
        <v>0</v>
      </c>
      <c r="W176" s="3"/>
      <c r="X176" s="3"/>
      <c r="Y176" s="3"/>
      <c r="Z176" s="67">
        <f t="shared" si="16"/>
        <v>0.14000000000000001</v>
      </c>
      <c r="AA176" s="67">
        <f t="shared" si="17"/>
        <v>0</v>
      </c>
      <c r="AB176" s="3"/>
      <c r="AC176" s="3"/>
      <c r="AD176" s="3"/>
      <c r="AE176" s="67">
        <f t="shared" si="18"/>
        <v>0.14000000000000001</v>
      </c>
      <c r="AF176" s="67">
        <f t="shared" si="19"/>
        <v>0</v>
      </c>
    </row>
    <row r="177" spans="1:32" ht="46.8">
      <c r="A177" s="41">
        <f t="shared" si="20"/>
        <v>175</v>
      </c>
      <c r="B177" s="42" t="s">
        <v>891</v>
      </c>
      <c r="C177" s="34" t="s">
        <v>1002</v>
      </c>
      <c r="D177" s="42" t="s">
        <v>1017</v>
      </c>
      <c r="E177" s="41" t="s">
        <v>1226</v>
      </c>
      <c r="F177" s="43" t="s">
        <v>339</v>
      </c>
      <c r="G177" s="41"/>
      <c r="H177" s="41"/>
      <c r="I177" s="41"/>
      <c r="J177" s="41"/>
      <c r="K177" s="41"/>
      <c r="L177" s="41"/>
      <c r="M177" s="41"/>
      <c r="N177" s="41" t="s">
        <v>67</v>
      </c>
      <c r="O177" s="3">
        <v>0</v>
      </c>
      <c r="P177" s="3">
        <v>0</v>
      </c>
      <c r="Q177" s="66">
        <v>0.08</v>
      </c>
      <c r="R177" s="3"/>
      <c r="S177" s="3">
        <v>8.2913000000000001E-2</v>
      </c>
      <c r="T177" s="3"/>
      <c r="U177" s="67">
        <f t="shared" si="14"/>
        <v>8.2913000000000001E-2</v>
      </c>
      <c r="V177" s="67">
        <f t="shared" si="15"/>
        <v>-2.9129999999999989E-3</v>
      </c>
      <c r="W177" s="3"/>
      <c r="X177" s="3"/>
      <c r="Y177" s="3"/>
      <c r="Z177" s="67">
        <f t="shared" si="16"/>
        <v>8.2913000000000001E-2</v>
      </c>
      <c r="AA177" s="67">
        <f t="shared" si="17"/>
        <v>-2.9129999999999989E-3</v>
      </c>
      <c r="AB177" s="3"/>
      <c r="AC177" s="3"/>
      <c r="AD177" s="3"/>
      <c r="AE177" s="67">
        <f t="shared" si="18"/>
        <v>8.2913000000000001E-2</v>
      </c>
      <c r="AF177" s="67">
        <f t="shared" si="19"/>
        <v>-2.9129999999999989E-3</v>
      </c>
    </row>
    <row r="178" spans="1:32" ht="46.8">
      <c r="A178" s="41">
        <f t="shared" si="20"/>
        <v>176</v>
      </c>
      <c r="B178" s="34" t="s">
        <v>892</v>
      </c>
      <c r="C178" s="34" t="s">
        <v>1002</v>
      </c>
      <c r="D178" s="42" t="s">
        <v>1017</v>
      </c>
      <c r="E178" s="41" t="s">
        <v>1227</v>
      </c>
      <c r="F178" s="43" t="s">
        <v>340</v>
      </c>
      <c r="G178" s="41" t="s">
        <v>28</v>
      </c>
      <c r="H178" s="41"/>
      <c r="I178" s="41"/>
      <c r="J178" s="41"/>
      <c r="K178" s="41"/>
      <c r="L178" s="41"/>
      <c r="M178" s="41"/>
      <c r="N178" s="41" t="s">
        <v>29</v>
      </c>
      <c r="O178" s="3">
        <v>0</v>
      </c>
      <c r="P178" s="66">
        <v>0.03</v>
      </c>
      <c r="Q178" s="3">
        <v>0</v>
      </c>
      <c r="R178" s="3"/>
      <c r="S178" s="3"/>
      <c r="T178" s="3"/>
      <c r="U178" s="67">
        <f t="shared" si="14"/>
        <v>0.03</v>
      </c>
      <c r="V178" s="67">
        <f t="shared" si="15"/>
        <v>0</v>
      </c>
      <c r="W178" s="3"/>
      <c r="X178" s="3"/>
      <c r="Y178" s="3"/>
      <c r="Z178" s="67">
        <f t="shared" si="16"/>
        <v>0.03</v>
      </c>
      <c r="AA178" s="67">
        <f t="shared" si="17"/>
        <v>0</v>
      </c>
      <c r="AB178" s="3"/>
      <c r="AC178" s="3"/>
      <c r="AD178" s="3"/>
      <c r="AE178" s="67">
        <f t="shared" si="18"/>
        <v>0.03</v>
      </c>
      <c r="AF178" s="67">
        <f t="shared" si="19"/>
        <v>0</v>
      </c>
    </row>
    <row r="179" spans="1:32" ht="46.8">
      <c r="A179" s="41">
        <f t="shared" si="20"/>
        <v>177</v>
      </c>
      <c r="B179" s="34" t="s">
        <v>893</v>
      </c>
      <c r="C179" s="34" t="s">
        <v>1002</v>
      </c>
      <c r="D179" s="42" t="s">
        <v>1017</v>
      </c>
      <c r="E179" s="41" t="s">
        <v>1228</v>
      </c>
      <c r="F179" s="43" t="s">
        <v>341</v>
      </c>
      <c r="G179" s="41" t="s">
        <v>28</v>
      </c>
      <c r="H179" s="41"/>
      <c r="I179" s="41"/>
      <c r="J179" s="41"/>
      <c r="K179" s="41"/>
      <c r="L179" s="41"/>
      <c r="M179" s="41"/>
      <c r="N179" s="41" t="s">
        <v>29</v>
      </c>
      <c r="O179" s="3">
        <v>0</v>
      </c>
      <c r="P179" s="66">
        <v>4.51</v>
      </c>
      <c r="Q179" s="3">
        <v>0</v>
      </c>
      <c r="R179" s="3"/>
      <c r="S179" s="3"/>
      <c r="T179" s="3"/>
      <c r="U179" s="67">
        <f t="shared" si="14"/>
        <v>4.51</v>
      </c>
      <c r="V179" s="67">
        <f t="shared" si="15"/>
        <v>0</v>
      </c>
      <c r="W179" s="3"/>
      <c r="X179" s="3"/>
      <c r="Y179" s="3"/>
      <c r="Z179" s="67">
        <f t="shared" si="16"/>
        <v>4.51</v>
      </c>
      <c r="AA179" s="67">
        <f t="shared" si="17"/>
        <v>0</v>
      </c>
      <c r="AB179" s="3"/>
      <c r="AC179" s="3"/>
      <c r="AD179" s="3"/>
      <c r="AE179" s="67">
        <f t="shared" si="18"/>
        <v>4.51</v>
      </c>
      <c r="AF179" s="67">
        <f t="shared" si="19"/>
        <v>0</v>
      </c>
    </row>
    <row r="180" spans="1:32" ht="46.8">
      <c r="A180" s="41">
        <f t="shared" si="20"/>
        <v>178</v>
      </c>
      <c r="B180" s="34" t="s">
        <v>894</v>
      </c>
      <c r="C180" s="34" t="s">
        <v>1002</v>
      </c>
      <c r="D180" s="42" t="s">
        <v>1017</v>
      </c>
      <c r="E180" s="41" t="s">
        <v>1229</v>
      </c>
      <c r="F180" s="43" t="s">
        <v>342</v>
      </c>
      <c r="G180" s="41" t="s">
        <v>28</v>
      </c>
      <c r="H180" s="41"/>
      <c r="I180" s="41"/>
      <c r="J180" s="41"/>
      <c r="K180" s="41"/>
      <c r="L180" s="41"/>
      <c r="M180" s="41"/>
      <c r="N180" s="41" t="s">
        <v>29</v>
      </c>
      <c r="O180" s="3">
        <v>0</v>
      </c>
      <c r="P180" s="66">
        <v>4.72</v>
      </c>
      <c r="Q180" s="3">
        <v>0</v>
      </c>
      <c r="R180" s="3"/>
      <c r="S180" s="3"/>
      <c r="T180" s="3"/>
      <c r="U180" s="67">
        <f t="shared" si="14"/>
        <v>4.72</v>
      </c>
      <c r="V180" s="67">
        <f t="shared" si="15"/>
        <v>0</v>
      </c>
      <c r="W180" s="3"/>
      <c r="X180" s="3"/>
      <c r="Y180" s="3"/>
      <c r="Z180" s="67">
        <f t="shared" si="16"/>
        <v>4.72</v>
      </c>
      <c r="AA180" s="67">
        <f t="shared" si="17"/>
        <v>0</v>
      </c>
      <c r="AB180" s="3"/>
      <c r="AC180" s="3"/>
      <c r="AD180" s="3"/>
      <c r="AE180" s="67">
        <f t="shared" si="18"/>
        <v>4.72</v>
      </c>
      <c r="AF180" s="67">
        <f t="shared" si="19"/>
        <v>0</v>
      </c>
    </row>
    <row r="181" spans="1:32" ht="62.4">
      <c r="A181" s="41">
        <f t="shared" si="20"/>
        <v>179</v>
      </c>
      <c r="B181" s="34" t="s">
        <v>895</v>
      </c>
      <c r="C181" s="34" t="s">
        <v>1002</v>
      </c>
      <c r="D181" s="42" t="s">
        <v>1017</v>
      </c>
      <c r="E181" s="41" t="s">
        <v>1230</v>
      </c>
      <c r="F181" s="43" t="s">
        <v>343</v>
      </c>
      <c r="G181" s="41" t="s">
        <v>28</v>
      </c>
      <c r="H181" s="41"/>
      <c r="I181" s="41"/>
      <c r="J181" s="41"/>
      <c r="K181" s="41"/>
      <c r="L181" s="41"/>
      <c r="M181" s="41"/>
      <c r="N181" s="41" t="s">
        <v>29</v>
      </c>
      <c r="O181" s="3">
        <v>0</v>
      </c>
      <c r="P181" s="66">
        <v>0.69</v>
      </c>
      <c r="Q181" s="3">
        <v>0</v>
      </c>
      <c r="R181" s="3"/>
      <c r="S181" s="3"/>
      <c r="T181" s="3"/>
      <c r="U181" s="67">
        <f t="shared" si="14"/>
        <v>0.69</v>
      </c>
      <c r="V181" s="67">
        <f t="shared" si="15"/>
        <v>0</v>
      </c>
      <c r="W181" s="3"/>
      <c r="X181" s="3"/>
      <c r="Y181" s="3"/>
      <c r="Z181" s="67">
        <f t="shared" si="16"/>
        <v>0.69</v>
      </c>
      <c r="AA181" s="67">
        <f t="shared" si="17"/>
        <v>0</v>
      </c>
      <c r="AB181" s="3"/>
      <c r="AC181" s="3"/>
      <c r="AD181" s="3"/>
      <c r="AE181" s="67">
        <f t="shared" si="18"/>
        <v>0.69</v>
      </c>
      <c r="AF181" s="67">
        <f t="shared" si="19"/>
        <v>0</v>
      </c>
    </row>
    <row r="182" spans="1:32" ht="62.4">
      <c r="A182" s="41">
        <f t="shared" si="20"/>
        <v>180</v>
      </c>
      <c r="B182" s="34" t="s">
        <v>896</v>
      </c>
      <c r="C182" s="34" t="s">
        <v>1002</v>
      </c>
      <c r="D182" s="42" t="s">
        <v>1017</v>
      </c>
      <c r="E182" s="41" t="s">
        <v>1231</v>
      </c>
      <c r="F182" s="43" t="s">
        <v>344</v>
      </c>
      <c r="G182" s="41" t="s">
        <v>28</v>
      </c>
      <c r="H182" s="41"/>
      <c r="I182" s="41"/>
      <c r="J182" s="41"/>
      <c r="K182" s="41"/>
      <c r="L182" s="41"/>
      <c r="M182" s="41"/>
      <c r="N182" s="41" t="s">
        <v>29</v>
      </c>
      <c r="O182" s="3">
        <v>0</v>
      </c>
      <c r="P182" s="66">
        <v>0.92</v>
      </c>
      <c r="Q182" s="3">
        <v>0</v>
      </c>
      <c r="R182" s="3"/>
      <c r="S182" s="3"/>
      <c r="T182" s="3"/>
      <c r="U182" s="67">
        <f t="shared" si="14"/>
        <v>0.92</v>
      </c>
      <c r="V182" s="67">
        <f t="shared" si="15"/>
        <v>0</v>
      </c>
      <c r="W182" s="3"/>
      <c r="X182" s="3"/>
      <c r="Y182" s="3"/>
      <c r="Z182" s="67">
        <f t="shared" si="16"/>
        <v>0.92</v>
      </c>
      <c r="AA182" s="67">
        <f t="shared" si="17"/>
        <v>0</v>
      </c>
      <c r="AB182" s="3"/>
      <c r="AC182" s="3"/>
      <c r="AD182" s="3"/>
      <c r="AE182" s="67">
        <f t="shared" si="18"/>
        <v>0.92</v>
      </c>
      <c r="AF182" s="67">
        <f t="shared" si="19"/>
        <v>0</v>
      </c>
    </row>
    <row r="183" spans="1:32" ht="46.8">
      <c r="A183" s="41">
        <f t="shared" si="20"/>
        <v>181</v>
      </c>
      <c r="B183" s="34" t="s">
        <v>897</v>
      </c>
      <c r="C183" s="34" t="s">
        <v>1002</v>
      </c>
      <c r="D183" s="42" t="s">
        <v>1017</v>
      </c>
      <c r="E183" s="41" t="s">
        <v>1232</v>
      </c>
      <c r="F183" s="43" t="s">
        <v>345</v>
      </c>
      <c r="G183" s="41" t="s">
        <v>28</v>
      </c>
      <c r="H183" s="41"/>
      <c r="I183" s="41"/>
      <c r="J183" s="41"/>
      <c r="K183" s="41"/>
      <c r="L183" s="41"/>
      <c r="M183" s="41"/>
      <c r="N183" s="41" t="s">
        <v>29</v>
      </c>
      <c r="O183" s="3">
        <v>0</v>
      </c>
      <c r="P183" s="66">
        <v>0.02</v>
      </c>
      <c r="Q183" s="3">
        <v>0</v>
      </c>
      <c r="R183" s="3"/>
      <c r="S183" s="3"/>
      <c r="T183" s="3"/>
      <c r="U183" s="67">
        <f t="shared" si="14"/>
        <v>0.02</v>
      </c>
      <c r="V183" s="67">
        <f t="shared" si="15"/>
        <v>0</v>
      </c>
      <c r="W183" s="3"/>
      <c r="X183" s="3"/>
      <c r="Y183" s="3"/>
      <c r="Z183" s="67">
        <f t="shared" si="16"/>
        <v>0.02</v>
      </c>
      <c r="AA183" s="67">
        <f t="shared" si="17"/>
        <v>0</v>
      </c>
      <c r="AB183" s="3"/>
      <c r="AC183" s="3"/>
      <c r="AD183" s="3"/>
      <c r="AE183" s="67">
        <f t="shared" si="18"/>
        <v>0.02</v>
      </c>
      <c r="AF183" s="67">
        <f t="shared" si="19"/>
        <v>0</v>
      </c>
    </row>
    <row r="184" spans="1:32" ht="46.8">
      <c r="A184" s="41">
        <f t="shared" si="20"/>
        <v>182</v>
      </c>
      <c r="B184" s="34" t="s">
        <v>898</v>
      </c>
      <c r="C184" s="34" t="s">
        <v>1002</v>
      </c>
      <c r="D184" s="42" t="s">
        <v>1017</v>
      </c>
      <c r="E184" s="41" t="s">
        <v>1233</v>
      </c>
      <c r="F184" s="43" t="s">
        <v>346</v>
      </c>
      <c r="G184" s="41" t="s">
        <v>28</v>
      </c>
      <c r="H184" s="41"/>
      <c r="I184" s="41"/>
      <c r="J184" s="41"/>
      <c r="K184" s="41"/>
      <c r="L184" s="41"/>
      <c r="M184" s="41"/>
      <c r="N184" s="41" t="s">
        <v>29</v>
      </c>
      <c r="O184" s="65">
        <v>38.630000000000003</v>
      </c>
      <c r="P184" s="66">
        <v>2.46</v>
      </c>
      <c r="Q184" s="3">
        <v>0</v>
      </c>
      <c r="R184" s="3"/>
      <c r="S184" s="3"/>
      <c r="T184" s="3"/>
      <c r="U184" s="67">
        <f t="shared" si="14"/>
        <v>2.46</v>
      </c>
      <c r="V184" s="67">
        <f t="shared" si="15"/>
        <v>0</v>
      </c>
      <c r="W184" s="3"/>
      <c r="X184" s="3"/>
      <c r="Y184" s="3"/>
      <c r="Z184" s="67">
        <f t="shared" si="16"/>
        <v>2.46</v>
      </c>
      <c r="AA184" s="67">
        <f t="shared" si="17"/>
        <v>0</v>
      </c>
      <c r="AB184" s="3"/>
      <c r="AC184" s="3"/>
      <c r="AD184" s="3"/>
      <c r="AE184" s="67">
        <f t="shared" si="18"/>
        <v>2.46</v>
      </c>
      <c r="AF184" s="67">
        <f t="shared" si="19"/>
        <v>0</v>
      </c>
    </row>
    <row r="185" spans="1:32" ht="46.8">
      <c r="A185" s="41">
        <f t="shared" si="20"/>
        <v>183</v>
      </c>
      <c r="B185" s="41" t="s">
        <v>724</v>
      </c>
      <c r="C185" s="41" t="s">
        <v>877</v>
      </c>
      <c r="D185" s="41" t="s">
        <v>1019</v>
      </c>
      <c r="E185" s="41" t="s">
        <v>1234</v>
      </c>
      <c r="F185" s="43" t="s">
        <v>725</v>
      </c>
      <c r="G185" s="41"/>
      <c r="H185" s="41"/>
      <c r="I185" s="41"/>
      <c r="J185" s="41"/>
      <c r="K185" s="41"/>
      <c r="L185" s="3"/>
      <c r="M185" s="3"/>
      <c r="N185" s="41" t="s">
        <v>67</v>
      </c>
      <c r="O185" s="3">
        <v>0</v>
      </c>
      <c r="P185" s="3">
        <v>0</v>
      </c>
      <c r="Q185" s="66">
        <v>0.72470880000000004</v>
      </c>
      <c r="R185" s="25">
        <v>0.72747859999999998</v>
      </c>
      <c r="S185" s="3"/>
      <c r="T185" s="3"/>
      <c r="U185" s="67">
        <f t="shared" si="14"/>
        <v>0</v>
      </c>
      <c r="V185" s="67">
        <f t="shared" si="15"/>
        <v>1.4521874000000001</v>
      </c>
      <c r="W185" s="3"/>
      <c r="X185" s="3"/>
      <c r="Y185" s="3"/>
      <c r="Z185" s="67">
        <f t="shared" si="16"/>
        <v>0</v>
      </c>
      <c r="AA185" s="67">
        <f t="shared" si="17"/>
        <v>1.4521874000000001</v>
      </c>
      <c r="AB185" s="3"/>
      <c r="AC185" s="3"/>
      <c r="AD185" s="3"/>
      <c r="AE185" s="67">
        <f t="shared" si="18"/>
        <v>0</v>
      </c>
      <c r="AF185" s="67">
        <f t="shared" si="19"/>
        <v>1.4521874000000001</v>
      </c>
    </row>
    <row r="186" spans="1:32" ht="93.6">
      <c r="A186" s="41">
        <f t="shared" si="20"/>
        <v>184</v>
      </c>
      <c r="B186" s="41" t="s">
        <v>661</v>
      </c>
      <c r="C186" s="41" t="s">
        <v>1000</v>
      </c>
      <c r="D186" s="42" t="s">
        <v>1017</v>
      </c>
      <c r="E186" s="41" t="s">
        <v>1236</v>
      </c>
      <c r="F186" s="43" t="s">
        <v>662</v>
      </c>
      <c r="G186" s="41" t="s">
        <v>28</v>
      </c>
      <c r="H186" s="41"/>
      <c r="I186" s="41"/>
      <c r="J186" s="41"/>
      <c r="K186" s="41"/>
      <c r="L186" s="41"/>
      <c r="M186" s="41"/>
      <c r="N186" s="41" t="s">
        <v>29</v>
      </c>
      <c r="O186" s="3">
        <v>0</v>
      </c>
      <c r="P186" s="66">
        <v>18.16</v>
      </c>
      <c r="Q186" s="3">
        <v>0</v>
      </c>
      <c r="R186" s="3"/>
      <c r="S186" s="3"/>
      <c r="T186" s="3"/>
      <c r="U186" s="67">
        <f t="shared" si="14"/>
        <v>18.16</v>
      </c>
      <c r="V186" s="67">
        <f t="shared" si="15"/>
        <v>0</v>
      </c>
      <c r="W186" s="3"/>
      <c r="X186" s="3"/>
      <c r="Y186" s="3"/>
      <c r="Z186" s="67">
        <f t="shared" si="16"/>
        <v>18.16</v>
      </c>
      <c r="AA186" s="67">
        <f t="shared" si="17"/>
        <v>0</v>
      </c>
      <c r="AB186" s="3"/>
      <c r="AC186" s="3"/>
      <c r="AD186" s="3"/>
      <c r="AE186" s="67">
        <f t="shared" si="18"/>
        <v>18.16</v>
      </c>
      <c r="AF186" s="67">
        <f t="shared" si="19"/>
        <v>0</v>
      </c>
    </row>
    <row r="187" spans="1:32" ht="93.6">
      <c r="A187" s="41">
        <f t="shared" si="20"/>
        <v>185</v>
      </c>
      <c r="B187" s="41" t="s">
        <v>661</v>
      </c>
      <c r="C187" s="41" t="s">
        <v>1001</v>
      </c>
      <c r="D187" s="67" t="s">
        <v>1016</v>
      </c>
      <c r="E187" s="41" t="s">
        <v>1235</v>
      </c>
      <c r="F187" s="43" t="s">
        <v>662</v>
      </c>
      <c r="G187" s="41" t="s">
        <v>28</v>
      </c>
      <c r="H187" s="41">
        <v>3</v>
      </c>
      <c r="I187" s="70" t="s">
        <v>663</v>
      </c>
      <c r="J187" s="70" t="s">
        <v>664</v>
      </c>
      <c r="K187" s="70" t="s">
        <v>665</v>
      </c>
      <c r="L187" s="3">
        <v>70</v>
      </c>
      <c r="M187" s="3"/>
      <c r="N187" s="41" t="s">
        <v>32</v>
      </c>
      <c r="O187" s="3">
        <v>72.78</v>
      </c>
      <c r="P187" s="66">
        <v>68.852474900000004</v>
      </c>
      <c r="Q187" s="66">
        <v>0.67999999999999972</v>
      </c>
      <c r="R187" s="69"/>
      <c r="S187" s="22"/>
      <c r="T187" s="3"/>
      <c r="U187" s="67">
        <f t="shared" si="14"/>
        <v>68.852474900000004</v>
      </c>
      <c r="V187" s="67">
        <f t="shared" si="15"/>
        <v>0.67999999999999972</v>
      </c>
      <c r="W187" s="3"/>
      <c r="X187" s="3"/>
      <c r="Y187" s="3"/>
      <c r="Z187" s="67">
        <f t="shared" si="16"/>
        <v>68.852474900000004</v>
      </c>
      <c r="AA187" s="67">
        <f t="shared" si="17"/>
        <v>0.67999999999999972</v>
      </c>
      <c r="AB187" s="3"/>
      <c r="AC187" s="3"/>
      <c r="AD187" s="3"/>
      <c r="AE187" s="67">
        <f t="shared" si="18"/>
        <v>68.852474900000004</v>
      </c>
      <c r="AF187" s="67">
        <f t="shared" si="19"/>
        <v>0.67999999999999972</v>
      </c>
    </row>
    <row r="188" spans="1:32" ht="46.8">
      <c r="A188" s="41">
        <f t="shared" si="20"/>
        <v>186</v>
      </c>
      <c r="B188" s="34"/>
      <c r="C188" s="34" t="s">
        <v>1002</v>
      </c>
      <c r="D188" s="42" t="s">
        <v>1017</v>
      </c>
      <c r="E188" s="41" t="s">
        <v>1237</v>
      </c>
      <c r="F188" s="43" t="s">
        <v>347</v>
      </c>
      <c r="G188" s="41"/>
      <c r="H188" s="41"/>
      <c r="I188" s="41"/>
      <c r="J188" s="41"/>
      <c r="K188" s="41"/>
      <c r="L188" s="41"/>
      <c r="M188" s="41"/>
      <c r="N188" s="41" t="s">
        <v>82</v>
      </c>
      <c r="O188" s="3">
        <v>0</v>
      </c>
      <c r="P188" s="66">
        <v>61.92</v>
      </c>
      <c r="Q188" s="66">
        <v>16.61</v>
      </c>
      <c r="R188" s="3"/>
      <c r="S188" s="3"/>
      <c r="T188" s="3"/>
      <c r="U188" s="67">
        <f t="shared" si="14"/>
        <v>61.92</v>
      </c>
      <c r="V188" s="67">
        <f t="shared" si="15"/>
        <v>16.61</v>
      </c>
      <c r="W188" s="3"/>
      <c r="X188" s="3"/>
      <c r="Y188" s="3"/>
      <c r="Z188" s="67">
        <f t="shared" si="16"/>
        <v>61.92</v>
      </c>
      <c r="AA188" s="67">
        <f t="shared" si="17"/>
        <v>16.61</v>
      </c>
      <c r="AB188" s="3"/>
      <c r="AC188" s="3"/>
      <c r="AD188" s="3"/>
      <c r="AE188" s="67">
        <f t="shared" si="18"/>
        <v>61.92</v>
      </c>
      <c r="AF188" s="67">
        <f t="shared" si="19"/>
        <v>16.61</v>
      </c>
    </row>
    <row r="189" spans="1:32" ht="46.8">
      <c r="A189" s="41">
        <f t="shared" si="20"/>
        <v>187</v>
      </c>
      <c r="B189" s="34"/>
      <c r="C189" s="34" t="s">
        <v>1002</v>
      </c>
      <c r="D189" s="34" t="s">
        <v>1017</v>
      </c>
      <c r="E189" s="41" t="s">
        <v>1238</v>
      </c>
      <c r="F189" s="43" t="s">
        <v>348</v>
      </c>
      <c r="G189" s="41" t="s">
        <v>28</v>
      </c>
      <c r="H189" s="41"/>
      <c r="I189" s="167" t="s">
        <v>349</v>
      </c>
      <c r="J189" s="167"/>
      <c r="K189" s="167"/>
      <c r="L189" s="167"/>
      <c r="M189" s="167"/>
      <c r="N189" s="41" t="s">
        <v>32</v>
      </c>
      <c r="O189" s="3">
        <v>0</v>
      </c>
      <c r="P189" s="3">
        <v>0</v>
      </c>
      <c r="Q189" s="66">
        <v>0.06</v>
      </c>
      <c r="R189" s="3"/>
      <c r="S189" s="3"/>
      <c r="T189" s="3"/>
      <c r="U189" s="67">
        <f t="shared" si="14"/>
        <v>0</v>
      </c>
      <c r="V189" s="67">
        <f t="shared" si="15"/>
        <v>0.06</v>
      </c>
      <c r="W189" s="3"/>
      <c r="X189" s="3"/>
      <c r="Y189" s="3"/>
      <c r="Z189" s="67">
        <f t="shared" si="16"/>
        <v>0</v>
      </c>
      <c r="AA189" s="67">
        <f t="shared" si="17"/>
        <v>0.06</v>
      </c>
      <c r="AB189" s="3"/>
      <c r="AC189" s="3"/>
      <c r="AD189" s="3"/>
      <c r="AE189" s="67">
        <f t="shared" si="18"/>
        <v>0</v>
      </c>
      <c r="AF189" s="67">
        <f t="shared" si="19"/>
        <v>0.06</v>
      </c>
    </row>
    <row r="190" spans="1:32" ht="46.8">
      <c r="A190" s="41">
        <f t="shared" si="20"/>
        <v>188</v>
      </c>
      <c r="B190" s="34"/>
      <c r="C190" s="34" t="s">
        <v>1002</v>
      </c>
      <c r="D190" s="34" t="s">
        <v>1017</v>
      </c>
      <c r="E190" s="41" t="s">
        <v>1239</v>
      </c>
      <c r="F190" s="43" t="s">
        <v>350</v>
      </c>
      <c r="G190" s="41" t="s">
        <v>28</v>
      </c>
      <c r="H190" s="41"/>
      <c r="I190" s="167" t="s">
        <v>349</v>
      </c>
      <c r="J190" s="167"/>
      <c r="K190" s="167"/>
      <c r="L190" s="167"/>
      <c r="M190" s="167"/>
      <c r="N190" s="41" t="s">
        <v>32</v>
      </c>
      <c r="O190" s="3">
        <v>0</v>
      </c>
      <c r="P190" s="3">
        <v>0</v>
      </c>
      <c r="Q190" s="66">
        <v>0.78</v>
      </c>
      <c r="R190" s="3"/>
      <c r="S190" s="3"/>
      <c r="T190" s="3"/>
      <c r="U190" s="67">
        <f t="shared" si="14"/>
        <v>0</v>
      </c>
      <c r="V190" s="67">
        <f t="shared" si="15"/>
        <v>0.78</v>
      </c>
      <c r="W190" s="3"/>
      <c r="X190" s="3"/>
      <c r="Y190" s="3"/>
      <c r="Z190" s="67">
        <f t="shared" si="16"/>
        <v>0</v>
      </c>
      <c r="AA190" s="67">
        <f t="shared" si="17"/>
        <v>0.78</v>
      </c>
      <c r="AB190" s="3"/>
      <c r="AC190" s="3"/>
      <c r="AD190" s="3"/>
      <c r="AE190" s="67">
        <f t="shared" si="18"/>
        <v>0</v>
      </c>
      <c r="AF190" s="67">
        <f t="shared" si="19"/>
        <v>0.78</v>
      </c>
    </row>
    <row r="191" spans="1:32" ht="46.8">
      <c r="A191" s="41">
        <f t="shared" si="20"/>
        <v>189</v>
      </c>
      <c r="B191" s="34" t="s">
        <v>899</v>
      </c>
      <c r="C191" s="34" t="s">
        <v>1002</v>
      </c>
      <c r="D191" s="41" t="s">
        <v>1019</v>
      </c>
      <c r="E191" s="41" t="s">
        <v>1240</v>
      </c>
      <c r="F191" s="43" t="s">
        <v>351</v>
      </c>
      <c r="G191" s="41" t="s">
        <v>28</v>
      </c>
      <c r="H191" s="41"/>
      <c r="I191" s="167" t="s">
        <v>349</v>
      </c>
      <c r="J191" s="167"/>
      <c r="K191" s="167"/>
      <c r="L191" s="167"/>
      <c r="M191" s="167"/>
      <c r="N191" s="41" t="s">
        <v>32</v>
      </c>
      <c r="O191" s="3">
        <v>0</v>
      </c>
      <c r="P191" s="66">
        <v>0.1</v>
      </c>
      <c r="Q191" s="3">
        <v>0</v>
      </c>
      <c r="R191" s="3"/>
      <c r="S191" s="3"/>
      <c r="T191" s="3"/>
      <c r="U191" s="67">
        <f t="shared" si="14"/>
        <v>0.1</v>
      </c>
      <c r="V191" s="67">
        <f t="shared" si="15"/>
        <v>0</v>
      </c>
      <c r="W191" s="3"/>
      <c r="X191" s="3"/>
      <c r="Y191" s="3"/>
      <c r="Z191" s="67">
        <f t="shared" si="16"/>
        <v>0.1</v>
      </c>
      <c r="AA191" s="67">
        <f t="shared" si="17"/>
        <v>0</v>
      </c>
      <c r="AB191" s="3"/>
      <c r="AC191" s="3"/>
      <c r="AD191" s="3"/>
      <c r="AE191" s="67">
        <f t="shared" si="18"/>
        <v>0.1</v>
      </c>
      <c r="AF191" s="67">
        <f t="shared" si="19"/>
        <v>0</v>
      </c>
    </row>
    <row r="192" spans="1:32" ht="46.8">
      <c r="A192" s="41">
        <f t="shared" si="20"/>
        <v>190</v>
      </c>
      <c r="B192" s="34"/>
      <c r="C192" s="34" t="s">
        <v>1002</v>
      </c>
      <c r="D192" s="34" t="s">
        <v>1017</v>
      </c>
      <c r="E192" s="41" t="s">
        <v>1241</v>
      </c>
      <c r="F192" s="43" t="s">
        <v>352</v>
      </c>
      <c r="G192" s="41" t="s">
        <v>28</v>
      </c>
      <c r="H192" s="41"/>
      <c r="I192" s="167" t="s">
        <v>349</v>
      </c>
      <c r="J192" s="167"/>
      <c r="K192" s="167"/>
      <c r="L192" s="167"/>
      <c r="M192" s="167"/>
      <c r="N192" s="41" t="s">
        <v>32</v>
      </c>
      <c r="O192" s="3">
        <v>0</v>
      </c>
      <c r="P192" s="66">
        <v>0.56000000000000005</v>
      </c>
      <c r="Q192" s="3">
        <v>0</v>
      </c>
      <c r="R192" s="3"/>
      <c r="S192" s="3"/>
      <c r="T192" s="3"/>
      <c r="U192" s="67">
        <f t="shared" si="14"/>
        <v>0.56000000000000005</v>
      </c>
      <c r="V192" s="67">
        <f t="shared" si="15"/>
        <v>0</v>
      </c>
      <c r="W192" s="3"/>
      <c r="X192" s="3"/>
      <c r="Y192" s="3"/>
      <c r="Z192" s="67">
        <f t="shared" si="16"/>
        <v>0.56000000000000005</v>
      </c>
      <c r="AA192" s="67">
        <f t="shared" si="17"/>
        <v>0</v>
      </c>
      <c r="AB192" s="3"/>
      <c r="AC192" s="3"/>
      <c r="AD192" s="3"/>
      <c r="AE192" s="67">
        <f t="shared" si="18"/>
        <v>0.56000000000000005</v>
      </c>
      <c r="AF192" s="67">
        <f t="shared" si="19"/>
        <v>0</v>
      </c>
    </row>
    <row r="193" spans="1:32" ht="46.8">
      <c r="A193" s="41">
        <f t="shared" si="20"/>
        <v>191</v>
      </c>
      <c r="B193" s="34" t="s">
        <v>900</v>
      </c>
      <c r="C193" s="34" t="s">
        <v>1002</v>
      </c>
      <c r="D193" s="34" t="s">
        <v>1017</v>
      </c>
      <c r="E193" s="41" t="s">
        <v>1242</v>
      </c>
      <c r="F193" s="43" t="s">
        <v>353</v>
      </c>
      <c r="G193" s="41" t="s">
        <v>28</v>
      </c>
      <c r="H193" s="41"/>
      <c r="I193" s="167" t="s">
        <v>349</v>
      </c>
      <c r="J193" s="167"/>
      <c r="K193" s="167"/>
      <c r="L193" s="167"/>
      <c r="M193" s="167"/>
      <c r="N193" s="41" t="s">
        <v>32</v>
      </c>
      <c r="O193" s="3">
        <v>0</v>
      </c>
      <c r="P193" s="66">
        <v>0.34</v>
      </c>
      <c r="Q193" s="3">
        <v>0</v>
      </c>
      <c r="R193" s="3"/>
      <c r="S193" s="3"/>
      <c r="T193" s="3"/>
      <c r="U193" s="67">
        <f t="shared" si="14"/>
        <v>0.34</v>
      </c>
      <c r="V193" s="67">
        <f t="shared" si="15"/>
        <v>0</v>
      </c>
      <c r="W193" s="3"/>
      <c r="X193" s="3"/>
      <c r="Y193" s="3"/>
      <c r="Z193" s="67">
        <f t="shared" si="16"/>
        <v>0.34</v>
      </c>
      <c r="AA193" s="67">
        <f t="shared" si="17"/>
        <v>0</v>
      </c>
      <c r="AB193" s="3"/>
      <c r="AC193" s="3"/>
      <c r="AD193" s="3"/>
      <c r="AE193" s="67">
        <f t="shared" si="18"/>
        <v>0.34</v>
      </c>
      <c r="AF193" s="67">
        <f t="shared" si="19"/>
        <v>0</v>
      </c>
    </row>
    <row r="194" spans="1:32" ht="46.8">
      <c r="A194" s="41">
        <f t="shared" si="20"/>
        <v>192</v>
      </c>
      <c r="B194" s="34" t="s">
        <v>901</v>
      </c>
      <c r="C194" s="34" t="s">
        <v>1002</v>
      </c>
      <c r="D194" s="34" t="s">
        <v>1017</v>
      </c>
      <c r="E194" s="41" t="s">
        <v>1243</v>
      </c>
      <c r="F194" s="43" t="s">
        <v>354</v>
      </c>
      <c r="G194" s="41" t="s">
        <v>28</v>
      </c>
      <c r="H194" s="41"/>
      <c r="I194" s="167" t="s">
        <v>349</v>
      </c>
      <c r="J194" s="167"/>
      <c r="K194" s="167"/>
      <c r="L194" s="167"/>
      <c r="M194" s="167"/>
      <c r="N194" s="41" t="s">
        <v>32</v>
      </c>
      <c r="O194" s="3">
        <v>0</v>
      </c>
      <c r="P194" s="66">
        <v>0.82</v>
      </c>
      <c r="Q194" s="3">
        <v>0</v>
      </c>
      <c r="R194" s="3"/>
      <c r="S194" s="3"/>
      <c r="T194" s="3"/>
      <c r="U194" s="67">
        <f t="shared" si="14"/>
        <v>0.82</v>
      </c>
      <c r="V194" s="67">
        <f t="shared" si="15"/>
        <v>0</v>
      </c>
      <c r="W194" s="3"/>
      <c r="X194" s="3"/>
      <c r="Y194" s="3"/>
      <c r="Z194" s="67">
        <f t="shared" si="16"/>
        <v>0.82</v>
      </c>
      <c r="AA194" s="67">
        <f t="shared" si="17"/>
        <v>0</v>
      </c>
      <c r="AB194" s="3"/>
      <c r="AC194" s="3"/>
      <c r="AD194" s="3"/>
      <c r="AE194" s="67">
        <f t="shared" si="18"/>
        <v>0.82</v>
      </c>
      <c r="AF194" s="67">
        <f t="shared" si="19"/>
        <v>0</v>
      </c>
    </row>
    <row r="195" spans="1:32" ht="46.8">
      <c r="A195" s="41">
        <f t="shared" si="20"/>
        <v>193</v>
      </c>
      <c r="B195" s="34" t="s">
        <v>902</v>
      </c>
      <c r="C195" s="34" t="s">
        <v>1002</v>
      </c>
      <c r="D195" s="34" t="s">
        <v>1017</v>
      </c>
      <c r="E195" s="41" t="s">
        <v>1244</v>
      </c>
      <c r="F195" s="43" t="s">
        <v>355</v>
      </c>
      <c r="G195" s="41" t="s">
        <v>28</v>
      </c>
      <c r="H195" s="41"/>
      <c r="I195" s="167" t="s">
        <v>349</v>
      </c>
      <c r="J195" s="167"/>
      <c r="K195" s="167"/>
      <c r="L195" s="167"/>
      <c r="M195" s="167"/>
      <c r="N195" s="41" t="s">
        <v>32</v>
      </c>
      <c r="O195" s="3">
        <v>0</v>
      </c>
      <c r="P195" s="66">
        <v>0.18</v>
      </c>
      <c r="Q195" s="66">
        <v>0</v>
      </c>
      <c r="R195" s="3"/>
      <c r="S195" s="3"/>
      <c r="T195" s="3"/>
      <c r="U195" s="67">
        <f t="shared" si="14"/>
        <v>0.18</v>
      </c>
      <c r="V195" s="67">
        <f t="shared" si="15"/>
        <v>0</v>
      </c>
      <c r="W195" s="3"/>
      <c r="X195" s="3"/>
      <c r="Y195" s="3"/>
      <c r="Z195" s="67">
        <f t="shared" si="16"/>
        <v>0.18</v>
      </c>
      <c r="AA195" s="67">
        <f t="shared" si="17"/>
        <v>0</v>
      </c>
      <c r="AB195" s="3"/>
      <c r="AC195" s="3"/>
      <c r="AD195" s="3"/>
      <c r="AE195" s="67">
        <f t="shared" si="18"/>
        <v>0.18</v>
      </c>
      <c r="AF195" s="67">
        <f t="shared" si="19"/>
        <v>0</v>
      </c>
    </row>
    <row r="196" spans="1:32" ht="46.8">
      <c r="A196" s="41">
        <f t="shared" si="20"/>
        <v>194</v>
      </c>
      <c r="B196" s="34" t="s">
        <v>903</v>
      </c>
      <c r="C196" s="34" t="s">
        <v>1002</v>
      </c>
      <c r="D196" s="34" t="s">
        <v>1017</v>
      </c>
      <c r="E196" s="41" t="s">
        <v>1245</v>
      </c>
      <c r="F196" s="43" t="s">
        <v>356</v>
      </c>
      <c r="G196" s="41" t="s">
        <v>28</v>
      </c>
      <c r="H196" s="41"/>
      <c r="I196" s="167" t="s">
        <v>349</v>
      </c>
      <c r="J196" s="167"/>
      <c r="K196" s="167"/>
      <c r="L196" s="167"/>
      <c r="M196" s="167"/>
      <c r="N196" s="41" t="s">
        <v>32</v>
      </c>
      <c r="O196" s="3">
        <v>0</v>
      </c>
      <c r="P196" s="3">
        <v>0</v>
      </c>
      <c r="Q196" s="66">
        <v>0.42</v>
      </c>
      <c r="R196" s="3"/>
      <c r="S196" s="3"/>
      <c r="T196" s="3"/>
      <c r="U196" s="67">
        <f t="shared" ref="U196:U259" si="21">P196+S196+T196</f>
        <v>0</v>
      </c>
      <c r="V196" s="67">
        <f t="shared" ref="V196:V259" si="22">Q196+R196-S196-T196</f>
        <v>0.42</v>
      </c>
      <c r="W196" s="3"/>
      <c r="X196" s="3"/>
      <c r="Y196" s="3"/>
      <c r="Z196" s="67">
        <f t="shared" ref="Z196:Z259" si="23">U196+X196+Y196</f>
        <v>0</v>
      </c>
      <c r="AA196" s="67">
        <f t="shared" ref="AA196:AA259" si="24">V196+W196-X196-Y196</f>
        <v>0.42</v>
      </c>
      <c r="AB196" s="3"/>
      <c r="AC196" s="3"/>
      <c r="AD196" s="3"/>
      <c r="AE196" s="67">
        <f t="shared" ref="AE196:AE259" si="25">Z196+AC196+AD196</f>
        <v>0</v>
      </c>
      <c r="AF196" s="67">
        <f t="shared" ref="AF196:AF259" si="26">AA196+AB196-AC196-AD196</f>
        <v>0.42</v>
      </c>
    </row>
    <row r="197" spans="1:32" ht="46.8">
      <c r="A197" s="41">
        <f t="shared" ref="A197:A260" si="27">A196+1</f>
        <v>195</v>
      </c>
      <c r="B197" s="34" t="s">
        <v>904</v>
      </c>
      <c r="C197" s="34" t="s">
        <v>1002</v>
      </c>
      <c r="D197" s="34" t="s">
        <v>1017</v>
      </c>
      <c r="E197" s="41" t="s">
        <v>1246</v>
      </c>
      <c r="F197" s="43" t="s">
        <v>357</v>
      </c>
      <c r="G197" s="41" t="s">
        <v>28</v>
      </c>
      <c r="H197" s="41"/>
      <c r="I197" s="167" t="s">
        <v>349</v>
      </c>
      <c r="J197" s="167"/>
      <c r="K197" s="167"/>
      <c r="L197" s="167"/>
      <c r="M197" s="167"/>
      <c r="N197" s="41" t="s">
        <v>32</v>
      </c>
      <c r="O197" s="3">
        <v>0</v>
      </c>
      <c r="P197" s="66">
        <v>10.119999999999999</v>
      </c>
      <c r="Q197" s="66">
        <v>0.28999999999999998</v>
      </c>
      <c r="R197" s="3"/>
      <c r="S197" s="3"/>
      <c r="T197" s="3"/>
      <c r="U197" s="67">
        <f t="shared" si="21"/>
        <v>10.119999999999999</v>
      </c>
      <c r="V197" s="67">
        <f t="shared" si="22"/>
        <v>0.28999999999999998</v>
      </c>
      <c r="W197" s="3"/>
      <c r="X197" s="3"/>
      <c r="Y197" s="3"/>
      <c r="Z197" s="67">
        <f t="shared" si="23"/>
        <v>10.119999999999999</v>
      </c>
      <c r="AA197" s="67">
        <f t="shared" si="24"/>
        <v>0.28999999999999998</v>
      </c>
      <c r="AB197" s="3"/>
      <c r="AC197" s="3"/>
      <c r="AD197" s="3"/>
      <c r="AE197" s="67">
        <f t="shared" si="25"/>
        <v>10.119999999999999</v>
      </c>
      <c r="AF197" s="67">
        <f t="shared" si="26"/>
        <v>0.28999999999999998</v>
      </c>
    </row>
    <row r="198" spans="1:32" ht="46.8">
      <c r="A198" s="41">
        <f t="shared" si="27"/>
        <v>196</v>
      </c>
      <c r="B198" s="34" t="s">
        <v>905</v>
      </c>
      <c r="C198" s="34" t="s">
        <v>1002</v>
      </c>
      <c r="D198" s="34" t="s">
        <v>1017</v>
      </c>
      <c r="E198" s="41" t="s">
        <v>1247</v>
      </c>
      <c r="F198" s="43" t="s">
        <v>358</v>
      </c>
      <c r="G198" s="41" t="s">
        <v>28</v>
      </c>
      <c r="H198" s="41"/>
      <c r="I198" s="167" t="s">
        <v>349</v>
      </c>
      <c r="J198" s="167"/>
      <c r="K198" s="167"/>
      <c r="L198" s="167"/>
      <c r="M198" s="167"/>
      <c r="N198" s="41" t="s">
        <v>32</v>
      </c>
      <c r="O198" s="65">
        <v>0.56999999999999995</v>
      </c>
      <c r="P198" s="66">
        <v>0.47</v>
      </c>
      <c r="Q198" s="3">
        <v>0</v>
      </c>
      <c r="R198" s="3"/>
      <c r="S198" s="3"/>
      <c r="T198" s="3"/>
      <c r="U198" s="67">
        <f t="shared" si="21"/>
        <v>0.47</v>
      </c>
      <c r="V198" s="67">
        <f t="shared" si="22"/>
        <v>0</v>
      </c>
      <c r="W198" s="3"/>
      <c r="X198" s="3"/>
      <c r="Y198" s="3"/>
      <c r="Z198" s="67">
        <f t="shared" si="23"/>
        <v>0.47</v>
      </c>
      <c r="AA198" s="67">
        <f t="shared" si="24"/>
        <v>0</v>
      </c>
      <c r="AB198" s="3"/>
      <c r="AC198" s="3"/>
      <c r="AD198" s="3"/>
      <c r="AE198" s="67">
        <f t="shared" si="25"/>
        <v>0.47</v>
      </c>
      <c r="AF198" s="67">
        <f t="shared" si="26"/>
        <v>0</v>
      </c>
    </row>
    <row r="199" spans="1:32" ht="46.8">
      <c r="A199" s="41">
        <f t="shared" si="27"/>
        <v>197</v>
      </c>
      <c r="B199" s="34" t="s">
        <v>906</v>
      </c>
      <c r="C199" s="34" t="s">
        <v>1002</v>
      </c>
      <c r="D199" s="34" t="s">
        <v>1017</v>
      </c>
      <c r="E199" s="41" t="s">
        <v>1248</v>
      </c>
      <c r="F199" s="43" t="s">
        <v>359</v>
      </c>
      <c r="G199" s="41" t="s">
        <v>28</v>
      </c>
      <c r="H199" s="41"/>
      <c r="I199" s="167" t="s">
        <v>349</v>
      </c>
      <c r="J199" s="167"/>
      <c r="K199" s="167"/>
      <c r="L199" s="167"/>
      <c r="M199" s="167"/>
      <c r="N199" s="41" t="s">
        <v>32</v>
      </c>
      <c r="O199" s="65">
        <v>0.36</v>
      </c>
      <c r="P199" s="66">
        <v>0.28999999999999998</v>
      </c>
      <c r="Q199" s="3">
        <v>0</v>
      </c>
      <c r="R199" s="3"/>
      <c r="S199" s="3"/>
      <c r="T199" s="3"/>
      <c r="U199" s="67">
        <f t="shared" si="21"/>
        <v>0.28999999999999998</v>
      </c>
      <c r="V199" s="67">
        <f t="shared" si="22"/>
        <v>0</v>
      </c>
      <c r="W199" s="3"/>
      <c r="X199" s="3"/>
      <c r="Y199" s="3"/>
      <c r="Z199" s="67">
        <f t="shared" si="23"/>
        <v>0.28999999999999998</v>
      </c>
      <c r="AA199" s="67">
        <f t="shared" si="24"/>
        <v>0</v>
      </c>
      <c r="AB199" s="3"/>
      <c r="AC199" s="3"/>
      <c r="AD199" s="3"/>
      <c r="AE199" s="67">
        <f t="shared" si="25"/>
        <v>0.28999999999999998</v>
      </c>
      <c r="AF199" s="67">
        <f t="shared" si="26"/>
        <v>0</v>
      </c>
    </row>
    <row r="200" spans="1:32" ht="46.8">
      <c r="A200" s="41">
        <f t="shared" si="27"/>
        <v>198</v>
      </c>
      <c r="B200" s="34" t="s">
        <v>907</v>
      </c>
      <c r="C200" s="34" t="s">
        <v>1002</v>
      </c>
      <c r="D200" s="34" t="s">
        <v>1017</v>
      </c>
      <c r="E200" s="41" t="s">
        <v>1249</v>
      </c>
      <c r="F200" s="43" t="s">
        <v>360</v>
      </c>
      <c r="G200" s="41" t="s">
        <v>28</v>
      </c>
      <c r="H200" s="41"/>
      <c r="I200" s="167" t="s">
        <v>349</v>
      </c>
      <c r="J200" s="167"/>
      <c r="K200" s="167"/>
      <c r="L200" s="167"/>
      <c r="M200" s="167"/>
      <c r="N200" s="41" t="s">
        <v>32</v>
      </c>
      <c r="O200" s="65">
        <v>0.47</v>
      </c>
      <c r="P200" s="66">
        <v>0.41</v>
      </c>
      <c r="Q200" s="3">
        <v>0</v>
      </c>
      <c r="R200" s="3"/>
      <c r="S200" s="3"/>
      <c r="T200" s="3"/>
      <c r="U200" s="67">
        <f t="shared" si="21"/>
        <v>0.41</v>
      </c>
      <c r="V200" s="67">
        <f t="shared" si="22"/>
        <v>0</v>
      </c>
      <c r="W200" s="3"/>
      <c r="X200" s="3"/>
      <c r="Y200" s="3"/>
      <c r="Z200" s="67">
        <f t="shared" si="23"/>
        <v>0.41</v>
      </c>
      <c r="AA200" s="67">
        <f t="shared" si="24"/>
        <v>0</v>
      </c>
      <c r="AB200" s="3"/>
      <c r="AC200" s="3"/>
      <c r="AD200" s="3"/>
      <c r="AE200" s="67">
        <f t="shared" si="25"/>
        <v>0.41</v>
      </c>
      <c r="AF200" s="67">
        <f t="shared" si="26"/>
        <v>0</v>
      </c>
    </row>
    <row r="201" spans="1:32" ht="46.8">
      <c r="A201" s="41">
        <f t="shared" si="27"/>
        <v>199</v>
      </c>
      <c r="B201" s="34" t="s">
        <v>908</v>
      </c>
      <c r="C201" s="34" t="s">
        <v>1002</v>
      </c>
      <c r="D201" s="34" t="s">
        <v>1017</v>
      </c>
      <c r="E201" s="41" t="s">
        <v>1250</v>
      </c>
      <c r="F201" s="43" t="s">
        <v>361</v>
      </c>
      <c r="G201" s="41" t="s">
        <v>28</v>
      </c>
      <c r="H201" s="41"/>
      <c r="I201" s="167" t="s">
        <v>349</v>
      </c>
      <c r="J201" s="167"/>
      <c r="K201" s="167"/>
      <c r="L201" s="167"/>
      <c r="M201" s="167"/>
      <c r="N201" s="41" t="s">
        <v>32</v>
      </c>
      <c r="O201" s="3">
        <v>0</v>
      </c>
      <c r="P201" s="66">
        <v>0.13</v>
      </c>
      <c r="Q201" s="3">
        <v>0</v>
      </c>
      <c r="R201" s="3"/>
      <c r="S201" s="3"/>
      <c r="T201" s="3"/>
      <c r="U201" s="67">
        <f t="shared" si="21"/>
        <v>0.13</v>
      </c>
      <c r="V201" s="67">
        <f t="shared" si="22"/>
        <v>0</v>
      </c>
      <c r="W201" s="3"/>
      <c r="X201" s="3"/>
      <c r="Y201" s="3"/>
      <c r="Z201" s="67">
        <f t="shared" si="23"/>
        <v>0.13</v>
      </c>
      <c r="AA201" s="67">
        <f t="shared" si="24"/>
        <v>0</v>
      </c>
      <c r="AB201" s="3"/>
      <c r="AC201" s="3"/>
      <c r="AD201" s="3"/>
      <c r="AE201" s="67">
        <f t="shared" si="25"/>
        <v>0.13</v>
      </c>
      <c r="AF201" s="67">
        <f t="shared" si="26"/>
        <v>0</v>
      </c>
    </row>
    <row r="202" spans="1:32" ht="46.8">
      <c r="A202" s="41">
        <f t="shared" si="27"/>
        <v>200</v>
      </c>
      <c r="B202" s="34" t="s">
        <v>909</v>
      </c>
      <c r="C202" s="34" t="s">
        <v>1002</v>
      </c>
      <c r="D202" s="34" t="s">
        <v>1017</v>
      </c>
      <c r="E202" s="41" t="s">
        <v>1251</v>
      </c>
      <c r="F202" s="43" t="s">
        <v>362</v>
      </c>
      <c r="G202" s="41" t="s">
        <v>28</v>
      </c>
      <c r="H202" s="41"/>
      <c r="I202" s="167" t="s">
        <v>349</v>
      </c>
      <c r="J202" s="167"/>
      <c r="K202" s="167"/>
      <c r="L202" s="167"/>
      <c r="M202" s="167"/>
      <c r="N202" s="41" t="s">
        <v>32</v>
      </c>
      <c r="O202" s="3">
        <v>0</v>
      </c>
      <c r="P202" s="66">
        <v>0.6</v>
      </c>
      <c r="Q202" s="3">
        <v>0</v>
      </c>
      <c r="R202" s="3"/>
      <c r="S202" s="3"/>
      <c r="T202" s="3"/>
      <c r="U202" s="67">
        <f t="shared" si="21"/>
        <v>0.6</v>
      </c>
      <c r="V202" s="67">
        <f t="shared" si="22"/>
        <v>0</v>
      </c>
      <c r="W202" s="3"/>
      <c r="X202" s="3"/>
      <c r="Y202" s="3"/>
      <c r="Z202" s="67">
        <f t="shared" si="23"/>
        <v>0.6</v>
      </c>
      <c r="AA202" s="67">
        <f t="shared" si="24"/>
        <v>0</v>
      </c>
      <c r="AB202" s="3"/>
      <c r="AC202" s="3"/>
      <c r="AD202" s="3"/>
      <c r="AE202" s="67">
        <f t="shared" si="25"/>
        <v>0.6</v>
      </c>
      <c r="AF202" s="67">
        <f t="shared" si="26"/>
        <v>0</v>
      </c>
    </row>
    <row r="203" spans="1:32" ht="46.8">
      <c r="A203" s="41">
        <f t="shared" si="27"/>
        <v>201</v>
      </c>
      <c r="B203" s="34" t="s">
        <v>910</v>
      </c>
      <c r="C203" s="34" t="s">
        <v>1002</v>
      </c>
      <c r="D203" s="34" t="s">
        <v>1017</v>
      </c>
      <c r="E203" s="41" t="s">
        <v>1252</v>
      </c>
      <c r="F203" s="43" t="s">
        <v>363</v>
      </c>
      <c r="G203" s="41" t="s">
        <v>28</v>
      </c>
      <c r="H203" s="41"/>
      <c r="I203" s="167" t="s">
        <v>349</v>
      </c>
      <c r="J203" s="167"/>
      <c r="K203" s="167"/>
      <c r="L203" s="167"/>
      <c r="M203" s="167"/>
      <c r="N203" s="41" t="s">
        <v>32</v>
      </c>
      <c r="O203" s="3">
        <v>0</v>
      </c>
      <c r="P203" s="66">
        <v>0.66</v>
      </c>
      <c r="Q203" s="3">
        <v>0</v>
      </c>
      <c r="R203" s="3"/>
      <c r="S203" s="3"/>
      <c r="T203" s="3"/>
      <c r="U203" s="67">
        <f t="shared" si="21"/>
        <v>0.66</v>
      </c>
      <c r="V203" s="67">
        <f t="shared" si="22"/>
        <v>0</v>
      </c>
      <c r="W203" s="3"/>
      <c r="X203" s="3"/>
      <c r="Y203" s="3"/>
      <c r="Z203" s="67">
        <f t="shared" si="23"/>
        <v>0.66</v>
      </c>
      <c r="AA203" s="67">
        <f t="shared" si="24"/>
        <v>0</v>
      </c>
      <c r="AB203" s="3"/>
      <c r="AC203" s="3"/>
      <c r="AD203" s="3"/>
      <c r="AE203" s="67">
        <f t="shared" si="25"/>
        <v>0.66</v>
      </c>
      <c r="AF203" s="67">
        <f t="shared" si="26"/>
        <v>0</v>
      </c>
    </row>
    <row r="204" spans="1:32" ht="46.8">
      <c r="A204" s="41">
        <f t="shared" si="27"/>
        <v>202</v>
      </c>
      <c r="B204" s="34" t="s">
        <v>911</v>
      </c>
      <c r="C204" s="34" t="s">
        <v>1002</v>
      </c>
      <c r="D204" s="34" t="s">
        <v>1017</v>
      </c>
      <c r="E204" s="41" t="s">
        <v>1253</v>
      </c>
      <c r="F204" s="43" t="s">
        <v>364</v>
      </c>
      <c r="G204" s="41" t="s">
        <v>28</v>
      </c>
      <c r="H204" s="41"/>
      <c r="I204" s="167" t="s">
        <v>349</v>
      </c>
      <c r="J204" s="167"/>
      <c r="K204" s="167"/>
      <c r="L204" s="167"/>
      <c r="M204" s="167"/>
      <c r="N204" s="41" t="s">
        <v>32</v>
      </c>
      <c r="O204" s="159">
        <v>0.8</v>
      </c>
      <c r="P204" s="66">
        <v>0.71</v>
      </c>
      <c r="Q204" s="3">
        <v>0</v>
      </c>
      <c r="R204" s="3"/>
      <c r="S204" s="3"/>
      <c r="T204" s="3"/>
      <c r="U204" s="67">
        <f t="shared" si="21"/>
        <v>0.71</v>
      </c>
      <c r="V204" s="67">
        <f t="shared" si="22"/>
        <v>0</v>
      </c>
      <c r="W204" s="3"/>
      <c r="X204" s="3"/>
      <c r="Y204" s="3"/>
      <c r="Z204" s="67">
        <f t="shared" si="23"/>
        <v>0.71</v>
      </c>
      <c r="AA204" s="67">
        <f t="shared" si="24"/>
        <v>0</v>
      </c>
      <c r="AB204" s="3"/>
      <c r="AC204" s="3"/>
      <c r="AD204" s="3"/>
      <c r="AE204" s="67">
        <f t="shared" si="25"/>
        <v>0.71</v>
      </c>
      <c r="AF204" s="67">
        <f t="shared" si="26"/>
        <v>0</v>
      </c>
    </row>
    <row r="205" spans="1:32" ht="46.8">
      <c r="A205" s="41">
        <f t="shared" si="27"/>
        <v>203</v>
      </c>
      <c r="B205" s="34" t="s">
        <v>912</v>
      </c>
      <c r="C205" s="34" t="s">
        <v>1002</v>
      </c>
      <c r="D205" s="34" t="s">
        <v>1017</v>
      </c>
      <c r="E205" s="41" t="s">
        <v>1254</v>
      </c>
      <c r="F205" s="41" t="s">
        <v>365</v>
      </c>
      <c r="G205" s="41" t="s">
        <v>28</v>
      </c>
      <c r="H205" s="41"/>
      <c r="I205" s="167" t="s">
        <v>349</v>
      </c>
      <c r="J205" s="167"/>
      <c r="K205" s="167"/>
      <c r="L205" s="167"/>
      <c r="M205" s="167"/>
      <c r="N205" s="41" t="s">
        <v>32</v>
      </c>
      <c r="O205" s="65">
        <v>0.76</v>
      </c>
      <c r="P205" s="66">
        <v>0.76</v>
      </c>
      <c r="Q205" s="3">
        <v>0</v>
      </c>
      <c r="R205" s="3"/>
      <c r="S205" s="3"/>
      <c r="T205" s="3"/>
      <c r="U205" s="67">
        <f t="shared" si="21"/>
        <v>0.76</v>
      </c>
      <c r="V205" s="67">
        <f t="shared" si="22"/>
        <v>0</v>
      </c>
      <c r="W205" s="3"/>
      <c r="X205" s="3"/>
      <c r="Y205" s="3"/>
      <c r="Z205" s="67">
        <f t="shared" si="23"/>
        <v>0.76</v>
      </c>
      <c r="AA205" s="67">
        <f t="shared" si="24"/>
        <v>0</v>
      </c>
      <c r="AB205" s="3"/>
      <c r="AC205" s="3"/>
      <c r="AD205" s="3"/>
      <c r="AE205" s="67">
        <f t="shared" si="25"/>
        <v>0.76</v>
      </c>
      <c r="AF205" s="67">
        <f t="shared" si="26"/>
        <v>0</v>
      </c>
    </row>
    <row r="206" spans="1:32" ht="46.8">
      <c r="A206" s="41">
        <f t="shared" si="27"/>
        <v>204</v>
      </c>
      <c r="B206" s="34" t="s">
        <v>913</v>
      </c>
      <c r="C206" s="34" t="s">
        <v>1002</v>
      </c>
      <c r="D206" s="34" t="s">
        <v>1017</v>
      </c>
      <c r="E206" s="41" t="s">
        <v>1255</v>
      </c>
      <c r="F206" s="43" t="s">
        <v>366</v>
      </c>
      <c r="G206" s="41" t="s">
        <v>28</v>
      </c>
      <c r="H206" s="41"/>
      <c r="I206" s="167" t="s">
        <v>349</v>
      </c>
      <c r="J206" s="167"/>
      <c r="K206" s="167"/>
      <c r="L206" s="167"/>
      <c r="M206" s="167"/>
      <c r="N206" s="41" t="s">
        <v>32</v>
      </c>
      <c r="O206" s="3">
        <v>0</v>
      </c>
      <c r="P206" s="66">
        <v>0.41</v>
      </c>
      <c r="Q206" s="3">
        <v>0</v>
      </c>
      <c r="R206" s="3"/>
      <c r="S206" s="3"/>
      <c r="T206" s="3"/>
      <c r="U206" s="67">
        <f t="shared" si="21"/>
        <v>0.41</v>
      </c>
      <c r="V206" s="67">
        <f t="shared" si="22"/>
        <v>0</v>
      </c>
      <c r="W206" s="3"/>
      <c r="X206" s="3"/>
      <c r="Y206" s="3"/>
      <c r="Z206" s="67">
        <f t="shared" si="23"/>
        <v>0.41</v>
      </c>
      <c r="AA206" s="67">
        <f t="shared" si="24"/>
        <v>0</v>
      </c>
      <c r="AB206" s="3"/>
      <c r="AC206" s="3"/>
      <c r="AD206" s="3"/>
      <c r="AE206" s="67">
        <f t="shared" si="25"/>
        <v>0.41</v>
      </c>
      <c r="AF206" s="67">
        <f t="shared" si="26"/>
        <v>0</v>
      </c>
    </row>
    <row r="207" spans="1:32" ht="46.8">
      <c r="A207" s="41">
        <f t="shared" si="27"/>
        <v>205</v>
      </c>
      <c r="B207" s="34" t="s">
        <v>915</v>
      </c>
      <c r="C207" s="34" t="s">
        <v>1002</v>
      </c>
      <c r="D207" s="34" t="s">
        <v>1017</v>
      </c>
      <c r="E207" s="41" t="s">
        <v>1256</v>
      </c>
      <c r="F207" s="43" t="s">
        <v>368</v>
      </c>
      <c r="G207" s="41" t="s">
        <v>28</v>
      </c>
      <c r="H207" s="41"/>
      <c r="I207" s="167" t="s">
        <v>349</v>
      </c>
      <c r="J207" s="167"/>
      <c r="K207" s="167"/>
      <c r="L207" s="167"/>
      <c r="M207" s="167"/>
      <c r="N207" s="41" t="s">
        <v>32</v>
      </c>
      <c r="O207" s="3">
        <v>0</v>
      </c>
      <c r="P207" s="66">
        <v>0.98</v>
      </c>
      <c r="Q207" s="3">
        <v>0</v>
      </c>
      <c r="R207" s="3"/>
      <c r="S207" s="3"/>
      <c r="T207" s="3"/>
      <c r="U207" s="67">
        <f t="shared" si="21"/>
        <v>0.98</v>
      </c>
      <c r="V207" s="67">
        <f t="shared" si="22"/>
        <v>0</v>
      </c>
      <c r="W207" s="3"/>
      <c r="X207" s="3"/>
      <c r="Y207" s="3"/>
      <c r="Z207" s="67">
        <f t="shared" si="23"/>
        <v>0.98</v>
      </c>
      <c r="AA207" s="67">
        <f t="shared" si="24"/>
        <v>0</v>
      </c>
      <c r="AB207" s="3"/>
      <c r="AC207" s="3"/>
      <c r="AD207" s="3"/>
      <c r="AE207" s="67">
        <f t="shared" si="25"/>
        <v>0.98</v>
      </c>
      <c r="AF207" s="67">
        <f t="shared" si="26"/>
        <v>0</v>
      </c>
    </row>
    <row r="208" spans="1:32" ht="46.8">
      <c r="A208" s="41">
        <f t="shared" si="27"/>
        <v>206</v>
      </c>
      <c r="B208" s="34" t="s">
        <v>916</v>
      </c>
      <c r="C208" s="34" t="s">
        <v>1002</v>
      </c>
      <c r="D208" s="34" t="s">
        <v>1017</v>
      </c>
      <c r="E208" s="41" t="s">
        <v>1257</v>
      </c>
      <c r="F208" s="43" t="s">
        <v>369</v>
      </c>
      <c r="G208" s="41" t="s">
        <v>28</v>
      </c>
      <c r="H208" s="41"/>
      <c r="I208" s="167" t="s">
        <v>349</v>
      </c>
      <c r="J208" s="167"/>
      <c r="K208" s="167"/>
      <c r="L208" s="167"/>
      <c r="M208" s="167"/>
      <c r="N208" s="41" t="s">
        <v>32</v>
      </c>
      <c r="O208" s="3">
        <v>0</v>
      </c>
      <c r="P208" s="66">
        <v>1.07</v>
      </c>
      <c r="Q208" s="3">
        <v>0</v>
      </c>
      <c r="R208" s="3"/>
      <c r="S208" s="3"/>
      <c r="T208" s="3"/>
      <c r="U208" s="67">
        <f t="shared" si="21"/>
        <v>1.07</v>
      </c>
      <c r="V208" s="67">
        <f t="shared" si="22"/>
        <v>0</v>
      </c>
      <c r="W208" s="3"/>
      <c r="X208" s="3"/>
      <c r="Y208" s="3"/>
      <c r="Z208" s="67">
        <f t="shared" si="23"/>
        <v>1.07</v>
      </c>
      <c r="AA208" s="67">
        <f t="shared" si="24"/>
        <v>0</v>
      </c>
      <c r="AB208" s="3"/>
      <c r="AC208" s="3"/>
      <c r="AD208" s="3"/>
      <c r="AE208" s="67">
        <f t="shared" si="25"/>
        <v>1.07</v>
      </c>
      <c r="AF208" s="67">
        <f t="shared" si="26"/>
        <v>0</v>
      </c>
    </row>
    <row r="209" spans="1:32" ht="46.8">
      <c r="A209" s="41">
        <f t="shared" si="27"/>
        <v>207</v>
      </c>
      <c r="B209" s="34" t="s">
        <v>917</v>
      </c>
      <c r="C209" s="34" t="s">
        <v>1002</v>
      </c>
      <c r="D209" s="34" t="s">
        <v>1017</v>
      </c>
      <c r="E209" s="41" t="s">
        <v>1258</v>
      </c>
      <c r="F209" s="43" t="s">
        <v>370</v>
      </c>
      <c r="G209" s="41" t="s">
        <v>28</v>
      </c>
      <c r="H209" s="41"/>
      <c r="I209" s="167" t="s">
        <v>349</v>
      </c>
      <c r="J209" s="167"/>
      <c r="K209" s="167"/>
      <c r="L209" s="167"/>
      <c r="M209" s="167"/>
      <c r="N209" s="41" t="s">
        <v>32</v>
      </c>
      <c r="O209" s="3">
        <v>0</v>
      </c>
      <c r="P209" s="66">
        <v>1.46</v>
      </c>
      <c r="Q209" s="3">
        <v>0</v>
      </c>
      <c r="R209" s="3"/>
      <c r="S209" s="3"/>
      <c r="T209" s="3"/>
      <c r="U209" s="67">
        <f t="shared" si="21"/>
        <v>1.46</v>
      </c>
      <c r="V209" s="67">
        <f t="shared" si="22"/>
        <v>0</v>
      </c>
      <c r="W209" s="3"/>
      <c r="X209" s="3"/>
      <c r="Y209" s="3"/>
      <c r="Z209" s="67">
        <f t="shared" si="23"/>
        <v>1.46</v>
      </c>
      <c r="AA209" s="67">
        <f t="shared" si="24"/>
        <v>0</v>
      </c>
      <c r="AB209" s="3"/>
      <c r="AC209" s="3"/>
      <c r="AD209" s="3"/>
      <c r="AE209" s="67">
        <f t="shared" si="25"/>
        <v>1.46</v>
      </c>
      <c r="AF209" s="67">
        <f t="shared" si="26"/>
        <v>0</v>
      </c>
    </row>
    <row r="210" spans="1:32" ht="46.8">
      <c r="A210" s="41">
        <f t="shared" si="27"/>
        <v>208</v>
      </c>
      <c r="B210" s="34" t="s">
        <v>918</v>
      </c>
      <c r="C210" s="34" t="s">
        <v>1002</v>
      </c>
      <c r="D210" s="34" t="s">
        <v>1017</v>
      </c>
      <c r="E210" s="41" t="s">
        <v>1259</v>
      </c>
      <c r="F210" s="43" t="s">
        <v>371</v>
      </c>
      <c r="G210" s="41" t="s">
        <v>28</v>
      </c>
      <c r="H210" s="41"/>
      <c r="I210" s="167" t="s">
        <v>349</v>
      </c>
      <c r="J210" s="167"/>
      <c r="K210" s="167"/>
      <c r="L210" s="167"/>
      <c r="M210" s="167"/>
      <c r="N210" s="41" t="s">
        <v>32</v>
      </c>
      <c r="O210" s="3">
        <v>0</v>
      </c>
      <c r="P210" s="66">
        <v>60.63</v>
      </c>
      <c r="Q210" s="3">
        <v>0</v>
      </c>
      <c r="R210" s="3"/>
      <c r="S210" s="3"/>
      <c r="T210" s="3"/>
      <c r="U210" s="67">
        <f t="shared" si="21"/>
        <v>60.63</v>
      </c>
      <c r="V210" s="67">
        <f t="shared" si="22"/>
        <v>0</v>
      </c>
      <c r="W210" s="3"/>
      <c r="X210" s="3"/>
      <c r="Y210" s="3"/>
      <c r="Z210" s="67">
        <f t="shared" si="23"/>
        <v>60.63</v>
      </c>
      <c r="AA210" s="67">
        <f t="shared" si="24"/>
        <v>0</v>
      </c>
      <c r="AB210" s="3"/>
      <c r="AC210" s="3"/>
      <c r="AD210" s="3"/>
      <c r="AE210" s="67">
        <f t="shared" si="25"/>
        <v>60.63</v>
      </c>
      <c r="AF210" s="67">
        <f t="shared" si="26"/>
        <v>0</v>
      </c>
    </row>
    <row r="211" spans="1:32" ht="46.8">
      <c r="A211" s="41">
        <f t="shared" si="27"/>
        <v>209</v>
      </c>
      <c r="B211" s="34" t="s">
        <v>919</v>
      </c>
      <c r="C211" s="34" t="s">
        <v>1002</v>
      </c>
      <c r="D211" s="34" t="s">
        <v>1017</v>
      </c>
      <c r="E211" s="41" t="s">
        <v>1260</v>
      </c>
      <c r="F211" s="43" t="s">
        <v>372</v>
      </c>
      <c r="G211" s="41" t="s">
        <v>28</v>
      </c>
      <c r="H211" s="41"/>
      <c r="I211" s="167" t="s">
        <v>349</v>
      </c>
      <c r="J211" s="167"/>
      <c r="K211" s="167"/>
      <c r="L211" s="167"/>
      <c r="M211" s="167"/>
      <c r="N211" s="41" t="s">
        <v>32</v>
      </c>
      <c r="O211" s="3">
        <v>0</v>
      </c>
      <c r="P211" s="3">
        <v>0</v>
      </c>
      <c r="Q211" s="66">
        <v>0.3</v>
      </c>
      <c r="R211" s="3"/>
      <c r="S211" s="3"/>
      <c r="T211" s="3"/>
      <c r="U211" s="67">
        <f t="shared" si="21"/>
        <v>0</v>
      </c>
      <c r="V211" s="67">
        <f t="shared" si="22"/>
        <v>0.3</v>
      </c>
      <c r="W211" s="3"/>
      <c r="X211" s="3"/>
      <c r="Y211" s="3"/>
      <c r="Z211" s="67">
        <f t="shared" si="23"/>
        <v>0</v>
      </c>
      <c r="AA211" s="67">
        <f t="shared" si="24"/>
        <v>0.3</v>
      </c>
      <c r="AB211" s="3"/>
      <c r="AC211" s="3"/>
      <c r="AD211" s="3"/>
      <c r="AE211" s="67">
        <f t="shared" si="25"/>
        <v>0</v>
      </c>
      <c r="AF211" s="67">
        <f t="shared" si="26"/>
        <v>0.3</v>
      </c>
    </row>
    <row r="212" spans="1:32" ht="46.8">
      <c r="A212" s="41">
        <f t="shared" si="27"/>
        <v>210</v>
      </c>
      <c r="B212" s="34" t="s">
        <v>920</v>
      </c>
      <c r="C212" s="34" t="s">
        <v>1002</v>
      </c>
      <c r="D212" s="34" t="s">
        <v>1017</v>
      </c>
      <c r="E212" s="41" t="s">
        <v>1261</v>
      </c>
      <c r="F212" s="43" t="s">
        <v>373</v>
      </c>
      <c r="G212" s="41" t="s">
        <v>28</v>
      </c>
      <c r="H212" s="41"/>
      <c r="I212" s="167" t="s">
        <v>349</v>
      </c>
      <c r="J212" s="167"/>
      <c r="K212" s="167"/>
      <c r="L212" s="167"/>
      <c r="M212" s="167"/>
      <c r="N212" s="41" t="s">
        <v>32</v>
      </c>
      <c r="O212" s="3">
        <v>0</v>
      </c>
      <c r="P212" s="66">
        <v>0.74</v>
      </c>
      <c r="Q212" s="66">
        <v>0.02</v>
      </c>
      <c r="R212" s="3"/>
      <c r="S212" s="3"/>
      <c r="T212" s="3"/>
      <c r="U212" s="67">
        <f t="shared" si="21"/>
        <v>0.74</v>
      </c>
      <c r="V212" s="67">
        <f t="shared" si="22"/>
        <v>0.02</v>
      </c>
      <c r="W212" s="3"/>
      <c r="X212" s="3"/>
      <c r="Y212" s="3"/>
      <c r="Z212" s="67">
        <f t="shared" si="23"/>
        <v>0.74</v>
      </c>
      <c r="AA212" s="67">
        <f t="shared" si="24"/>
        <v>0.02</v>
      </c>
      <c r="AB212" s="3"/>
      <c r="AC212" s="3"/>
      <c r="AD212" s="3"/>
      <c r="AE212" s="67">
        <f t="shared" si="25"/>
        <v>0.74</v>
      </c>
      <c r="AF212" s="67">
        <f t="shared" si="26"/>
        <v>0.02</v>
      </c>
    </row>
    <row r="213" spans="1:32" ht="93.6">
      <c r="A213" s="41">
        <f t="shared" si="27"/>
        <v>211</v>
      </c>
      <c r="B213" s="34" t="s">
        <v>921</v>
      </c>
      <c r="C213" s="34" t="s">
        <v>1002</v>
      </c>
      <c r="D213" s="34" t="s">
        <v>1017</v>
      </c>
      <c r="E213" s="41" t="s">
        <v>1262</v>
      </c>
      <c r="F213" s="43" t="s">
        <v>398</v>
      </c>
      <c r="G213" s="41" t="s">
        <v>28</v>
      </c>
      <c r="H213" s="41"/>
      <c r="I213" s="167" t="s">
        <v>349</v>
      </c>
      <c r="J213" s="167"/>
      <c r="K213" s="167"/>
      <c r="L213" s="167"/>
      <c r="M213" s="167"/>
      <c r="N213" s="41" t="s">
        <v>32</v>
      </c>
      <c r="O213" s="3">
        <v>0</v>
      </c>
      <c r="P213" s="66">
        <v>3.46</v>
      </c>
      <c r="Q213" s="3">
        <v>0</v>
      </c>
      <c r="R213" s="3"/>
      <c r="S213" s="3"/>
      <c r="T213" s="3"/>
      <c r="U213" s="67">
        <f t="shared" si="21"/>
        <v>3.46</v>
      </c>
      <c r="V213" s="67">
        <f t="shared" si="22"/>
        <v>0</v>
      </c>
      <c r="W213" s="3"/>
      <c r="X213" s="3"/>
      <c r="Y213" s="3"/>
      <c r="Z213" s="67">
        <f t="shared" si="23"/>
        <v>3.46</v>
      </c>
      <c r="AA213" s="67">
        <f t="shared" si="24"/>
        <v>0</v>
      </c>
      <c r="AB213" s="3"/>
      <c r="AC213" s="3"/>
      <c r="AD213" s="3"/>
      <c r="AE213" s="67">
        <f t="shared" si="25"/>
        <v>3.46</v>
      </c>
      <c r="AF213" s="67">
        <f t="shared" si="26"/>
        <v>0</v>
      </c>
    </row>
    <row r="214" spans="1:32" ht="46.8">
      <c r="A214" s="41">
        <f t="shared" si="27"/>
        <v>212</v>
      </c>
      <c r="B214" s="34" t="s">
        <v>922</v>
      </c>
      <c r="C214" s="34" t="s">
        <v>1002</v>
      </c>
      <c r="D214" s="34" t="s">
        <v>1017</v>
      </c>
      <c r="E214" s="41" t="s">
        <v>1263</v>
      </c>
      <c r="F214" s="43" t="s">
        <v>374</v>
      </c>
      <c r="G214" s="41" t="s">
        <v>28</v>
      </c>
      <c r="H214" s="41"/>
      <c r="I214" s="167" t="s">
        <v>349</v>
      </c>
      <c r="J214" s="167"/>
      <c r="K214" s="167"/>
      <c r="L214" s="167"/>
      <c r="M214" s="167"/>
      <c r="N214" s="41" t="s">
        <v>32</v>
      </c>
      <c r="O214" s="3">
        <v>0</v>
      </c>
      <c r="P214" s="66">
        <v>0.62</v>
      </c>
      <c r="Q214" s="3">
        <v>0</v>
      </c>
      <c r="R214" s="3"/>
      <c r="S214" s="3"/>
      <c r="T214" s="3"/>
      <c r="U214" s="67">
        <f t="shared" si="21"/>
        <v>0.62</v>
      </c>
      <c r="V214" s="67">
        <f t="shared" si="22"/>
        <v>0</v>
      </c>
      <c r="W214" s="3"/>
      <c r="X214" s="3"/>
      <c r="Y214" s="3"/>
      <c r="Z214" s="67">
        <f t="shared" si="23"/>
        <v>0.62</v>
      </c>
      <c r="AA214" s="67">
        <f t="shared" si="24"/>
        <v>0</v>
      </c>
      <c r="AB214" s="3"/>
      <c r="AC214" s="3"/>
      <c r="AD214" s="3"/>
      <c r="AE214" s="67">
        <f t="shared" si="25"/>
        <v>0.62</v>
      </c>
      <c r="AF214" s="67">
        <f t="shared" si="26"/>
        <v>0</v>
      </c>
    </row>
    <row r="215" spans="1:32" ht="46.8">
      <c r="A215" s="41">
        <f t="shared" si="27"/>
        <v>213</v>
      </c>
      <c r="B215" s="34" t="s">
        <v>923</v>
      </c>
      <c r="C215" s="34" t="s">
        <v>1002</v>
      </c>
      <c r="D215" s="34" t="s">
        <v>1017</v>
      </c>
      <c r="E215" s="41" t="s">
        <v>1264</v>
      </c>
      <c r="F215" s="43" t="s">
        <v>375</v>
      </c>
      <c r="G215" s="41" t="s">
        <v>28</v>
      </c>
      <c r="H215" s="41"/>
      <c r="I215" s="167" t="s">
        <v>349</v>
      </c>
      <c r="J215" s="167"/>
      <c r="K215" s="167"/>
      <c r="L215" s="167"/>
      <c r="M215" s="167"/>
      <c r="N215" s="41" t="s">
        <v>32</v>
      </c>
      <c r="O215" s="65">
        <v>0.23</v>
      </c>
      <c r="P215" s="66">
        <v>0.2</v>
      </c>
      <c r="Q215" s="3">
        <v>0</v>
      </c>
      <c r="R215" s="3"/>
      <c r="S215" s="3"/>
      <c r="T215" s="3"/>
      <c r="U215" s="67">
        <f t="shared" si="21"/>
        <v>0.2</v>
      </c>
      <c r="V215" s="67">
        <f t="shared" si="22"/>
        <v>0</v>
      </c>
      <c r="W215" s="3"/>
      <c r="X215" s="3"/>
      <c r="Y215" s="3"/>
      <c r="Z215" s="67">
        <f t="shared" si="23"/>
        <v>0.2</v>
      </c>
      <c r="AA215" s="67">
        <f t="shared" si="24"/>
        <v>0</v>
      </c>
      <c r="AB215" s="3"/>
      <c r="AC215" s="3"/>
      <c r="AD215" s="3"/>
      <c r="AE215" s="67">
        <f t="shared" si="25"/>
        <v>0.2</v>
      </c>
      <c r="AF215" s="67">
        <f t="shared" si="26"/>
        <v>0</v>
      </c>
    </row>
    <row r="216" spans="1:32" ht="46.8">
      <c r="A216" s="41">
        <f t="shared" si="27"/>
        <v>214</v>
      </c>
      <c r="B216" s="34" t="s">
        <v>924</v>
      </c>
      <c r="C216" s="34" t="s">
        <v>1002</v>
      </c>
      <c r="D216" s="34" t="s">
        <v>1017</v>
      </c>
      <c r="E216" s="41" t="s">
        <v>1265</v>
      </c>
      <c r="F216" s="43" t="s">
        <v>376</v>
      </c>
      <c r="G216" s="41" t="s">
        <v>28</v>
      </c>
      <c r="H216" s="41"/>
      <c r="I216" s="167" t="s">
        <v>349</v>
      </c>
      <c r="J216" s="167"/>
      <c r="K216" s="167"/>
      <c r="L216" s="167"/>
      <c r="M216" s="167"/>
      <c r="N216" s="41" t="s">
        <v>32</v>
      </c>
      <c r="O216" s="65">
        <v>0.11</v>
      </c>
      <c r="P216" s="66">
        <v>0.11</v>
      </c>
      <c r="Q216" s="3">
        <v>0</v>
      </c>
      <c r="R216" s="3"/>
      <c r="S216" s="3"/>
      <c r="T216" s="3"/>
      <c r="U216" s="67">
        <f t="shared" si="21"/>
        <v>0.11</v>
      </c>
      <c r="V216" s="67">
        <f t="shared" si="22"/>
        <v>0</v>
      </c>
      <c r="W216" s="3"/>
      <c r="X216" s="3"/>
      <c r="Y216" s="3"/>
      <c r="Z216" s="67">
        <f t="shared" si="23"/>
        <v>0.11</v>
      </c>
      <c r="AA216" s="67">
        <f t="shared" si="24"/>
        <v>0</v>
      </c>
      <c r="AB216" s="3"/>
      <c r="AC216" s="3"/>
      <c r="AD216" s="3"/>
      <c r="AE216" s="67">
        <f t="shared" si="25"/>
        <v>0.11</v>
      </c>
      <c r="AF216" s="67">
        <f t="shared" si="26"/>
        <v>0</v>
      </c>
    </row>
    <row r="217" spans="1:32" ht="46.8">
      <c r="A217" s="41">
        <f t="shared" si="27"/>
        <v>215</v>
      </c>
      <c r="B217" s="34" t="s">
        <v>925</v>
      </c>
      <c r="C217" s="34" t="s">
        <v>1002</v>
      </c>
      <c r="D217" s="34" t="s">
        <v>1017</v>
      </c>
      <c r="E217" s="41" t="s">
        <v>1266</v>
      </c>
      <c r="F217" s="43" t="s">
        <v>999</v>
      </c>
      <c r="G217" s="41" t="s">
        <v>28</v>
      </c>
      <c r="H217" s="41"/>
      <c r="I217" s="167" t="s">
        <v>349</v>
      </c>
      <c r="J217" s="167"/>
      <c r="K217" s="167"/>
      <c r="L217" s="167"/>
      <c r="M217" s="167"/>
      <c r="N217" s="41" t="s">
        <v>32</v>
      </c>
      <c r="O217" s="3">
        <v>0</v>
      </c>
      <c r="P217" s="66">
        <v>2.17</v>
      </c>
      <c r="Q217" s="3">
        <v>0</v>
      </c>
      <c r="R217" s="3"/>
      <c r="S217" s="3"/>
      <c r="T217" s="3"/>
      <c r="U217" s="67">
        <f t="shared" si="21"/>
        <v>2.17</v>
      </c>
      <c r="V217" s="67">
        <f t="shared" si="22"/>
        <v>0</v>
      </c>
      <c r="W217" s="3"/>
      <c r="X217" s="3"/>
      <c r="Y217" s="3"/>
      <c r="Z217" s="67">
        <f t="shared" si="23"/>
        <v>2.17</v>
      </c>
      <c r="AA217" s="67">
        <f t="shared" si="24"/>
        <v>0</v>
      </c>
      <c r="AB217" s="3"/>
      <c r="AC217" s="3"/>
      <c r="AD217" s="3"/>
      <c r="AE217" s="67">
        <f t="shared" si="25"/>
        <v>2.17</v>
      </c>
      <c r="AF217" s="67">
        <f t="shared" si="26"/>
        <v>0</v>
      </c>
    </row>
    <row r="218" spans="1:32" ht="46.8">
      <c r="A218" s="41">
        <f t="shared" si="27"/>
        <v>216</v>
      </c>
      <c r="B218" s="34"/>
      <c r="C218" s="34" t="s">
        <v>1002</v>
      </c>
      <c r="D218" s="34" t="s">
        <v>1017</v>
      </c>
      <c r="E218" s="41" t="s">
        <v>1267</v>
      </c>
      <c r="F218" s="43" t="s">
        <v>377</v>
      </c>
      <c r="G218" s="41" t="s">
        <v>28</v>
      </c>
      <c r="H218" s="41"/>
      <c r="I218" s="167" t="s">
        <v>349</v>
      </c>
      <c r="J218" s="167"/>
      <c r="K218" s="167"/>
      <c r="L218" s="167"/>
      <c r="M218" s="167"/>
      <c r="N218" s="41" t="s">
        <v>32</v>
      </c>
      <c r="O218" s="3">
        <v>0</v>
      </c>
      <c r="P218" s="66">
        <v>0.93</v>
      </c>
      <c r="Q218" s="3">
        <v>0</v>
      </c>
      <c r="R218" s="3"/>
      <c r="S218" s="3"/>
      <c r="T218" s="3"/>
      <c r="U218" s="67">
        <f t="shared" si="21"/>
        <v>0.93</v>
      </c>
      <c r="V218" s="67">
        <f t="shared" si="22"/>
        <v>0</v>
      </c>
      <c r="W218" s="3"/>
      <c r="X218" s="3"/>
      <c r="Y218" s="3"/>
      <c r="Z218" s="67">
        <f t="shared" si="23"/>
        <v>0.93</v>
      </c>
      <c r="AA218" s="67">
        <f t="shared" si="24"/>
        <v>0</v>
      </c>
      <c r="AB218" s="3"/>
      <c r="AC218" s="3"/>
      <c r="AD218" s="3"/>
      <c r="AE218" s="67">
        <f t="shared" si="25"/>
        <v>0.93</v>
      </c>
      <c r="AF218" s="67">
        <f t="shared" si="26"/>
        <v>0</v>
      </c>
    </row>
    <row r="219" spans="1:32" ht="46.8">
      <c r="A219" s="41">
        <f t="shared" si="27"/>
        <v>217</v>
      </c>
      <c r="B219" s="34" t="s">
        <v>926</v>
      </c>
      <c r="C219" s="34" t="s">
        <v>1002</v>
      </c>
      <c r="D219" s="34" t="s">
        <v>1017</v>
      </c>
      <c r="E219" s="41" t="s">
        <v>1268</v>
      </c>
      <c r="F219" s="43" t="s">
        <v>378</v>
      </c>
      <c r="G219" s="41" t="s">
        <v>28</v>
      </c>
      <c r="H219" s="41"/>
      <c r="I219" s="167" t="s">
        <v>349</v>
      </c>
      <c r="J219" s="167"/>
      <c r="K219" s="167"/>
      <c r="L219" s="167"/>
      <c r="M219" s="167"/>
      <c r="N219" s="41" t="s">
        <v>32</v>
      </c>
      <c r="O219" s="65">
        <v>0.82</v>
      </c>
      <c r="P219" s="66">
        <v>0.56999999999999995</v>
      </c>
      <c r="Q219" s="3">
        <v>0</v>
      </c>
      <c r="R219" s="3"/>
      <c r="S219" s="3"/>
      <c r="T219" s="3"/>
      <c r="U219" s="67">
        <f t="shared" si="21"/>
        <v>0.56999999999999995</v>
      </c>
      <c r="V219" s="67">
        <f t="shared" si="22"/>
        <v>0</v>
      </c>
      <c r="W219" s="3"/>
      <c r="X219" s="3"/>
      <c r="Y219" s="3"/>
      <c r="Z219" s="67">
        <f t="shared" si="23"/>
        <v>0.56999999999999995</v>
      </c>
      <c r="AA219" s="67">
        <f t="shared" si="24"/>
        <v>0</v>
      </c>
      <c r="AB219" s="3"/>
      <c r="AC219" s="3"/>
      <c r="AD219" s="3"/>
      <c r="AE219" s="67">
        <f t="shared" si="25"/>
        <v>0.56999999999999995</v>
      </c>
      <c r="AF219" s="67">
        <f t="shared" si="26"/>
        <v>0</v>
      </c>
    </row>
    <row r="220" spans="1:32" ht="46.8">
      <c r="A220" s="41">
        <f t="shared" si="27"/>
        <v>218</v>
      </c>
      <c r="B220" s="34" t="s">
        <v>927</v>
      </c>
      <c r="C220" s="34" t="s">
        <v>1002</v>
      </c>
      <c r="D220" s="34" t="s">
        <v>1017</v>
      </c>
      <c r="E220" s="41" t="s">
        <v>1269</v>
      </c>
      <c r="F220" s="43" t="s">
        <v>379</v>
      </c>
      <c r="G220" s="41" t="s">
        <v>28</v>
      </c>
      <c r="H220" s="41"/>
      <c r="I220" s="167" t="s">
        <v>349</v>
      </c>
      <c r="J220" s="167"/>
      <c r="K220" s="167"/>
      <c r="L220" s="167"/>
      <c r="M220" s="167"/>
      <c r="N220" s="41" t="s">
        <v>32</v>
      </c>
      <c r="O220" s="3">
        <v>0</v>
      </c>
      <c r="P220" s="66">
        <v>0.12</v>
      </c>
      <c r="Q220" s="3">
        <v>0</v>
      </c>
      <c r="R220" s="3"/>
      <c r="S220" s="3"/>
      <c r="T220" s="3"/>
      <c r="U220" s="67">
        <f t="shared" si="21"/>
        <v>0.12</v>
      </c>
      <c r="V220" s="67">
        <f t="shared" si="22"/>
        <v>0</v>
      </c>
      <c r="W220" s="3"/>
      <c r="X220" s="3"/>
      <c r="Y220" s="3"/>
      <c r="Z220" s="67">
        <f t="shared" si="23"/>
        <v>0.12</v>
      </c>
      <c r="AA220" s="67">
        <f t="shared" si="24"/>
        <v>0</v>
      </c>
      <c r="AB220" s="3"/>
      <c r="AC220" s="3"/>
      <c r="AD220" s="3"/>
      <c r="AE220" s="67">
        <f t="shared" si="25"/>
        <v>0.12</v>
      </c>
      <c r="AF220" s="67">
        <f t="shared" si="26"/>
        <v>0</v>
      </c>
    </row>
    <row r="221" spans="1:32" ht="46.8">
      <c r="A221" s="41">
        <f t="shared" si="27"/>
        <v>219</v>
      </c>
      <c r="B221" s="34" t="s">
        <v>928</v>
      </c>
      <c r="C221" s="34" t="s">
        <v>1002</v>
      </c>
      <c r="D221" s="34" t="s">
        <v>1017</v>
      </c>
      <c r="E221" s="41" t="s">
        <v>1270</v>
      </c>
      <c r="F221" s="43" t="s">
        <v>380</v>
      </c>
      <c r="G221" s="41" t="s">
        <v>28</v>
      </c>
      <c r="H221" s="41"/>
      <c r="I221" s="167" t="s">
        <v>349</v>
      </c>
      <c r="J221" s="167"/>
      <c r="K221" s="167"/>
      <c r="L221" s="167"/>
      <c r="M221" s="167"/>
      <c r="N221" s="41" t="s">
        <v>32</v>
      </c>
      <c r="O221" s="3">
        <v>0</v>
      </c>
      <c r="P221" s="66">
        <v>0.31</v>
      </c>
      <c r="Q221" s="3">
        <v>0</v>
      </c>
      <c r="R221" s="3"/>
      <c r="S221" s="3"/>
      <c r="T221" s="3"/>
      <c r="U221" s="67">
        <f t="shared" si="21"/>
        <v>0.31</v>
      </c>
      <c r="V221" s="67">
        <f t="shared" si="22"/>
        <v>0</v>
      </c>
      <c r="W221" s="3"/>
      <c r="X221" s="3"/>
      <c r="Y221" s="3"/>
      <c r="Z221" s="67">
        <f t="shared" si="23"/>
        <v>0.31</v>
      </c>
      <c r="AA221" s="67">
        <f t="shared" si="24"/>
        <v>0</v>
      </c>
      <c r="AB221" s="3"/>
      <c r="AC221" s="3"/>
      <c r="AD221" s="3"/>
      <c r="AE221" s="67">
        <f t="shared" si="25"/>
        <v>0.31</v>
      </c>
      <c r="AF221" s="67">
        <f t="shared" si="26"/>
        <v>0</v>
      </c>
    </row>
    <row r="222" spans="1:32" ht="46.8">
      <c r="A222" s="41">
        <f t="shared" si="27"/>
        <v>220</v>
      </c>
      <c r="B222" s="34" t="s">
        <v>929</v>
      </c>
      <c r="C222" s="34" t="s">
        <v>1002</v>
      </c>
      <c r="D222" s="34" t="s">
        <v>1017</v>
      </c>
      <c r="E222" s="41" t="s">
        <v>1271</v>
      </c>
      <c r="F222" s="43" t="s">
        <v>381</v>
      </c>
      <c r="G222" s="41" t="s">
        <v>28</v>
      </c>
      <c r="H222" s="41"/>
      <c r="I222" s="167" t="s">
        <v>349</v>
      </c>
      <c r="J222" s="167"/>
      <c r="K222" s="167"/>
      <c r="L222" s="167"/>
      <c r="M222" s="167"/>
      <c r="N222" s="41" t="s">
        <v>32</v>
      </c>
      <c r="O222" s="3">
        <v>0</v>
      </c>
      <c r="P222" s="66">
        <v>0.6</v>
      </c>
      <c r="Q222" s="3">
        <v>0</v>
      </c>
      <c r="R222" s="3"/>
      <c r="S222" s="3"/>
      <c r="T222" s="3"/>
      <c r="U222" s="67">
        <f t="shared" si="21"/>
        <v>0.6</v>
      </c>
      <c r="V222" s="67">
        <f t="shared" si="22"/>
        <v>0</v>
      </c>
      <c r="W222" s="3"/>
      <c r="X222" s="3"/>
      <c r="Y222" s="3"/>
      <c r="Z222" s="67">
        <f t="shared" si="23"/>
        <v>0.6</v>
      </c>
      <c r="AA222" s="67">
        <f t="shared" si="24"/>
        <v>0</v>
      </c>
      <c r="AB222" s="3"/>
      <c r="AC222" s="3"/>
      <c r="AD222" s="3"/>
      <c r="AE222" s="67">
        <f t="shared" si="25"/>
        <v>0.6</v>
      </c>
      <c r="AF222" s="67">
        <f t="shared" si="26"/>
        <v>0</v>
      </c>
    </row>
    <row r="223" spans="1:32" ht="46.8">
      <c r="A223" s="41">
        <f t="shared" si="27"/>
        <v>221</v>
      </c>
      <c r="B223" s="34" t="s">
        <v>930</v>
      </c>
      <c r="C223" s="34" t="s">
        <v>1002</v>
      </c>
      <c r="D223" s="34" t="s">
        <v>1017</v>
      </c>
      <c r="E223" s="41" t="s">
        <v>1272</v>
      </c>
      <c r="F223" s="43" t="s">
        <v>382</v>
      </c>
      <c r="G223" s="41" t="s">
        <v>28</v>
      </c>
      <c r="H223" s="41"/>
      <c r="I223" s="167" t="s">
        <v>349</v>
      </c>
      <c r="J223" s="167"/>
      <c r="K223" s="167"/>
      <c r="L223" s="167"/>
      <c r="M223" s="167"/>
      <c r="N223" s="41" t="s">
        <v>32</v>
      </c>
      <c r="O223" s="65">
        <v>7.0000000000000007E-2</v>
      </c>
      <c r="P223" s="66">
        <v>7.0000000000000007E-2</v>
      </c>
      <c r="Q223" s="3">
        <v>0</v>
      </c>
      <c r="R223" s="3"/>
      <c r="S223" s="3"/>
      <c r="T223" s="3"/>
      <c r="U223" s="67">
        <f t="shared" si="21"/>
        <v>7.0000000000000007E-2</v>
      </c>
      <c r="V223" s="67">
        <f t="shared" si="22"/>
        <v>0</v>
      </c>
      <c r="W223" s="3"/>
      <c r="X223" s="3"/>
      <c r="Y223" s="3"/>
      <c r="Z223" s="67">
        <f t="shared" si="23"/>
        <v>7.0000000000000007E-2</v>
      </c>
      <c r="AA223" s="67">
        <f t="shared" si="24"/>
        <v>0</v>
      </c>
      <c r="AB223" s="3"/>
      <c r="AC223" s="3"/>
      <c r="AD223" s="3"/>
      <c r="AE223" s="67">
        <f t="shared" si="25"/>
        <v>7.0000000000000007E-2</v>
      </c>
      <c r="AF223" s="67">
        <f t="shared" si="26"/>
        <v>0</v>
      </c>
    </row>
    <row r="224" spans="1:32" ht="46.8">
      <c r="A224" s="41">
        <f t="shared" si="27"/>
        <v>222</v>
      </c>
      <c r="B224" s="34" t="s">
        <v>931</v>
      </c>
      <c r="C224" s="34" t="s">
        <v>1002</v>
      </c>
      <c r="D224" s="34" t="s">
        <v>1017</v>
      </c>
      <c r="E224" s="41" t="s">
        <v>1273</v>
      </c>
      <c r="F224" s="43" t="s">
        <v>383</v>
      </c>
      <c r="G224" s="41" t="s">
        <v>28</v>
      </c>
      <c r="H224" s="41"/>
      <c r="I224" s="167" t="s">
        <v>349</v>
      </c>
      <c r="J224" s="167"/>
      <c r="K224" s="167"/>
      <c r="L224" s="167"/>
      <c r="M224" s="167"/>
      <c r="N224" s="41" t="s">
        <v>32</v>
      </c>
      <c r="O224" s="65">
        <v>0.33</v>
      </c>
      <c r="P224" s="66">
        <v>0.24</v>
      </c>
      <c r="Q224" s="3">
        <v>0</v>
      </c>
      <c r="R224" s="3"/>
      <c r="S224" s="3"/>
      <c r="T224" s="3"/>
      <c r="U224" s="67">
        <f t="shared" si="21"/>
        <v>0.24</v>
      </c>
      <c r="V224" s="67">
        <f t="shared" si="22"/>
        <v>0</v>
      </c>
      <c r="W224" s="3"/>
      <c r="X224" s="3"/>
      <c r="Y224" s="3"/>
      <c r="Z224" s="67">
        <f t="shared" si="23"/>
        <v>0.24</v>
      </c>
      <c r="AA224" s="67">
        <f t="shared" si="24"/>
        <v>0</v>
      </c>
      <c r="AB224" s="3"/>
      <c r="AC224" s="3"/>
      <c r="AD224" s="3"/>
      <c r="AE224" s="67">
        <f t="shared" si="25"/>
        <v>0.24</v>
      </c>
      <c r="AF224" s="67">
        <f t="shared" si="26"/>
        <v>0</v>
      </c>
    </row>
    <row r="225" spans="1:32" ht="46.8">
      <c r="A225" s="41">
        <f t="shared" si="27"/>
        <v>223</v>
      </c>
      <c r="B225" s="34" t="s">
        <v>932</v>
      </c>
      <c r="C225" s="34" t="s">
        <v>1002</v>
      </c>
      <c r="D225" s="34" t="s">
        <v>1017</v>
      </c>
      <c r="E225" s="41" t="s">
        <v>1274</v>
      </c>
      <c r="F225" s="43" t="s">
        <v>384</v>
      </c>
      <c r="G225" s="41" t="s">
        <v>28</v>
      </c>
      <c r="H225" s="41"/>
      <c r="I225" s="167" t="s">
        <v>349</v>
      </c>
      <c r="J225" s="167"/>
      <c r="K225" s="167"/>
      <c r="L225" s="167"/>
      <c r="M225" s="167"/>
      <c r="N225" s="41" t="s">
        <v>32</v>
      </c>
      <c r="O225" s="65">
        <v>4.95</v>
      </c>
      <c r="P225" s="66">
        <v>5.35</v>
      </c>
      <c r="Q225" s="3">
        <v>0</v>
      </c>
      <c r="R225" s="3"/>
      <c r="S225" s="3"/>
      <c r="T225" s="3"/>
      <c r="U225" s="67">
        <f t="shared" si="21"/>
        <v>5.35</v>
      </c>
      <c r="V225" s="67">
        <f t="shared" si="22"/>
        <v>0</v>
      </c>
      <c r="W225" s="3"/>
      <c r="X225" s="3"/>
      <c r="Y225" s="3"/>
      <c r="Z225" s="67">
        <f t="shared" si="23"/>
        <v>5.35</v>
      </c>
      <c r="AA225" s="67">
        <f t="shared" si="24"/>
        <v>0</v>
      </c>
      <c r="AB225" s="3"/>
      <c r="AC225" s="3"/>
      <c r="AD225" s="3"/>
      <c r="AE225" s="67">
        <f t="shared" si="25"/>
        <v>5.35</v>
      </c>
      <c r="AF225" s="67">
        <f t="shared" si="26"/>
        <v>0</v>
      </c>
    </row>
    <row r="226" spans="1:32" ht="46.8">
      <c r="A226" s="41">
        <f t="shared" si="27"/>
        <v>224</v>
      </c>
      <c r="B226" s="34" t="s">
        <v>933</v>
      </c>
      <c r="C226" s="34" t="s">
        <v>1002</v>
      </c>
      <c r="D226" s="34" t="s">
        <v>1017</v>
      </c>
      <c r="E226" s="41" t="s">
        <v>1275</v>
      </c>
      <c r="F226" s="43" t="s">
        <v>385</v>
      </c>
      <c r="G226" s="41" t="s">
        <v>28</v>
      </c>
      <c r="H226" s="41"/>
      <c r="I226" s="167" t="s">
        <v>349</v>
      </c>
      <c r="J226" s="167"/>
      <c r="K226" s="167"/>
      <c r="L226" s="167"/>
      <c r="M226" s="167"/>
      <c r="N226" s="41" t="s">
        <v>32</v>
      </c>
      <c r="O226" s="3">
        <v>0</v>
      </c>
      <c r="P226" s="66">
        <v>2.37</v>
      </c>
      <c r="Q226" s="3">
        <v>0</v>
      </c>
      <c r="R226" s="3"/>
      <c r="S226" s="3"/>
      <c r="T226" s="3"/>
      <c r="U226" s="67">
        <f t="shared" si="21"/>
        <v>2.37</v>
      </c>
      <c r="V226" s="67">
        <f t="shared" si="22"/>
        <v>0</v>
      </c>
      <c r="W226" s="3"/>
      <c r="X226" s="3"/>
      <c r="Y226" s="3"/>
      <c r="Z226" s="67">
        <f t="shared" si="23"/>
        <v>2.37</v>
      </c>
      <c r="AA226" s="67">
        <f t="shared" si="24"/>
        <v>0</v>
      </c>
      <c r="AB226" s="3"/>
      <c r="AC226" s="3"/>
      <c r="AD226" s="3"/>
      <c r="AE226" s="67">
        <f t="shared" si="25"/>
        <v>2.37</v>
      </c>
      <c r="AF226" s="67">
        <f t="shared" si="26"/>
        <v>0</v>
      </c>
    </row>
    <row r="227" spans="1:32" ht="46.8">
      <c r="A227" s="41">
        <f t="shared" si="27"/>
        <v>225</v>
      </c>
      <c r="B227" s="34" t="s">
        <v>934</v>
      </c>
      <c r="C227" s="34" t="s">
        <v>1002</v>
      </c>
      <c r="D227" s="34" t="s">
        <v>1017</v>
      </c>
      <c r="E227" s="41" t="s">
        <v>1276</v>
      </c>
      <c r="F227" s="43" t="s">
        <v>386</v>
      </c>
      <c r="G227" s="41" t="s">
        <v>28</v>
      </c>
      <c r="H227" s="41"/>
      <c r="I227" s="167" t="s">
        <v>349</v>
      </c>
      <c r="J227" s="167"/>
      <c r="K227" s="167"/>
      <c r="L227" s="167"/>
      <c r="M227" s="167"/>
      <c r="N227" s="41" t="s">
        <v>32</v>
      </c>
      <c r="O227" s="65">
        <v>0.22</v>
      </c>
      <c r="P227" s="66">
        <v>0.18</v>
      </c>
      <c r="Q227" s="3">
        <v>0</v>
      </c>
      <c r="R227" s="3"/>
      <c r="S227" s="3"/>
      <c r="T227" s="3"/>
      <c r="U227" s="67">
        <f t="shared" si="21"/>
        <v>0.18</v>
      </c>
      <c r="V227" s="67">
        <f t="shared" si="22"/>
        <v>0</v>
      </c>
      <c r="W227" s="3"/>
      <c r="X227" s="3"/>
      <c r="Y227" s="3"/>
      <c r="Z227" s="67">
        <f t="shared" si="23"/>
        <v>0.18</v>
      </c>
      <c r="AA227" s="67">
        <f t="shared" si="24"/>
        <v>0</v>
      </c>
      <c r="AB227" s="3"/>
      <c r="AC227" s="3"/>
      <c r="AD227" s="3"/>
      <c r="AE227" s="67">
        <f t="shared" si="25"/>
        <v>0.18</v>
      </c>
      <c r="AF227" s="67">
        <f t="shared" si="26"/>
        <v>0</v>
      </c>
    </row>
    <row r="228" spans="1:32" ht="46.8">
      <c r="A228" s="41">
        <f t="shared" si="27"/>
        <v>226</v>
      </c>
      <c r="B228" s="34" t="s">
        <v>935</v>
      </c>
      <c r="C228" s="34" t="s">
        <v>1002</v>
      </c>
      <c r="D228" s="34" t="s">
        <v>1017</v>
      </c>
      <c r="E228" s="41" t="s">
        <v>1277</v>
      </c>
      <c r="F228" s="43" t="s">
        <v>387</v>
      </c>
      <c r="G228" s="41" t="s">
        <v>28</v>
      </c>
      <c r="H228" s="41"/>
      <c r="I228" s="167" t="s">
        <v>349</v>
      </c>
      <c r="J228" s="167"/>
      <c r="K228" s="167"/>
      <c r="L228" s="167"/>
      <c r="M228" s="167"/>
      <c r="N228" s="41" t="s">
        <v>32</v>
      </c>
      <c r="O228" s="65">
        <v>0.14000000000000001</v>
      </c>
      <c r="P228" s="66">
        <v>0.13</v>
      </c>
      <c r="Q228" s="3">
        <v>0</v>
      </c>
      <c r="R228" s="3"/>
      <c r="S228" s="3"/>
      <c r="T228" s="3"/>
      <c r="U228" s="67">
        <f t="shared" si="21"/>
        <v>0.13</v>
      </c>
      <c r="V228" s="67">
        <f t="shared" si="22"/>
        <v>0</v>
      </c>
      <c r="W228" s="3"/>
      <c r="X228" s="3"/>
      <c r="Y228" s="3"/>
      <c r="Z228" s="67">
        <f t="shared" si="23"/>
        <v>0.13</v>
      </c>
      <c r="AA228" s="67">
        <f t="shared" si="24"/>
        <v>0</v>
      </c>
      <c r="AB228" s="3"/>
      <c r="AC228" s="3"/>
      <c r="AD228" s="3"/>
      <c r="AE228" s="67">
        <f t="shared" si="25"/>
        <v>0.13</v>
      </c>
      <c r="AF228" s="67">
        <f t="shared" si="26"/>
        <v>0</v>
      </c>
    </row>
    <row r="229" spans="1:32" ht="78">
      <c r="A229" s="41">
        <f t="shared" si="27"/>
        <v>227</v>
      </c>
      <c r="B229" s="34" t="s">
        <v>936</v>
      </c>
      <c r="C229" s="34" t="s">
        <v>1002</v>
      </c>
      <c r="D229" s="34" t="s">
        <v>1017</v>
      </c>
      <c r="E229" s="41" t="s">
        <v>1278</v>
      </c>
      <c r="F229" s="43" t="s">
        <v>388</v>
      </c>
      <c r="G229" s="41" t="s">
        <v>28</v>
      </c>
      <c r="H229" s="41"/>
      <c r="I229" s="167" t="s">
        <v>349</v>
      </c>
      <c r="J229" s="167"/>
      <c r="K229" s="167"/>
      <c r="L229" s="167"/>
      <c r="M229" s="167"/>
      <c r="N229" s="41" t="s">
        <v>32</v>
      </c>
      <c r="O229" s="3">
        <v>0</v>
      </c>
      <c r="P229" s="66">
        <v>0.26</v>
      </c>
      <c r="Q229" s="3">
        <v>0</v>
      </c>
      <c r="R229" s="3"/>
      <c r="S229" s="3"/>
      <c r="T229" s="3"/>
      <c r="U229" s="67">
        <f t="shared" si="21"/>
        <v>0.26</v>
      </c>
      <c r="V229" s="67">
        <f t="shared" si="22"/>
        <v>0</v>
      </c>
      <c r="W229" s="3"/>
      <c r="X229" s="3"/>
      <c r="Y229" s="3"/>
      <c r="Z229" s="67">
        <f t="shared" si="23"/>
        <v>0.26</v>
      </c>
      <c r="AA229" s="67">
        <f t="shared" si="24"/>
        <v>0</v>
      </c>
      <c r="AB229" s="3"/>
      <c r="AC229" s="3"/>
      <c r="AD229" s="3"/>
      <c r="AE229" s="67">
        <f t="shared" si="25"/>
        <v>0.26</v>
      </c>
      <c r="AF229" s="67">
        <f t="shared" si="26"/>
        <v>0</v>
      </c>
    </row>
    <row r="230" spans="1:32" ht="46.8">
      <c r="A230" s="41">
        <f t="shared" si="27"/>
        <v>228</v>
      </c>
      <c r="B230" s="34" t="s">
        <v>937</v>
      </c>
      <c r="C230" s="34" t="s">
        <v>1002</v>
      </c>
      <c r="D230" s="34" t="s">
        <v>1017</v>
      </c>
      <c r="E230" s="41" t="s">
        <v>1279</v>
      </c>
      <c r="F230" s="43" t="s">
        <v>389</v>
      </c>
      <c r="G230" s="41" t="s">
        <v>28</v>
      </c>
      <c r="H230" s="41"/>
      <c r="I230" s="167" t="s">
        <v>349</v>
      </c>
      <c r="J230" s="167"/>
      <c r="K230" s="167"/>
      <c r="L230" s="167"/>
      <c r="M230" s="167"/>
      <c r="N230" s="41" t="s">
        <v>32</v>
      </c>
      <c r="O230" s="3">
        <v>0</v>
      </c>
      <c r="P230" s="66">
        <v>0.41</v>
      </c>
      <c r="Q230" s="3">
        <v>0</v>
      </c>
      <c r="R230" s="3"/>
      <c r="S230" s="3"/>
      <c r="T230" s="3"/>
      <c r="U230" s="67">
        <f t="shared" si="21"/>
        <v>0.41</v>
      </c>
      <c r="V230" s="67">
        <f t="shared" si="22"/>
        <v>0</v>
      </c>
      <c r="W230" s="3"/>
      <c r="X230" s="3"/>
      <c r="Y230" s="3"/>
      <c r="Z230" s="67">
        <f t="shared" si="23"/>
        <v>0.41</v>
      </c>
      <c r="AA230" s="67">
        <f t="shared" si="24"/>
        <v>0</v>
      </c>
      <c r="AB230" s="3"/>
      <c r="AC230" s="3"/>
      <c r="AD230" s="3"/>
      <c r="AE230" s="67">
        <f t="shared" si="25"/>
        <v>0.41</v>
      </c>
      <c r="AF230" s="67">
        <f t="shared" si="26"/>
        <v>0</v>
      </c>
    </row>
    <row r="231" spans="1:32" ht="46.8">
      <c r="A231" s="41">
        <f t="shared" si="27"/>
        <v>229</v>
      </c>
      <c r="B231" s="34" t="s">
        <v>938</v>
      </c>
      <c r="C231" s="34" t="s">
        <v>1002</v>
      </c>
      <c r="D231" s="34" t="s">
        <v>1017</v>
      </c>
      <c r="E231" s="41" t="s">
        <v>1280</v>
      </c>
      <c r="F231" s="43" t="s">
        <v>390</v>
      </c>
      <c r="G231" s="41" t="s">
        <v>28</v>
      </c>
      <c r="H231" s="41"/>
      <c r="I231" s="167" t="s">
        <v>349</v>
      </c>
      <c r="J231" s="167"/>
      <c r="K231" s="167"/>
      <c r="L231" s="167"/>
      <c r="M231" s="167"/>
      <c r="N231" s="41" t="s">
        <v>32</v>
      </c>
      <c r="O231" s="3">
        <v>0</v>
      </c>
      <c r="P231" s="66">
        <v>0.28000000000000003</v>
      </c>
      <c r="Q231" s="3">
        <v>0</v>
      </c>
      <c r="R231" s="3"/>
      <c r="S231" s="3"/>
      <c r="T231" s="3"/>
      <c r="U231" s="67">
        <f t="shared" si="21"/>
        <v>0.28000000000000003</v>
      </c>
      <c r="V231" s="67">
        <f t="shared" si="22"/>
        <v>0</v>
      </c>
      <c r="W231" s="3"/>
      <c r="X231" s="3"/>
      <c r="Y231" s="3"/>
      <c r="Z231" s="67">
        <f t="shared" si="23"/>
        <v>0.28000000000000003</v>
      </c>
      <c r="AA231" s="67">
        <f t="shared" si="24"/>
        <v>0</v>
      </c>
      <c r="AB231" s="3"/>
      <c r="AC231" s="3"/>
      <c r="AD231" s="3"/>
      <c r="AE231" s="67">
        <f t="shared" si="25"/>
        <v>0.28000000000000003</v>
      </c>
      <c r="AF231" s="67">
        <f t="shared" si="26"/>
        <v>0</v>
      </c>
    </row>
    <row r="232" spans="1:32" ht="46.8">
      <c r="A232" s="41">
        <f t="shared" si="27"/>
        <v>230</v>
      </c>
      <c r="B232" s="34" t="s">
        <v>939</v>
      </c>
      <c r="C232" s="34" t="s">
        <v>1002</v>
      </c>
      <c r="D232" s="34" t="s">
        <v>1017</v>
      </c>
      <c r="E232" s="41" t="s">
        <v>1281</v>
      </c>
      <c r="F232" s="43" t="s">
        <v>391</v>
      </c>
      <c r="G232" s="41" t="s">
        <v>28</v>
      </c>
      <c r="H232" s="41"/>
      <c r="I232" s="167" t="s">
        <v>349</v>
      </c>
      <c r="J232" s="167"/>
      <c r="K232" s="167"/>
      <c r="L232" s="167"/>
      <c r="M232" s="167"/>
      <c r="N232" s="41" t="s">
        <v>32</v>
      </c>
      <c r="O232" s="65">
        <v>0.22</v>
      </c>
      <c r="P232" s="66">
        <v>0.21</v>
      </c>
      <c r="Q232" s="3">
        <v>0</v>
      </c>
      <c r="R232" s="3"/>
      <c r="S232" s="3"/>
      <c r="T232" s="3"/>
      <c r="U232" s="67">
        <f t="shared" si="21"/>
        <v>0.21</v>
      </c>
      <c r="V232" s="67">
        <f t="shared" si="22"/>
        <v>0</v>
      </c>
      <c r="W232" s="3"/>
      <c r="X232" s="3"/>
      <c r="Y232" s="3"/>
      <c r="Z232" s="67">
        <f t="shared" si="23"/>
        <v>0.21</v>
      </c>
      <c r="AA232" s="67">
        <f t="shared" si="24"/>
        <v>0</v>
      </c>
      <c r="AB232" s="3"/>
      <c r="AC232" s="3"/>
      <c r="AD232" s="3"/>
      <c r="AE232" s="67">
        <f t="shared" si="25"/>
        <v>0.21</v>
      </c>
      <c r="AF232" s="67">
        <f t="shared" si="26"/>
        <v>0</v>
      </c>
    </row>
    <row r="233" spans="1:32" ht="46.8">
      <c r="A233" s="41">
        <f t="shared" si="27"/>
        <v>231</v>
      </c>
      <c r="B233" s="34" t="s">
        <v>940</v>
      </c>
      <c r="C233" s="34" t="s">
        <v>1002</v>
      </c>
      <c r="D233" s="34" t="s">
        <v>1017</v>
      </c>
      <c r="E233" s="41" t="s">
        <v>1282</v>
      </c>
      <c r="F233" s="43" t="s">
        <v>392</v>
      </c>
      <c r="G233" s="41" t="s">
        <v>28</v>
      </c>
      <c r="H233" s="41"/>
      <c r="I233" s="167" t="s">
        <v>349</v>
      </c>
      <c r="J233" s="167"/>
      <c r="K233" s="167"/>
      <c r="L233" s="167"/>
      <c r="M233" s="167"/>
      <c r="N233" s="41" t="s">
        <v>32</v>
      </c>
      <c r="O233" s="3">
        <v>0</v>
      </c>
      <c r="P233" s="66">
        <v>0.3</v>
      </c>
      <c r="Q233" s="3">
        <v>0</v>
      </c>
      <c r="R233" s="3"/>
      <c r="S233" s="3"/>
      <c r="T233" s="3"/>
      <c r="U233" s="67">
        <f t="shared" si="21"/>
        <v>0.3</v>
      </c>
      <c r="V233" s="67">
        <f t="shared" si="22"/>
        <v>0</v>
      </c>
      <c r="W233" s="3"/>
      <c r="X233" s="3"/>
      <c r="Y233" s="3"/>
      <c r="Z233" s="67">
        <f t="shared" si="23"/>
        <v>0.3</v>
      </c>
      <c r="AA233" s="67">
        <f t="shared" si="24"/>
        <v>0</v>
      </c>
      <c r="AB233" s="3"/>
      <c r="AC233" s="3"/>
      <c r="AD233" s="3"/>
      <c r="AE233" s="67">
        <f t="shared" si="25"/>
        <v>0.3</v>
      </c>
      <c r="AF233" s="67">
        <f t="shared" si="26"/>
        <v>0</v>
      </c>
    </row>
    <row r="234" spans="1:32" ht="46.8">
      <c r="A234" s="41">
        <f t="shared" si="27"/>
        <v>232</v>
      </c>
      <c r="B234" s="34" t="s">
        <v>941</v>
      </c>
      <c r="C234" s="34" t="s">
        <v>1002</v>
      </c>
      <c r="D234" s="34" t="s">
        <v>1017</v>
      </c>
      <c r="E234" s="41" t="s">
        <v>1283</v>
      </c>
      <c r="F234" s="43" t="s">
        <v>393</v>
      </c>
      <c r="G234" s="41" t="s">
        <v>28</v>
      </c>
      <c r="H234" s="41"/>
      <c r="I234" s="167" t="s">
        <v>349</v>
      </c>
      <c r="J234" s="167"/>
      <c r="K234" s="167"/>
      <c r="L234" s="167"/>
      <c r="M234" s="167"/>
      <c r="N234" s="41" t="s">
        <v>32</v>
      </c>
      <c r="O234" s="65">
        <v>0.18</v>
      </c>
      <c r="P234" s="66">
        <v>0.17</v>
      </c>
      <c r="Q234" s="3">
        <v>0</v>
      </c>
      <c r="R234" s="3"/>
      <c r="S234" s="3"/>
      <c r="T234" s="3"/>
      <c r="U234" s="67">
        <f t="shared" si="21"/>
        <v>0.17</v>
      </c>
      <c r="V234" s="67">
        <f t="shared" si="22"/>
        <v>0</v>
      </c>
      <c r="W234" s="3"/>
      <c r="X234" s="3"/>
      <c r="Y234" s="3"/>
      <c r="Z234" s="67">
        <f t="shared" si="23"/>
        <v>0.17</v>
      </c>
      <c r="AA234" s="67">
        <f t="shared" si="24"/>
        <v>0</v>
      </c>
      <c r="AB234" s="3"/>
      <c r="AC234" s="3"/>
      <c r="AD234" s="3"/>
      <c r="AE234" s="67">
        <f t="shared" si="25"/>
        <v>0.17</v>
      </c>
      <c r="AF234" s="67">
        <f t="shared" si="26"/>
        <v>0</v>
      </c>
    </row>
    <row r="235" spans="1:32" ht="46.8">
      <c r="A235" s="41">
        <f t="shared" si="27"/>
        <v>233</v>
      </c>
      <c r="B235" s="34" t="s">
        <v>942</v>
      </c>
      <c r="C235" s="34" t="s">
        <v>1002</v>
      </c>
      <c r="D235" s="34" t="s">
        <v>1017</v>
      </c>
      <c r="E235" s="41" t="s">
        <v>1284</v>
      </c>
      <c r="F235" s="43" t="s">
        <v>394</v>
      </c>
      <c r="G235" s="41" t="s">
        <v>28</v>
      </c>
      <c r="H235" s="41"/>
      <c r="I235" s="167" t="s">
        <v>349</v>
      </c>
      <c r="J235" s="167"/>
      <c r="K235" s="167"/>
      <c r="L235" s="167"/>
      <c r="M235" s="167"/>
      <c r="N235" s="41" t="s">
        <v>32</v>
      </c>
      <c r="O235" s="3">
        <v>0</v>
      </c>
      <c r="P235" s="66">
        <v>0.27</v>
      </c>
      <c r="Q235" s="3">
        <v>0</v>
      </c>
      <c r="R235" s="3"/>
      <c r="S235" s="3"/>
      <c r="T235" s="3"/>
      <c r="U235" s="67">
        <f t="shared" si="21"/>
        <v>0.27</v>
      </c>
      <c r="V235" s="67">
        <f t="shared" si="22"/>
        <v>0</v>
      </c>
      <c r="W235" s="3"/>
      <c r="X235" s="3"/>
      <c r="Y235" s="3"/>
      <c r="Z235" s="67">
        <f t="shared" si="23"/>
        <v>0.27</v>
      </c>
      <c r="AA235" s="67">
        <f t="shared" si="24"/>
        <v>0</v>
      </c>
      <c r="AB235" s="3"/>
      <c r="AC235" s="3"/>
      <c r="AD235" s="3"/>
      <c r="AE235" s="67">
        <f t="shared" si="25"/>
        <v>0.27</v>
      </c>
      <c r="AF235" s="67">
        <f t="shared" si="26"/>
        <v>0</v>
      </c>
    </row>
    <row r="236" spans="1:32" ht="46.8">
      <c r="A236" s="41">
        <f t="shared" si="27"/>
        <v>234</v>
      </c>
      <c r="B236" s="34"/>
      <c r="C236" s="34" t="s">
        <v>1002</v>
      </c>
      <c r="D236" s="34" t="s">
        <v>1017</v>
      </c>
      <c r="E236" s="41" t="s">
        <v>1285</v>
      </c>
      <c r="F236" s="43" t="s">
        <v>395</v>
      </c>
      <c r="G236" s="41" t="s">
        <v>28</v>
      </c>
      <c r="H236" s="41"/>
      <c r="I236" s="167" t="s">
        <v>349</v>
      </c>
      <c r="J236" s="167"/>
      <c r="K236" s="167"/>
      <c r="L236" s="167"/>
      <c r="M236" s="167"/>
      <c r="N236" s="41" t="s">
        <v>32</v>
      </c>
      <c r="O236" s="3">
        <v>0</v>
      </c>
      <c r="P236" s="3">
        <v>0</v>
      </c>
      <c r="Q236" s="66">
        <v>0.11</v>
      </c>
      <c r="R236" s="3"/>
      <c r="S236" s="3"/>
      <c r="T236" s="3"/>
      <c r="U236" s="67">
        <f t="shared" si="21"/>
        <v>0</v>
      </c>
      <c r="V236" s="67">
        <f t="shared" si="22"/>
        <v>0.11</v>
      </c>
      <c r="W236" s="3"/>
      <c r="X236" s="3"/>
      <c r="Y236" s="3"/>
      <c r="Z236" s="67">
        <f t="shared" si="23"/>
        <v>0</v>
      </c>
      <c r="AA236" s="67">
        <f t="shared" si="24"/>
        <v>0.11</v>
      </c>
      <c r="AB236" s="3"/>
      <c r="AC236" s="3"/>
      <c r="AD236" s="3"/>
      <c r="AE236" s="67">
        <f t="shared" si="25"/>
        <v>0</v>
      </c>
      <c r="AF236" s="67">
        <f t="shared" si="26"/>
        <v>0.11</v>
      </c>
    </row>
    <row r="237" spans="1:32" ht="46.8">
      <c r="A237" s="41">
        <f t="shared" si="27"/>
        <v>235</v>
      </c>
      <c r="B237" s="34" t="s">
        <v>943</v>
      </c>
      <c r="C237" s="34" t="s">
        <v>1002</v>
      </c>
      <c r="D237" s="34" t="s">
        <v>1017</v>
      </c>
      <c r="E237" s="41" t="s">
        <v>1286</v>
      </c>
      <c r="F237" s="43" t="s">
        <v>396</v>
      </c>
      <c r="G237" s="41" t="s">
        <v>28</v>
      </c>
      <c r="H237" s="41"/>
      <c r="I237" s="167" t="s">
        <v>349</v>
      </c>
      <c r="J237" s="167"/>
      <c r="K237" s="167"/>
      <c r="L237" s="167"/>
      <c r="M237" s="167"/>
      <c r="N237" s="41" t="s">
        <v>32</v>
      </c>
      <c r="O237" s="65">
        <v>0.17</v>
      </c>
      <c r="P237" s="66">
        <v>0.15</v>
      </c>
      <c r="Q237" s="3">
        <v>0</v>
      </c>
      <c r="R237" s="3"/>
      <c r="S237" s="3"/>
      <c r="T237" s="3"/>
      <c r="U237" s="67">
        <f t="shared" si="21"/>
        <v>0.15</v>
      </c>
      <c r="V237" s="67">
        <f t="shared" si="22"/>
        <v>0</v>
      </c>
      <c r="W237" s="3"/>
      <c r="X237" s="3"/>
      <c r="Y237" s="3"/>
      <c r="Z237" s="67">
        <f t="shared" si="23"/>
        <v>0.15</v>
      </c>
      <c r="AA237" s="67">
        <f t="shared" si="24"/>
        <v>0</v>
      </c>
      <c r="AB237" s="3"/>
      <c r="AC237" s="3"/>
      <c r="AD237" s="3"/>
      <c r="AE237" s="67">
        <f t="shared" si="25"/>
        <v>0.15</v>
      </c>
      <c r="AF237" s="67">
        <f t="shared" si="26"/>
        <v>0</v>
      </c>
    </row>
    <row r="238" spans="1:32" ht="46.8">
      <c r="A238" s="41">
        <f t="shared" si="27"/>
        <v>236</v>
      </c>
      <c r="B238" s="34"/>
      <c r="C238" s="34" t="s">
        <v>1002</v>
      </c>
      <c r="D238" s="34" t="s">
        <v>1017</v>
      </c>
      <c r="E238" s="41" t="s">
        <v>1287</v>
      </c>
      <c r="F238" s="43" t="s">
        <v>397</v>
      </c>
      <c r="G238" s="41" t="s">
        <v>28</v>
      </c>
      <c r="H238" s="41"/>
      <c r="I238" s="167" t="s">
        <v>349</v>
      </c>
      <c r="J238" s="167"/>
      <c r="K238" s="167"/>
      <c r="L238" s="167"/>
      <c r="M238" s="167"/>
      <c r="N238" s="41" t="s">
        <v>32</v>
      </c>
      <c r="O238" s="3">
        <v>0</v>
      </c>
      <c r="P238" s="3">
        <v>0</v>
      </c>
      <c r="Q238" s="66">
        <v>0.28999999999999998</v>
      </c>
      <c r="R238" s="3"/>
      <c r="S238" s="3"/>
      <c r="T238" s="3"/>
      <c r="U238" s="67">
        <f t="shared" si="21"/>
        <v>0</v>
      </c>
      <c r="V238" s="67">
        <f t="shared" si="22"/>
        <v>0.28999999999999998</v>
      </c>
      <c r="W238" s="3"/>
      <c r="X238" s="3"/>
      <c r="Y238" s="3"/>
      <c r="Z238" s="67">
        <f t="shared" si="23"/>
        <v>0</v>
      </c>
      <c r="AA238" s="67">
        <f t="shared" si="24"/>
        <v>0.28999999999999998</v>
      </c>
      <c r="AB238" s="3"/>
      <c r="AC238" s="3"/>
      <c r="AD238" s="3"/>
      <c r="AE238" s="67">
        <f t="shared" si="25"/>
        <v>0</v>
      </c>
      <c r="AF238" s="67">
        <f t="shared" si="26"/>
        <v>0.28999999999999998</v>
      </c>
    </row>
    <row r="239" spans="1:32" ht="46.8">
      <c r="A239" s="41">
        <f t="shared" si="27"/>
        <v>237</v>
      </c>
      <c r="B239" s="34" t="s">
        <v>944</v>
      </c>
      <c r="C239" s="34" t="s">
        <v>1002</v>
      </c>
      <c r="D239" s="34" t="s">
        <v>1017</v>
      </c>
      <c r="E239" s="41" t="s">
        <v>1288</v>
      </c>
      <c r="F239" s="43" t="s">
        <v>399</v>
      </c>
      <c r="G239" s="41" t="s">
        <v>28</v>
      </c>
      <c r="H239" s="41"/>
      <c r="I239" s="167" t="s">
        <v>349</v>
      </c>
      <c r="J239" s="167"/>
      <c r="K239" s="167"/>
      <c r="L239" s="167"/>
      <c r="M239" s="167"/>
      <c r="N239" s="41" t="s">
        <v>32</v>
      </c>
      <c r="O239" s="3">
        <v>0</v>
      </c>
      <c r="P239" s="66">
        <v>0.97</v>
      </c>
      <c r="Q239" s="3">
        <v>0</v>
      </c>
      <c r="R239" s="3"/>
      <c r="S239" s="3"/>
      <c r="T239" s="3"/>
      <c r="U239" s="67">
        <f t="shared" si="21"/>
        <v>0.97</v>
      </c>
      <c r="V239" s="67">
        <f t="shared" si="22"/>
        <v>0</v>
      </c>
      <c r="W239" s="3"/>
      <c r="X239" s="3"/>
      <c r="Y239" s="3"/>
      <c r="Z239" s="67">
        <f t="shared" si="23"/>
        <v>0.97</v>
      </c>
      <c r="AA239" s="67">
        <f t="shared" si="24"/>
        <v>0</v>
      </c>
      <c r="AB239" s="3"/>
      <c r="AC239" s="3"/>
      <c r="AD239" s="3"/>
      <c r="AE239" s="67">
        <f t="shared" si="25"/>
        <v>0.97</v>
      </c>
      <c r="AF239" s="67">
        <f t="shared" si="26"/>
        <v>0</v>
      </c>
    </row>
    <row r="240" spans="1:32" ht="46.8">
      <c r="A240" s="41">
        <f t="shared" si="27"/>
        <v>238</v>
      </c>
      <c r="B240" s="34" t="s">
        <v>945</v>
      </c>
      <c r="C240" s="34" t="s">
        <v>1002</v>
      </c>
      <c r="D240" s="34" t="s">
        <v>1017</v>
      </c>
      <c r="E240" s="41" t="s">
        <v>1289</v>
      </c>
      <c r="F240" s="43" t="s">
        <v>400</v>
      </c>
      <c r="G240" s="41" t="s">
        <v>28</v>
      </c>
      <c r="H240" s="41"/>
      <c r="I240" s="167" t="s">
        <v>349</v>
      </c>
      <c r="J240" s="167"/>
      <c r="K240" s="167"/>
      <c r="L240" s="167"/>
      <c r="M240" s="167"/>
      <c r="N240" s="41" t="s">
        <v>32</v>
      </c>
      <c r="O240" s="3">
        <v>0</v>
      </c>
      <c r="P240" s="66">
        <v>0.48</v>
      </c>
      <c r="Q240" s="3">
        <v>0</v>
      </c>
      <c r="R240" s="3"/>
      <c r="S240" s="3"/>
      <c r="T240" s="3"/>
      <c r="U240" s="67">
        <f t="shared" si="21"/>
        <v>0.48</v>
      </c>
      <c r="V240" s="67">
        <f t="shared" si="22"/>
        <v>0</v>
      </c>
      <c r="W240" s="3"/>
      <c r="X240" s="3"/>
      <c r="Y240" s="3"/>
      <c r="Z240" s="67">
        <f t="shared" si="23"/>
        <v>0.48</v>
      </c>
      <c r="AA240" s="67">
        <f t="shared" si="24"/>
        <v>0</v>
      </c>
      <c r="AB240" s="3"/>
      <c r="AC240" s="3"/>
      <c r="AD240" s="3"/>
      <c r="AE240" s="67">
        <f t="shared" si="25"/>
        <v>0.48</v>
      </c>
      <c r="AF240" s="67">
        <f t="shared" si="26"/>
        <v>0</v>
      </c>
    </row>
    <row r="241" spans="1:32" ht="46.8">
      <c r="A241" s="41">
        <f t="shared" si="27"/>
        <v>239</v>
      </c>
      <c r="B241" s="34" t="s">
        <v>946</v>
      </c>
      <c r="C241" s="34" t="s">
        <v>1002</v>
      </c>
      <c r="D241" s="34" t="s">
        <v>1017</v>
      </c>
      <c r="E241" s="41" t="s">
        <v>1290</v>
      </c>
      <c r="F241" s="43" t="s">
        <v>401</v>
      </c>
      <c r="G241" s="41" t="s">
        <v>28</v>
      </c>
      <c r="H241" s="41"/>
      <c r="I241" s="167" t="s">
        <v>349</v>
      </c>
      <c r="J241" s="167"/>
      <c r="K241" s="167"/>
      <c r="L241" s="167"/>
      <c r="M241" s="167"/>
      <c r="N241" s="41" t="s">
        <v>32</v>
      </c>
      <c r="O241" s="3">
        <v>0</v>
      </c>
      <c r="P241" s="66">
        <v>0.64</v>
      </c>
      <c r="Q241" s="3">
        <v>0</v>
      </c>
      <c r="R241" s="3"/>
      <c r="S241" s="3"/>
      <c r="T241" s="3"/>
      <c r="U241" s="67">
        <f t="shared" si="21"/>
        <v>0.64</v>
      </c>
      <c r="V241" s="67">
        <f t="shared" si="22"/>
        <v>0</v>
      </c>
      <c r="W241" s="3"/>
      <c r="X241" s="3"/>
      <c r="Y241" s="3"/>
      <c r="Z241" s="67">
        <f t="shared" si="23"/>
        <v>0.64</v>
      </c>
      <c r="AA241" s="67">
        <f t="shared" si="24"/>
        <v>0</v>
      </c>
      <c r="AB241" s="3"/>
      <c r="AC241" s="3"/>
      <c r="AD241" s="3"/>
      <c r="AE241" s="67">
        <f t="shared" si="25"/>
        <v>0.64</v>
      </c>
      <c r="AF241" s="67">
        <f t="shared" si="26"/>
        <v>0</v>
      </c>
    </row>
    <row r="242" spans="1:32" ht="46.8">
      <c r="A242" s="41">
        <f t="shared" si="27"/>
        <v>240</v>
      </c>
      <c r="B242" s="34" t="s">
        <v>947</v>
      </c>
      <c r="C242" s="34" t="s">
        <v>1002</v>
      </c>
      <c r="D242" s="34" t="s">
        <v>1017</v>
      </c>
      <c r="E242" s="41" t="s">
        <v>1258</v>
      </c>
      <c r="F242" s="43" t="s">
        <v>402</v>
      </c>
      <c r="G242" s="41" t="s">
        <v>28</v>
      </c>
      <c r="H242" s="41"/>
      <c r="I242" s="167" t="s">
        <v>349</v>
      </c>
      <c r="J242" s="167"/>
      <c r="K242" s="167"/>
      <c r="L242" s="167"/>
      <c r="M242" s="167"/>
      <c r="N242" s="41" t="s">
        <v>32</v>
      </c>
      <c r="O242" s="3">
        <v>0</v>
      </c>
      <c r="P242" s="66">
        <v>1.67</v>
      </c>
      <c r="Q242" s="66">
        <v>0</v>
      </c>
      <c r="R242" s="3"/>
      <c r="S242" s="3"/>
      <c r="T242" s="3"/>
      <c r="U242" s="67">
        <f t="shared" si="21"/>
        <v>1.67</v>
      </c>
      <c r="V242" s="67">
        <f t="shared" si="22"/>
        <v>0</v>
      </c>
      <c r="W242" s="3"/>
      <c r="X242" s="3"/>
      <c r="Y242" s="3"/>
      <c r="Z242" s="67">
        <f t="shared" si="23"/>
        <v>1.67</v>
      </c>
      <c r="AA242" s="67">
        <f t="shared" si="24"/>
        <v>0</v>
      </c>
      <c r="AB242" s="3"/>
      <c r="AC242" s="3"/>
      <c r="AD242" s="3"/>
      <c r="AE242" s="67">
        <f t="shared" si="25"/>
        <v>1.67</v>
      </c>
      <c r="AF242" s="67">
        <f t="shared" si="26"/>
        <v>0</v>
      </c>
    </row>
    <row r="243" spans="1:32" ht="46.8">
      <c r="A243" s="41">
        <f t="shared" si="27"/>
        <v>241</v>
      </c>
      <c r="B243" s="34" t="s">
        <v>948</v>
      </c>
      <c r="C243" s="34" t="s">
        <v>1002</v>
      </c>
      <c r="D243" s="34" t="s">
        <v>1017</v>
      </c>
      <c r="E243" s="41" t="s">
        <v>1261</v>
      </c>
      <c r="F243" s="43" t="s">
        <v>403</v>
      </c>
      <c r="G243" s="41" t="s">
        <v>28</v>
      </c>
      <c r="H243" s="41"/>
      <c r="I243" s="167" t="s">
        <v>349</v>
      </c>
      <c r="J243" s="167"/>
      <c r="K243" s="167"/>
      <c r="L243" s="167"/>
      <c r="M243" s="167"/>
      <c r="N243" s="41" t="s">
        <v>32</v>
      </c>
      <c r="O243" s="3">
        <v>0</v>
      </c>
      <c r="P243" s="66">
        <v>0.86</v>
      </c>
      <c r="Q243" s="3">
        <v>0</v>
      </c>
      <c r="R243" s="3"/>
      <c r="S243" s="3"/>
      <c r="T243" s="3"/>
      <c r="U243" s="67">
        <f t="shared" si="21"/>
        <v>0.86</v>
      </c>
      <c r="V243" s="67">
        <f t="shared" si="22"/>
        <v>0</v>
      </c>
      <c r="W243" s="3"/>
      <c r="X243" s="3"/>
      <c r="Y243" s="3"/>
      <c r="Z243" s="67">
        <f t="shared" si="23"/>
        <v>0.86</v>
      </c>
      <c r="AA243" s="67">
        <f t="shared" si="24"/>
        <v>0</v>
      </c>
      <c r="AB243" s="3"/>
      <c r="AC243" s="3"/>
      <c r="AD243" s="3"/>
      <c r="AE243" s="67">
        <f t="shared" si="25"/>
        <v>0.86</v>
      </c>
      <c r="AF243" s="67">
        <f t="shared" si="26"/>
        <v>0</v>
      </c>
    </row>
    <row r="244" spans="1:32" ht="46.8">
      <c r="A244" s="41">
        <f t="shared" si="27"/>
        <v>242</v>
      </c>
      <c r="B244" s="34" t="s">
        <v>949</v>
      </c>
      <c r="C244" s="34" t="s">
        <v>1002</v>
      </c>
      <c r="D244" s="34" t="s">
        <v>1017</v>
      </c>
      <c r="E244" s="41" t="s">
        <v>1291</v>
      </c>
      <c r="F244" s="43" t="s">
        <v>404</v>
      </c>
      <c r="G244" s="41" t="s">
        <v>28</v>
      </c>
      <c r="H244" s="41"/>
      <c r="I244" s="167" t="s">
        <v>349</v>
      </c>
      <c r="J244" s="167"/>
      <c r="K244" s="167"/>
      <c r="L244" s="167"/>
      <c r="M244" s="167"/>
      <c r="N244" s="41" t="s">
        <v>32</v>
      </c>
      <c r="O244" s="3">
        <v>0</v>
      </c>
      <c r="P244" s="66">
        <v>1.22</v>
      </c>
      <c r="Q244" s="3">
        <v>0</v>
      </c>
      <c r="R244" s="3"/>
      <c r="S244" s="3"/>
      <c r="T244" s="3"/>
      <c r="U244" s="67">
        <f t="shared" si="21"/>
        <v>1.22</v>
      </c>
      <c r="V244" s="67">
        <f t="shared" si="22"/>
        <v>0</v>
      </c>
      <c r="W244" s="3"/>
      <c r="X244" s="3"/>
      <c r="Y244" s="3"/>
      <c r="Z244" s="67">
        <f t="shared" si="23"/>
        <v>1.22</v>
      </c>
      <c r="AA244" s="67">
        <f t="shared" si="24"/>
        <v>0</v>
      </c>
      <c r="AB244" s="3"/>
      <c r="AC244" s="3"/>
      <c r="AD244" s="3"/>
      <c r="AE244" s="67">
        <f t="shared" si="25"/>
        <v>1.22</v>
      </c>
      <c r="AF244" s="67">
        <f t="shared" si="26"/>
        <v>0</v>
      </c>
    </row>
    <row r="245" spans="1:32" ht="46.8">
      <c r="A245" s="41">
        <f t="shared" si="27"/>
        <v>243</v>
      </c>
      <c r="B245" s="34" t="s">
        <v>950</v>
      </c>
      <c r="C245" s="34" t="s">
        <v>1002</v>
      </c>
      <c r="D245" s="34" t="s">
        <v>1017</v>
      </c>
      <c r="E245" s="41" t="s">
        <v>1292</v>
      </c>
      <c r="F245" s="43" t="s">
        <v>405</v>
      </c>
      <c r="G245" s="41" t="s">
        <v>28</v>
      </c>
      <c r="H245" s="41"/>
      <c r="I245" s="167" t="s">
        <v>349</v>
      </c>
      <c r="J245" s="167"/>
      <c r="K245" s="167"/>
      <c r="L245" s="167"/>
      <c r="M245" s="167"/>
      <c r="N245" s="41" t="s">
        <v>32</v>
      </c>
      <c r="O245" s="3">
        <v>0</v>
      </c>
      <c r="P245" s="66">
        <v>1.01</v>
      </c>
      <c r="Q245" s="3">
        <v>0</v>
      </c>
      <c r="R245" s="3"/>
      <c r="S245" s="3"/>
      <c r="T245" s="3"/>
      <c r="U245" s="67">
        <f t="shared" si="21"/>
        <v>1.01</v>
      </c>
      <c r="V245" s="67">
        <f t="shared" si="22"/>
        <v>0</v>
      </c>
      <c r="W245" s="3"/>
      <c r="X245" s="3"/>
      <c r="Y245" s="3"/>
      <c r="Z245" s="67">
        <f t="shared" si="23"/>
        <v>1.01</v>
      </c>
      <c r="AA245" s="67">
        <f t="shared" si="24"/>
        <v>0</v>
      </c>
      <c r="AB245" s="3"/>
      <c r="AC245" s="3"/>
      <c r="AD245" s="3"/>
      <c r="AE245" s="67">
        <f t="shared" si="25"/>
        <v>1.01</v>
      </c>
      <c r="AF245" s="67">
        <f t="shared" si="26"/>
        <v>0</v>
      </c>
    </row>
    <row r="246" spans="1:32" ht="46.8">
      <c r="A246" s="41">
        <f t="shared" si="27"/>
        <v>244</v>
      </c>
      <c r="B246" s="34" t="s">
        <v>951</v>
      </c>
      <c r="C246" s="34" t="s">
        <v>1002</v>
      </c>
      <c r="D246" s="34" t="s">
        <v>1017</v>
      </c>
      <c r="E246" s="41" t="s">
        <v>1293</v>
      </c>
      <c r="F246" s="43" t="s">
        <v>406</v>
      </c>
      <c r="G246" s="41" t="s">
        <v>28</v>
      </c>
      <c r="H246" s="41"/>
      <c r="I246" s="167" t="s">
        <v>349</v>
      </c>
      <c r="J246" s="167"/>
      <c r="K246" s="167"/>
      <c r="L246" s="167"/>
      <c r="M246" s="167"/>
      <c r="N246" s="41" t="s">
        <v>32</v>
      </c>
      <c r="O246" s="3">
        <v>0</v>
      </c>
      <c r="P246" s="66">
        <v>2.29</v>
      </c>
      <c r="Q246" s="3">
        <v>0</v>
      </c>
      <c r="R246" s="3"/>
      <c r="S246" s="3"/>
      <c r="T246" s="3"/>
      <c r="U246" s="67">
        <f t="shared" si="21"/>
        <v>2.29</v>
      </c>
      <c r="V246" s="67">
        <f t="shared" si="22"/>
        <v>0</v>
      </c>
      <c r="W246" s="3"/>
      <c r="X246" s="3"/>
      <c r="Y246" s="3"/>
      <c r="Z246" s="67">
        <f t="shared" si="23"/>
        <v>2.29</v>
      </c>
      <c r="AA246" s="67">
        <f t="shared" si="24"/>
        <v>0</v>
      </c>
      <c r="AB246" s="3"/>
      <c r="AC246" s="3"/>
      <c r="AD246" s="3"/>
      <c r="AE246" s="67">
        <f t="shared" si="25"/>
        <v>2.29</v>
      </c>
      <c r="AF246" s="67">
        <f t="shared" si="26"/>
        <v>0</v>
      </c>
    </row>
    <row r="247" spans="1:32" ht="46.8">
      <c r="A247" s="41">
        <f t="shared" si="27"/>
        <v>245</v>
      </c>
      <c r="B247" s="34" t="s">
        <v>952</v>
      </c>
      <c r="C247" s="34" t="s">
        <v>1002</v>
      </c>
      <c r="D247" s="34" t="s">
        <v>1017</v>
      </c>
      <c r="E247" s="41" t="s">
        <v>1294</v>
      </c>
      <c r="F247" s="43" t="s">
        <v>407</v>
      </c>
      <c r="G247" s="41" t="s">
        <v>28</v>
      </c>
      <c r="H247" s="41"/>
      <c r="I247" s="167" t="s">
        <v>349</v>
      </c>
      <c r="J247" s="167"/>
      <c r="K247" s="167"/>
      <c r="L247" s="167"/>
      <c r="M247" s="167"/>
      <c r="N247" s="41" t="s">
        <v>32</v>
      </c>
      <c r="O247" s="65">
        <v>0.98</v>
      </c>
      <c r="P247" s="66">
        <v>0.91</v>
      </c>
      <c r="Q247" s="3">
        <v>0</v>
      </c>
      <c r="R247" s="3"/>
      <c r="S247" s="3"/>
      <c r="T247" s="3"/>
      <c r="U247" s="67">
        <f t="shared" si="21"/>
        <v>0.91</v>
      </c>
      <c r="V247" s="67">
        <f t="shared" si="22"/>
        <v>0</v>
      </c>
      <c r="W247" s="3"/>
      <c r="X247" s="3"/>
      <c r="Y247" s="3"/>
      <c r="Z247" s="67">
        <f t="shared" si="23"/>
        <v>0.91</v>
      </c>
      <c r="AA247" s="67">
        <f t="shared" si="24"/>
        <v>0</v>
      </c>
      <c r="AB247" s="3"/>
      <c r="AC247" s="3"/>
      <c r="AD247" s="3"/>
      <c r="AE247" s="67">
        <f t="shared" si="25"/>
        <v>0.91</v>
      </c>
      <c r="AF247" s="67">
        <f t="shared" si="26"/>
        <v>0</v>
      </c>
    </row>
    <row r="248" spans="1:32" ht="46.8">
      <c r="A248" s="41">
        <f t="shared" si="27"/>
        <v>246</v>
      </c>
      <c r="B248" s="34" t="s">
        <v>953</v>
      </c>
      <c r="C248" s="34" t="s">
        <v>1002</v>
      </c>
      <c r="D248" s="34" t="s">
        <v>1017</v>
      </c>
      <c r="E248" s="41" t="s">
        <v>1295</v>
      </c>
      <c r="F248" s="43" t="s">
        <v>408</v>
      </c>
      <c r="G248" s="41" t="s">
        <v>28</v>
      </c>
      <c r="H248" s="41"/>
      <c r="I248" s="167" t="s">
        <v>349</v>
      </c>
      <c r="J248" s="167"/>
      <c r="K248" s="167"/>
      <c r="L248" s="167"/>
      <c r="M248" s="167"/>
      <c r="N248" s="41" t="s">
        <v>32</v>
      </c>
      <c r="O248" s="3">
        <v>0</v>
      </c>
      <c r="P248" s="66">
        <v>1.1299999999999999</v>
      </c>
      <c r="Q248" s="3">
        <v>0</v>
      </c>
      <c r="R248" s="3"/>
      <c r="S248" s="3"/>
      <c r="T248" s="3"/>
      <c r="U248" s="67">
        <f t="shared" si="21"/>
        <v>1.1299999999999999</v>
      </c>
      <c r="V248" s="67">
        <f t="shared" si="22"/>
        <v>0</v>
      </c>
      <c r="W248" s="3"/>
      <c r="X248" s="3"/>
      <c r="Y248" s="3"/>
      <c r="Z248" s="67">
        <f t="shared" si="23"/>
        <v>1.1299999999999999</v>
      </c>
      <c r="AA248" s="67">
        <f t="shared" si="24"/>
        <v>0</v>
      </c>
      <c r="AB248" s="3"/>
      <c r="AC248" s="3"/>
      <c r="AD248" s="3"/>
      <c r="AE248" s="67">
        <f t="shared" si="25"/>
        <v>1.1299999999999999</v>
      </c>
      <c r="AF248" s="67">
        <f t="shared" si="26"/>
        <v>0</v>
      </c>
    </row>
    <row r="249" spans="1:32" ht="46.8">
      <c r="A249" s="41">
        <f t="shared" si="27"/>
        <v>247</v>
      </c>
      <c r="B249" s="34" t="s">
        <v>954</v>
      </c>
      <c r="C249" s="34" t="s">
        <v>1002</v>
      </c>
      <c r="D249" s="34" t="s">
        <v>1017</v>
      </c>
      <c r="E249" s="41" t="s">
        <v>1296</v>
      </c>
      <c r="F249" s="43" t="s">
        <v>409</v>
      </c>
      <c r="G249" s="41"/>
      <c r="H249" s="41"/>
      <c r="I249" s="167" t="s">
        <v>349</v>
      </c>
      <c r="J249" s="167"/>
      <c r="K249" s="167"/>
      <c r="L249" s="167"/>
      <c r="M249" s="167"/>
      <c r="N249" s="41" t="s">
        <v>32</v>
      </c>
      <c r="O249" s="65">
        <v>0.57999999999999996</v>
      </c>
      <c r="P249" s="66">
        <v>0.47</v>
      </c>
      <c r="Q249" s="3">
        <v>0</v>
      </c>
      <c r="R249" s="3"/>
      <c r="S249" s="3"/>
      <c r="T249" s="3"/>
      <c r="U249" s="67">
        <f t="shared" si="21"/>
        <v>0.47</v>
      </c>
      <c r="V249" s="67">
        <f t="shared" si="22"/>
        <v>0</v>
      </c>
      <c r="W249" s="3"/>
      <c r="X249" s="3"/>
      <c r="Y249" s="3"/>
      <c r="Z249" s="67">
        <f t="shared" si="23"/>
        <v>0.47</v>
      </c>
      <c r="AA249" s="67">
        <f t="shared" si="24"/>
        <v>0</v>
      </c>
      <c r="AB249" s="3"/>
      <c r="AC249" s="3"/>
      <c r="AD249" s="3"/>
      <c r="AE249" s="67">
        <f t="shared" si="25"/>
        <v>0.47</v>
      </c>
      <c r="AF249" s="67">
        <f t="shared" si="26"/>
        <v>0</v>
      </c>
    </row>
    <row r="250" spans="1:32" ht="93.6">
      <c r="A250" s="41">
        <f t="shared" si="27"/>
        <v>248</v>
      </c>
      <c r="B250" s="34" t="s">
        <v>955</v>
      </c>
      <c r="C250" s="34" t="s">
        <v>1002</v>
      </c>
      <c r="D250" s="34" t="s">
        <v>1017</v>
      </c>
      <c r="E250" s="41" t="s">
        <v>1297</v>
      </c>
      <c r="F250" s="43" t="s">
        <v>410</v>
      </c>
      <c r="G250" s="41"/>
      <c r="H250" s="41"/>
      <c r="I250" s="167" t="s">
        <v>349</v>
      </c>
      <c r="J250" s="167"/>
      <c r="K250" s="167"/>
      <c r="L250" s="167"/>
      <c r="M250" s="167"/>
      <c r="N250" s="41" t="s">
        <v>32</v>
      </c>
      <c r="O250" s="3">
        <v>0</v>
      </c>
      <c r="P250" s="66">
        <v>0.28000000000000003</v>
      </c>
      <c r="Q250" s="3">
        <v>0</v>
      </c>
      <c r="R250" s="3"/>
      <c r="S250" s="3"/>
      <c r="T250" s="3"/>
      <c r="U250" s="67">
        <f t="shared" si="21"/>
        <v>0.28000000000000003</v>
      </c>
      <c r="V250" s="67">
        <f t="shared" si="22"/>
        <v>0</v>
      </c>
      <c r="W250" s="3"/>
      <c r="X250" s="3"/>
      <c r="Y250" s="3"/>
      <c r="Z250" s="67">
        <f t="shared" si="23"/>
        <v>0.28000000000000003</v>
      </c>
      <c r="AA250" s="67">
        <f t="shared" si="24"/>
        <v>0</v>
      </c>
      <c r="AB250" s="3"/>
      <c r="AC250" s="3"/>
      <c r="AD250" s="3"/>
      <c r="AE250" s="67">
        <f t="shared" si="25"/>
        <v>0.28000000000000003</v>
      </c>
      <c r="AF250" s="67">
        <f t="shared" si="26"/>
        <v>0</v>
      </c>
    </row>
    <row r="251" spans="1:32" ht="62.4">
      <c r="A251" s="41">
        <f t="shared" si="27"/>
        <v>249</v>
      </c>
      <c r="B251" s="34" t="s">
        <v>956</v>
      </c>
      <c r="C251" s="34" t="s">
        <v>1002</v>
      </c>
      <c r="D251" s="34" t="s">
        <v>1017</v>
      </c>
      <c r="E251" s="41" t="s">
        <v>1298</v>
      </c>
      <c r="F251" s="43" t="s">
        <v>411</v>
      </c>
      <c r="G251" s="41"/>
      <c r="H251" s="41"/>
      <c r="I251" s="167" t="s">
        <v>349</v>
      </c>
      <c r="J251" s="167"/>
      <c r="K251" s="167"/>
      <c r="L251" s="167"/>
      <c r="M251" s="167"/>
      <c r="N251" s="41" t="s">
        <v>32</v>
      </c>
      <c r="O251" s="3">
        <v>0</v>
      </c>
      <c r="P251" s="66">
        <v>0.65</v>
      </c>
      <c r="Q251" s="3">
        <v>0</v>
      </c>
      <c r="R251" s="3"/>
      <c r="S251" s="3"/>
      <c r="T251" s="3"/>
      <c r="U251" s="67">
        <f t="shared" si="21"/>
        <v>0.65</v>
      </c>
      <c r="V251" s="67">
        <f t="shared" si="22"/>
        <v>0</v>
      </c>
      <c r="W251" s="3"/>
      <c r="X251" s="3"/>
      <c r="Y251" s="3"/>
      <c r="Z251" s="67">
        <f t="shared" si="23"/>
        <v>0.65</v>
      </c>
      <c r="AA251" s="67">
        <f t="shared" si="24"/>
        <v>0</v>
      </c>
      <c r="AB251" s="3"/>
      <c r="AC251" s="3"/>
      <c r="AD251" s="3"/>
      <c r="AE251" s="67">
        <f t="shared" si="25"/>
        <v>0.65</v>
      </c>
      <c r="AF251" s="67">
        <f t="shared" si="26"/>
        <v>0</v>
      </c>
    </row>
    <row r="252" spans="1:32" ht="46.8">
      <c r="A252" s="41">
        <f t="shared" si="27"/>
        <v>250</v>
      </c>
      <c r="B252" s="34" t="s">
        <v>957</v>
      </c>
      <c r="C252" s="34" t="s">
        <v>1002</v>
      </c>
      <c r="D252" s="34" t="s">
        <v>1017</v>
      </c>
      <c r="E252" s="41" t="s">
        <v>1299</v>
      </c>
      <c r="F252" s="43" t="s">
        <v>412</v>
      </c>
      <c r="G252" s="41"/>
      <c r="H252" s="41"/>
      <c r="I252" s="167" t="s">
        <v>349</v>
      </c>
      <c r="J252" s="167"/>
      <c r="K252" s="167"/>
      <c r="L252" s="167"/>
      <c r="M252" s="167"/>
      <c r="N252" s="41" t="s">
        <v>32</v>
      </c>
      <c r="O252" s="3">
        <v>0</v>
      </c>
      <c r="P252" s="66">
        <v>1.6</v>
      </c>
      <c r="Q252" s="3">
        <v>0</v>
      </c>
      <c r="R252" s="3"/>
      <c r="S252" s="3"/>
      <c r="T252" s="3"/>
      <c r="U252" s="67">
        <f t="shared" si="21"/>
        <v>1.6</v>
      </c>
      <c r="V252" s="67">
        <f t="shared" si="22"/>
        <v>0</v>
      </c>
      <c r="W252" s="3"/>
      <c r="X252" s="3"/>
      <c r="Y252" s="3"/>
      <c r="Z252" s="67">
        <f t="shared" si="23"/>
        <v>1.6</v>
      </c>
      <c r="AA252" s="67">
        <f t="shared" si="24"/>
        <v>0</v>
      </c>
      <c r="AB252" s="3"/>
      <c r="AC252" s="3"/>
      <c r="AD252" s="3"/>
      <c r="AE252" s="67">
        <f t="shared" si="25"/>
        <v>1.6</v>
      </c>
      <c r="AF252" s="67">
        <f t="shared" si="26"/>
        <v>0</v>
      </c>
    </row>
    <row r="253" spans="1:32" ht="46.8">
      <c r="A253" s="41">
        <f t="shared" si="27"/>
        <v>251</v>
      </c>
      <c r="B253" s="34" t="s">
        <v>958</v>
      </c>
      <c r="C253" s="34" t="s">
        <v>1002</v>
      </c>
      <c r="D253" s="34" t="s">
        <v>1017</v>
      </c>
      <c r="E253" s="41" t="s">
        <v>1300</v>
      </c>
      <c r="F253" s="43" t="s">
        <v>413</v>
      </c>
      <c r="G253" s="41"/>
      <c r="H253" s="41"/>
      <c r="I253" s="167" t="s">
        <v>349</v>
      </c>
      <c r="J253" s="167"/>
      <c r="K253" s="167"/>
      <c r="L253" s="167"/>
      <c r="M253" s="167"/>
      <c r="N253" s="41" t="s">
        <v>32</v>
      </c>
      <c r="O253" s="3">
        <v>0</v>
      </c>
      <c r="P253" s="66">
        <v>1.89</v>
      </c>
      <c r="Q253" s="66">
        <v>0</v>
      </c>
      <c r="R253" s="3"/>
      <c r="S253" s="3"/>
      <c r="T253" s="3"/>
      <c r="U253" s="67">
        <f t="shared" si="21"/>
        <v>1.89</v>
      </c>
      <c r="V253" s="67">
        <f t="shared" si="22"/>
        <v>0</v>
      </c>
      <c r="W253" s="3"/>
      <c r="X253" s="3"/>
      <c r="Y253" s="3"/>
      <c r="Z253" s="67">
        <f t="shared" si="23"/>
        <v>1.89</v>
      </c>
      <c r="AA253" s="67">
        <f t="shared" si="24"/>
        <v>0</v>
      </c>
      <c r="AB253" s="3"/>
      <c r="AC253" s="3"/>
      <c r="AD253" s="3"/>
      <c r="AE253" s="67">
        <f t="shared" si="25"/>
        <v>1.89</v>
      </c>
      <c r="AF253" s="67">
        <f t="shared" si="26"/>
        <v>0</v>
      </c>
    </row>
    <row r="254" spans="1:32" ht="46.8">
      <c r="A254" s="41">
        <f t="shared" si="27"/>
        <v>252</v>
      </c>
      <c r="B254" s="34" t="s">
        <v>959</v>
      </c>
      <c r="C254" s="34" t="s">
        <v>1002</v>
      </c>
      <c r="D254" s="34" t="s">
        <v>1017</v>
      </c>
      <c r="E254" s="41" t="s">
        <v>1301</v>
      </c>
      <c r="F254" s="43" t="s">
        <v>414</v>
      </c>
      <c r="G254" s="41"/>
      <c r="H254" s="41"/>
      <c r="I254" s="167" t="s">
        <v>349</v>
      </c>
      <c r="J254" s="167"/>
      <c r="K254" s="167"/>
      <c r="L254" s="167"/>
      <c r="M254" s="167"/>
      <c r="N254" s="41" t="s">
        <v>32</v>
      </c>
      <c r="O254" s="159">
        <v>29.4</v>
      </c>
      <c r="P254" s="66">
        <v>31.67</v>
      </c>
      <c r="Q254" s="66">
        <v>0</v>
      </c>
      <c r="R254" s="3"/>
      <c r="S254" s="3"/>
      <c r="T254" s="3"/>
      <c r="U254" s="67">
        <f t="shared" si="21"/>
        <v>31.67</v>
      </c>
      <c r="V254" s="67">
        <f t="shared" si="22"/>
        <v>0</v>
      </c>
      <c r="W254" s="3"/>
      <c r="X254" s="3"/>
      <c r="Y254" s="3"/>
      <c r="Z254" s="67">
        <f t="shared" si="23"/>
        <v>31.67</v>
      </c>
      <c r="AA254" s="67">
        <f t="shared" si="24"/>
        <v>0</v>
      </c>
      <c r="AB254" s="3"/>
      <c r="AC254" s="3"/>
      <c r="AD254" s="3"/>
      <c r="AE254" s="67">
        <f t="shared" si="25"/>
        <v>31.67</v>
      </c>
      <c r="AF254" s="67">
        <f t="shared" si="26"/>
        <v>0</v>
      </c>
    </row>
    <row r="255" spans="1:32" ht="46.8">
      <c r="A255" s="41">
        <f t="shared" si="27"/>
        <v>253</v>
      </c>
      <c r="B255" s="34" t="s">
        <v>960</v>
      </c>
      <c r="C255" s="34" t="s">
        <v>1002</v>
      </c>
      <c r="D255" s="34" t="s">
        <v>1017</v>
      </c>
      <c r="E255" s="41" t="s">
        <v>1302</v>
      </c>
      <c r="F255" s="43" t="s">
        <v>415</v>
      </c>
      <c r="G255" s="41"/>
      <c r="H255" s="41"/>
      <c r="I255" s="167" t="s">
        <v>349</v>
      </c>
      <c r="J255" s="167"/>
      <c r="K255" s="167"/>
      <c r="L255" s="167"/>
      <c r="M255" s="167"/>
      <c r="N255" s="41" t="s">
        <v>32</v>
      </c>
      <c r="O255" s="65">
        <v>10.07</v>
      </c>
      <c r="P255" s="66">
        <v>10.7</v>
      </c>
      <c r="Q255" s="3">
        <v>0</v>
      </c>
      <c r="R255" s="3"/>
      <c r="S255" s="3"/>
      <c r="T255" s="3"/>
      <c r="U255" s="67">
        <f t="shared" si="21"/>
        <v>10.7</v>
      </c>
      <c r="V255" s="67">
        <f t="shared" si="22"/>
        <v>0</v>
      </c>
      <c r="W255" s="3"/>
      <c r="X255" s="3"/>
      <c r="Y255" s="3"/>
      <c r="Z255" s="67">
        <f t="shared" si="23"/>
        <v>10.7</v>
      </c>
      <c r="AA255" s="67">
        <f t="shared" si="24"/>
        <v>0</v>
      </c>
      <c r="AB255" s="3"/>
      <c r="AC255" s="3"/>
      <c r="AD255" s="3"/>
      <c r="AE255" s="67">
        <f t="shared" si="25"/>
        <v>10.7</v>
      </c>
      <c r="AF255" s="67">
        <f t="shared" si="26"/>
        <v>0</v>
      </c>
    </row>
    <row r="256" spans="1:32" ht="46.8">
      <c r="A256" s="41">
        <f t="shared" si="27"/>
        <v>254</v>
      </c>
      <c r="B256" s="34" t="s">
        <v>961</v>
      </c>
      <c r="C256" s="34" t="s">
        <v>1002</v>
      </c>
      <c r="D256" s="34" t="s">
        <v>1017</v>
      </c>
      <c r="E256" s="41" t="s">
        <v>1308</v>
      </c>
      <c r="F256" s="43" t="s">
        <v>416</v>
      </c>
      <c r="G256" s="41"/>
      <c r="H256" s="41"/>
      <c r="I256" s="167" t="s">
        <v>349</v>
      </c>
      <c r="J256" s="167"/>
      <c r="K256" s="167"/>
      <c r="L256" s="167"/>
      <c r="M256" s="167"/>
      <c r="N256" s="41" t="s">
        <v>32</v>
      </c>
      <c r="O256" s="3">
        <v>0</v>
      </c>
      <c r="P256" s="66">
        <v>0.32</v>
      </c>
      <c r="Q256" s="3">
        <v>0</v>
      </c>
      <c r="R256" s="3"/>
      <c r="S256" s="3"/>
      <c r="T256" s="3"/>
      <c r="U256" s="67">
        <f t="shared" si="21"/>
        <v>0.32</v>
      </c>
      <c r="V256" s="67">
        <f t="shared" si="22"/>
        <v>0</v>
      </c>
      <c r="W256" s="3"/>
      <c r="X256" s="3"/>
      <c r="Y256" s="3"/>
      <c r="Z256" s="67">
        <f t="shared" si="23"/>
        <v>0.32</v>
      </c>
      <c r="AA256" s="67">
        <f t="shared" si="24"/>
        <v>0</v>
      </c>
      <c r="AB256" s="3"/>
      <c r="AC256" s="3"/>
      <c r="AD256" s="3"/>
      <c r="AE256" s="67">
        <f t="shared" si="25"/>
        <v>0.32</v>
      </c>
      <c r="AF256" s="67">
        <f t="shared" si="26"/>
        <v>0</v>
      </c>
    </row>
    <row r="257" spans="1:32" ht="46.8">
      <c r="A257" s="41">
        <f t="shared" si="27"/>
        <v>255</v>
      </c>
      <c r="B257" s="34" t="s">
        <v>962</v>
      </c>
      <c r="C257" s="34" t="s">
        <v>1002</v>
      </c>
      <c r="D257" s="34" t="s">
        <v>1017</v>
      </c>
      <c r="E257" s="41" t="s">
        <v>1303</v>
      </c>
      <c r="F257" s="43" t="s">
        <v>963</v>
      </c>
      <c r="G257" s="41"/>
      <c r="H257" s="41"/>
      <c r="I257" s="167" t="s">
        <v>349</v>
      </c>
      <c r="J257" s="167"/>
      <c r="K257" s="167"/>
      <c r="L257" s="167"/>
      <c r="M257" s="167"/>
      <c r="N257" s="41" t="s">
        <v>32</v>
      </c>
      <c r="O257" s="3">
        <v>0</v>
      </c>
      <c r="P257" s="3">
        <v>0</v>
      </c>
      <c r="Q257" s="66">
        <v>0.12</v>
      </c>
      <c r="R257" s="3"/>
      <c r="S257" s="3"/>
      <c r="T257" s="3"/>
      <c r="U257" s="67">
        <f t="shared" si="21"/>
        <v>0</v>
      </c>
      <c r="V257" s="67">
        <f t="shared" si="22"/>
        <v>0.12</v>
      </c>
      <c r="W257" s="3"/>
      <c r="X257" s="3"/>
      <c r="Y257" s="3"/>
      <c r="Z257" s="67">
        <f t="shared" si="23"/>
        <v>0</v>
      </c>
      <c r="AA257" s="67">
        <f t="shared" si="24"/>
        <v>0.12</v>
      </c>
      <c r="AB257" s="3"/>
      <c r="AC257" s="3"/>
      <c r="AD257" s="3"/>
      <c r="AE257" s="67">
        <f t="shared" si="25"/>
        <v>0</v>
      </c>
      <c r="AF257" s="67">
        <f t="shared" si="26"/>
        <v>0.12</v>
      </c>
    </row>
    <row r="258" spans="1:32" ht="46.8">
      <c r="A258" s="41">
        <f t="shared" si="27"/>
        <v>256</v>
      </c>
      <c r="B258" s="34"/>
      <c r="C258" s="34" t="s">
        <v>1002</v>
      </c>
      <c r="D258" s="34" t="s">
        <v>1017</v>
      </c>
      <c r="E258" s="41" t="s">
        <v>1304</v>
      </c>
      <c r="F258" s="43" t="s">
        <v>417</v>
      </c>
      <c r="G258" s="41"/>
      <c r="H258" s="41"/>
      <c r="I258" s="167" t="s">
        <v>349</v>
      </c>
      <c r="J258" s="167"/>
      <c r="K258" s="167"/>
      <c r="L258" s="167"/>
      <c r="M258" s="167"/>
      <c r="N258" s="41" t="s">
        <v>32</v>
      </c>
      <c r="O258" s="3">
        <v>0</v>
      </c>
      <c r="P258" s="3">
        <v>0</v>
      </c>
      <c r="Q258" s="66">
        <v>1.97</v>
      </c>
      <c r="R258" s="3"/>
      <c r="S258" s="3"/>
      <c r="T258" s="3"/>
      <c r="U258" s="67">
        <f t="shared" si="21"/>
        <v>0</v>
      </c>
      <c r="V258" s="67">
        <f t="shared" si="22"/>
        <v>1.97</v>
      </c>
      <c r="W258" s="3"/>
      <c r="X258" s="3"/>
      <c r="Y258" s="3"/>
      <c r="Z258" s="67">
        <f t="shared" si="23"/>
        <v>0</v>
      </c>
      <c r="AA258" s="67">
        <f t="shared" si="24"/>
        <v>1.97</v>
      </c>
      <c r="AB258" s="3"/>
      <c r="AC258" s="3"/>
      <c r="AD258" s="3"/>
      <c r="AE258" s="67">
        <f t="shared" si="25"/>
        <v>0</v>
      </c>
      <c r="AF258" s="67">
        <f t="shared" si="26"/>
        <v>1.97</v>
      </c>
    </row>
    <row r="259" spans="1:32" ht="46.8">
      <c r="A259" s="41">
        <f t="shared" si="27"/>
        <v>257</v>
      </c>
      <c r="B259" s="34"/>
      <c r="C259" s="34" t="s">
        <v>1002</v>
      </c>
      <c r="D259" s="34" t="s">
        <v>1017</v>
      </c>
      <c r="E259" s="41" t="s">
        <v>1305</v>
      </c>
      <c r="F259" s="43" t="s">
        <v>418</v>
      </c>
      <c r="G259" s="41"/>
      <c r="H259" s="41"/>
      <c r="I259" s="167" t="s">
        <v>349</v>
      </c>
      <c r="J259" s="167"/>
      <c r="K259" s="167"/>
      <c r="L259" s="167"/>
      <c r="M259" s="167"/>
      <c r="N259" s="41" t="s">
        <v>32</v>
      </c>
      <c r="O259" s="3">
        <v>0</v>
      </c>
      <c r="P259" s="66">
        <v>1.1299999999999999</v>
      </c>
      <c r="Q259" s="3">
        <v>0</v>
      </c>
      <c r="R259" s="3"/>
      <c r="S259" s="3"/>
      <c r="T259" s="3"/>
      <c r="U259" s="67">
        <f t="shared" si="21"/>
        <v>1.1299999999999999</v>
      </c>
      <c r="V259" s="67">
        <f t="shared" si="22"/>
        <v>0</v>
      </c>
      <c r="W259" s="3"/>
      <c r="X259" s="3"/>
      <c r="Y259" s="3"/>
      <c r="Z259" s="67">
        <f t="shared" si="23"/>
        <v>1.1299999999999999</v>
      </c>
      <c r="AA259" s="67">
        <f t="shared" si="24"/>
        <v>0</v>
      </c>
      <c r="AB259" s="3"/>
      <c r="AC259" s="3"/>
      <c r="AD259" s="3"/>
      <c r="AE259" s="67">
        <f t="shared" si="25"/>
        <v>1.1299999999999999</v>
      </c>
      <c r="AF259" s="67">
        <f t="shared" si="26"/>
        <v>0</v>
      </c>
    </row>
    <row r="260" spans="1:32" ht="46.8">
      <c r="A260" s="41">
        <f t="shared" si="27"/>
        <v>258</v>
      </c>
      <c r="B260" s="34"/>
      <c r="C260" s="34" t="s">
        <v>1002</v>
      </c>
      <c r="D260" s="34" t="s">
        <v>1017</v>
      </c>
      <c r="E260" s="41" t="s">
        <v>1306</v>
      </c>
      <c r="F260" s="43" t="s">
        <v>419</v>
      </c>
      <c r="G260" s="41"/>
      <c r="H260" s="41"/>
      <c r="I260" s="167" t="s">
        <v>349</v>
      </c>
      <c r="J260" s="167"/>
      <c r="K260" s="167"/>
      <c r="L260" s="167"/>
      <c r="M260" s="167"/>
      <c r="N260" s="41" t="s">
        <v>32</v>
      </c>
      <c r="O260" s="3">
        <v>0</v>
      </c>
      <c r="P260" s="3">
        <v>0</v>
      </c>
      <c r="Q260" s="66">
        <v>0.2</v>
      </c>
      <c r="R260" s="3"/>
      <c r="S260" s="3"/>
      <c r="T260" s="3"/>
      <c r="U260" s="67">
        <f t="shared" ref="U260:U323" si="28">P260+S260+T260</f>
        <v>0</v>
      </c>
      <c r="V260" s="67">
        <f t="shared" ref="V260:V323" si="29">Q260+R260-S260-T260</f>
        <v>0.2</v>
      </c>
      <c r="W260" s="3"/>
      <c r="X260" s="3"/>
      <c r="Y260" s="3"/>
      <c r="Z260" s="67">
        <f t="shared" ref="Z260:Z323" si="30">U260+X260+Y260</f>
        <v>0</v>
      </c>
      <c r="AA260" s="67">
        <f t="shared" ref="AA260:AA323" si="31">V260+W260-X260-Y260</f>
        <v>0.2</v>
      </c>
      <c r="AB260" s="3"/>
      <c r="AC260" s="3"/>
      <c r="AD260" s="3"/>
      <c r="AE260" s="67">
        <f t="shared" ref="AE260:AE323" si="32">Z260+AC260+AD260</f>
        <v>0</v>
      </c>
      <c r="AF260" s="67">
        <f t="shared" ref="AF260:AF323" si="33">AA260+AB260-AC260-AD260</f>
        <v>0.2</v>
      </c>
    </row>
    <row r="261" spans="1:32" ht="46.8">
      <c r="A261" s="41">
        <f t="shared" ref="A261:A324" si="34">A260+1</f>
        <v>259</v>
      </c>
      <c r="B261" s="34"/>
      <c r="C261" s="34" t="s">
        <v>1002</v>
      </c>
      <c r="D261" s="34" t="s">
        <v>1017</v>
      </c>
      <c r="E261" s="41" t="s">
        <v>1307</v>
      </c>
      <c r="F261" s="43" t="s">
        <v>420</v>
      </c>
      <c r="G261" s="41"/>
      <c r="H261" s="41"/>
      <c r="I261" s="167" t="s">
        <v>349</v>
      </c>
      <c r="J261" s="167"/>
      <c r="K261" s="167"/>
      <c r="L261" s="167"/>
      <c r="M261" s="167"/>
      <c r="N261" s="41" t="s">
        <v>32</v>
      </c>
      <c r="O261" s="3">
        <v>0</v>
      </c>
      <c r="P261" s="3">
        <v>0</v>
      </c>
      <c r="Q261" s="66">
        <v>0.11</v>
      </c>
      <c r="R261" s="3"/>
      <c r="S261" s="3"/>
      <c r="T261" s="3"/>
      <c r="U261" s="67">
        <f t="shared" si="28"/>
        <v>0</v>
      </c>
      <c r="V261" s="67">
        <f t="shared" si="29"/>
        <v>0.11</v>
      </c>
      <c r="W261" s="3"/>
      <c r="X261" s="3"/>
      <c r="Y261" s="3"/>
      <c r="Z261" s="67">
        <f t="shared" si="30"/>
        <v>0</v>
      </c>
      <c r="AA261" s="67">
        <f t="shared" si="31"/>
        <v>0.11</v>
      </c>
      <c r="AB261" s="3"/>
      <c r="AC261" s="3"/>
      <c r="AD261" s="3"/>
      <c r="AE261" s="67">
        <f t="shared" si="32"/>
        <v>0</v>
      </c>
      <c r="AF261" s="67">
        <f t="shared" si="33"/>
        <v>0.11</v>
      </c>
    </row>
    <row r="262" spans="1:32" ht="46.8">
      <c r="A262" s="41">
        <f t="shared" si="34"/>
        <v>260</v>
      </c>
      <c r="B262" s="34"/>
      <c r="C262" s="34" t="s">
        <v>1002</v>
      </c>
      <c r="D262" s="34" t="s">
        <v>1017</v>
      </c>
      <c r="E262" s="41" t="s">
        <v>1309</v>
      </c>
      <c r="F262" s="43" t="s">
        <v>421</v>
      </c>
      <c r="G262" s="41"/>
      <c r="H262" s="41"/>
      <c r="I262" s="167" t="s">
        <v>349</v>
      </c>
      <c r="J262" s="167"/>
      <c r="K262" s="167"/>
      <c r="L262" s="167"/>
      <c r="M262" s="167"/>
      <c r="N262" s="41" t="s">
        <v>32</v>
      </c>
      <c r="O262" s="3">
        <v>0</v>
      </c>
      <c r="P262" s="3">
        <v>0</v>
      </c>
      <c r="Q262" s="66">
        <v>5</v>
      </c>
      <c r="R262" s="3"/>
      <c r="S262" s="3"/>
      <c r="T262" s="3"/>
      <c r="U262" s="67">
        <f t="shared" si="28"/>
        <v>0</v>
      </c>
      <c r="V262" s="67">
        <f t="shared" si="29"/>
        <v>5</v>
      </c>
      <c r="W262" s="3"/>
      <c r="X262" s="3"/>
      <c r="Y262" s="3"/>
      <c r="Z262" s="67">
        <f t="shared" si="30"/>
        <v>0</v>
      </c>
      <c r="AA262" s="67">
        <f t="shared" si="31"/>
        <v>5</v>
      </c>
      <c r="AB262" s="3"/>
      <c r="AC262" s="3"/>
      <c r="AD262" s="3"/>
      <c r="AE262" s="67">
        <f t="shared" si="32"/>
        <v>0</v>
      </c>
      <c r="AF262" s="67">
        <f t="shared" si="33"/>
        <v>5</v>
      </c>
    </row>
    <row r="263" spans="1:32" ht="46.8">
      <c r="A263" s="41">
        <f t="shared" si="34"/>
        <v>261</v>
      </c>
      <c r="B263" s="34" t="s">
        <v>964</v>
      </c>
      <c r="C263" s="34" t="s">
        <v>1002</v>
      </c>
      <c r="D263" s="34" t="s">
        <v>1017</v>
      </c>
      <c r="E263" s="41" t="s">
        <v>1310</v>
      </c>
      <c r="F263" s="43" t="s">
        <v>422</v>
      </c>
      <c r="G263" s="41"/>
      <c r="H263" s="41"/>
      <c r="I263" s="167" t="s">
        <v>349</v>
      </c>
      <c r="J263" s="167"/>
      <c r="K263" s="167"/>
      <c r="L263" s="167"/>
      <c r="M263" s="167"/>
      <c r="N263" s="41" t="s">
        <v>32</v>
      </c>
      <c r="O263" s="3">
        <v>0</v>
      </c>
      <c r="P263" s="66">
        <v>0.5</v>
      </c>
      <c r="Q263" s="3">
        <v>0</v>
      </c>
      <c r="R263" s="3"/>
      <c r="S263" s="3"/>
      <c r="T263" s="3"/>
      <c r="U263" s="67">
        <f t="shared" si="28"/>
        <v>0.5</v>
      </c>
      <c r="V263" s="67">
        <f t="shared" si="29"/>
        <v>0</v>
      </c>
      <c r="W263" s="3"/>
      <c r="X263" s="3"/>
      <c r="Y263" s="3"/>
      <c r="Z263" s="67">
        <f t="shared" si="30"/>
        <v>0.5</v>
      </c>
      <c r="AA263" s="67">
        <f t="shared" si="31"/>
        <v>0</v>
      </c>
      <c r="AB263" s="3"/>
      <c r="AC263" s="3"/>
      <c r="AD263" s="3"/>
      <c r="AE263" s="67">
        <f t="shared" si="32"/>
        <v>0.5</v>
      </c>
      <c r="AF263" s="67">
        <f t="shared" si="33"/>
        <v>0</v>
      </c>
    </row>
    <row r="264" spans="1:32" ht="46.8">
      <c r="A264" s="41">
        <f t="shared" si="34"/>
        <v>262</v>
      </c>
      <c r="B264" s="34"/>
      <c r="C264" s="34" t="s">
        <v>1002</v>
      </c>
      <c r="D264" s="34" t="s">
        <v>1017</v>
      </c>
      <c r="E264" s="41" t="s">
        <v>1311</v>
      </c>
      <c r="F264" s="43" t="s">
        <v>423</v>
      </c>
      <c r="G264" s="41"/>
      <c r="H264" s="41"/>
      <c r="I264" s="167" t="s">
        <v>349</v>
      </c>
      <c r="J264" s="167"/>
      <c r="K264" s="167"/>
      <c r="L264" s="167"/>
      <c r="M264" s="167"/>
      <c r="N264" s="41" t="s">
        <v>32</v>
      </c>
      <c r="O264" s="3">
        <v>0</v>
      </c>
      <c r="P264" s="66">
        <v>24.41</v>
      </c>
      <c r="Q264" s="66">
        <v>0</v>
      </c>
      <c r="R264" s="3"/>
      <c r="S264" s="3"/>
      <c r="T264" s="3"/>
      <c r="U264" s="67">
        <f t="shared" si="28"/>
        <v>24.41</v>
      </c>
      <c r="V264" s="67">
        <f t="shared" si="29"/>
        <v>0</v>
      </c>
      <c r="W264" s="3"/>
      <c r="X264" s="3"/>
      <c r="Y264" s="3"/>
      <c r="Z264" s="67">
        <f t="shared" si="30"/>
        <v>24.41</v>
      </c>
      <c r="AA264" s="67">
        <f t="shared" si="31"/>
        <v>0</v>
      </c>
      <c r="AB264" s="3"/>
      <c r="AC264" s="3"/>
      <c r="AD264" s="3"/>
      <c r="AE264" s="67">
        <f t="shared" si="32"/>
        <v>24.41</v>
      </c>
      <c r="AF264" s="67">
        <f t="shared" si="33"/>
        <v>0</v>
      </c>
    </row>
    <row r="265" spans="1:32" ht="46.8">
      <c r="A265" s="41">
        <f t="shared" si="34"/>
        <v>263</v>
      </c>
      <c r="B265" s="34" t="s">
        <v>965</v>
      </c>
      <c r="C265" s="34" t="s">
        <v>1002</v>
      </c>
      <c r="D265" s="34" t="s">
        <v>1017</v>
      </c>
      <c r="E265" s="41" t="s">
        <v>1312</v>
      </c>
      <c r="F265" s="43" t="s">
        <v>424</v>
      </c>
      <c r="G265" s="41"/>
      <c r="H265" s="41"/>
      <c r="I265" s="167" t="s">
        <v>349</v>
      </c>
      <c r="J265" s="167"/>
      <c r="K265" s="167"/>
      <c r="L265" s="167"/>
      <c r="M265" s="167"/>
      <c r="N265" s="41" t="s">
        <v>32</v>
      </c>
      <c r="O265" s="3">
        <v>0</v>
      </c>
      <c r="P265" s="66">
        <v>42.27</v>
      </c>
      <c r="Q265" s="66">
        <v>0</v>
      </c>
      <c r="R265" s="3"/>
      <c r="S265" s="3"/>
      <c r="T265" s="3"/>
      <c r="U265" s="67">
        <f t="shared" si="28"/>
        <v>42.27</v>
      </c>
      <c r="V265" s="67">
        <f t="shared" si="29"/>
        <v>0</v>
      </c>
      <c r="W265" s="3"/>
      <c r="X265" s="3"/>
      <c r="Y265" s="3"/>
      <c r="Z265" s="67">
        <f t="shared" si="30"/>
        <v>42.27</v>
      </c>
      <c r="AA265" s="67">
        <f t="shared" si="31"/>
        <v>0</v>
      </c>
      <c r="AB265" s="3"/>
      <c r="AC265" s="3"/>
      <c r="AD265" s="3"/>
      <c r="AE265" s="67">
        <f t="shared" si="32"/>
        <v>42.27</v>
      </c>
      <c r="AF265" s="67">
        <f t="shared" si="33"/>
        <v>0</v>
      </c>
    </row>
    <row r="266" spans="1:32" ht="46.8">
      <c r="A266" s="41">
        <f t="shared" si="34"/>
        <v>264</v>
      </c>
      <c r="B266" s="34" t="s">
        <v>966</v>
      </c>
      <c r="C266" s="34" t="s">
        <v>1002</v>
      </c>
      <c r="D266" s="34" t="s">
        <v>1017</v>
      </c>
      <c r="E266" s="41" t="s">
        <v>1313</v>
      </c>
      <c r="F266" s="43" t="s">
        <v>425</v>
      </c>
      <c r="G266" s="41"/>
      <c r="H266" s="41"/>
      <c r="I266" s="167" t="s">
        <v>349</v>
      </c>
      <c r="J266" s="167"/>
      <c r="K266" s="167"/>
      <c r="L266" s="167"/>
      <c r="M266" s="167"/>
      <c r="N266" s="41" t="s">
        <v>32</v>
      </c>
      <c r="O266" s="3">
        <v>0</v>
      </c>
      <c r="P266" s="66">
        <v>27.65</v>
      </c>
      <c r="Q266" s="3">
        <v>0</v>
      </c>
      <c r="R266" s="3"/>
      <c r="S266" s="3"/>
      <c r="T266" s="3"/>
      <c r="U266" s="67">
        <f t="shared" si="28"/>
        <v>27.65</v>
      </c>
      <c r="V266" s="67">
        <f t="shared" si="29"/>
        <v>0</v>
      </c>
      <c r="W266" s="3"/>
      <c r="X266" s="3"/>
      <c r="Y266" s="3"/>
      <c r="Z266" s="67">
        <f t="shared" si="30"/>
        <v>27.65</v>
      </c>
      <c r="AA266" s="67">
        <f t="shared" si="31"/>
        <v>0</v>
      </c>
      <c r="AB266" s="3"/>
      <c r="AC266" s="3"/>
      <c r="AD266" s="3"/>
      <c r="AE266" s="67">
        <f t="shared" si="32"/>
        <v>27.65</v>
      </c>
      <c r="AF266" s="67">
        <f t="shared" si="33"/>
        <v>0</v>
      </c>
    </row>
    <row r="267" spans="1:32" ht="46.8">
      <c r="A267" s="41">
        <f t="shared" si="34"/>
        <v>265</v>
      </c>
      <c r="B267" s="34" t="s">
        <v>967</v>
      </c>
      <c r="C267" s="34" t="s">
        <v>1002</v>
      </c>
      <c r="D267" s="34" t="s">
        <v>1017</v>
      </c>
      <c r="E267" s="41" t="s">
        <v>1314</v>
      </c>
      <c r="F267" s="43" t="s">
        <v>426</v>
      </c>
      <c r="G267" s="41"/>
      <c r="H267" s="41"/>
      <c r="I267" s="167" t="s">
        <v>349</v>
      </c>
      <c r="J267" s="167"/>
      <c r="K267" s="167"/>
      <c r="L267" s="167"/>
      <c r="M267" s="167"/>
      <c r="N267" s="41" t="s">
        <v>32</v>
      </c>
      <c r="O267" s="3">
        <v>0</v>
      </c>
      <c r="P267" s="66">
        <v>61.16</v>
      </c>
      <c r="Q267" s="3">
        <v>0</v>
      </c>
      <c r="R267" s="3"/>
      <c r="S267" s="3"/>
      <c r="T267" s="3"/>
      <c r="U267" s="67">
        <f t="shared" si="28"/>
        <v>61.16</v>
      </c>
      <c r="V267" s="67">
        <f t="shared" si="29"/>
        <v>0</v>
      </c>
      <c r="W267" s="3"/>
      <c r="X267" s="3"/>
      <c r="Y267" s="3"/>
      <c r="Z267" s="67">
        <f t="shared" si="30"/>
        <v>61.16</v>
      </c>
      <c r="AA267" s="67">
        <f t="shared" si="31"/>
        <v>0</v>
      </c>
      <c r="AB267" s="3"/>
      <c r="AC267" s="3"/>
      <c r="AD267" s="3"/>
      <c r="AE267" s="67">
        <f t="shared" si="32"/>
        <v>61.16</v>
      </c>
      <c r="AF267" s="67">
        <f t="shared" si="33"/>
        <v>0</v>
      </c>
    </row>
    <row r="268" spans="1:32" ht="46.8">
      <c r="A268" s="41">
        <f t="shared" si="34"/>
        <v>266</v>
      </c>
      <c r="B268" s="34" t="s">
        <v>968</v>
      </c>
      <c r="C268" s="34" t="s">
        <v>1002</v>
      </c>
      <c r="D268" s="34" t="s">
        <v>1017</v>
      </c>
      <c r="E268" s="41" t="s">
        <v>1315</v>
      </c>
      <c r="F268" s="43" t="s">
        <v>427</v>
      </c>
      <c r="G268" s="41"/>
      <c r="H268" s="41"/>
      <c r="I268" s="167" t="s">
        <v>349</v>
      </c>
      <c r="J268" s="167"/>
      <c r="K268" s="167"/>
      <c r="L268" s="167"/>
      <c r="M268" s="167"/>
      <c r="N268" s="41" t="s">
        <v>32</v>
      </c>
      <c r="O268" s="3">
        <v>0</v>
      </c>
      <c r="P268" s="66">
        <v>2.08</v>
      </c>
      <c r="Q268" s="3">
        <v>0</v>
      </c>
      <c r="R268" s="3"/>
      <c r="S268" s="3"/>
      <c r="T268" s="3"/>
      <c r="U268" s="67">
        <f t="shared" si="28"/>
        <v>2.08</v>
      </c>
      <c r="V268" s="67">
        <f t="shared" si="29"/>
        <v>0</v>
      </c>
      <c r="W268" s="3"/>
      <c r="X268" s="3"/>
      <c r="Y268" s="3"/>
      <c r="Z268" s="67">
        <f t="shared" si="30"/>
        <v>2.08</v>
      </c>
      <c r="AA268" s="67">
        <f t="shared" si="31"/>
        <v>0</v>
      </c>
      <c r="AB268" s="3"/>
      <c r="AC268" s="3"/>
      <c r="AD268" s="3"/>
      <c r="AE268" s="67">
        <f t="shared" si="32"/>
        <v>2.08</v>
      </c>
      <c r="AF268" s="67">
        <f t="shared" si="33"/>
        <v>0</v>
      </c>
    </row>
    <row r="269" spans="1:32" ht="46.8">
      <c r="A269" s="41">
        <f t="shared" si="34"/>
        <v>267</v>
      </c>
      <c r="B269" s="34"/>
      <c r="C269" s="34" t="s">
        <v>1002</v>
      </c>
      <c r="D269" s="34" t="s">
        <v>1017</v>
      </c>
      <c r="E269" s="41" t="s">
        <v>1316</v>
      </c>
      <c r="F269" s="43" t="s">
        <v>428</v>
      </c>
      <c r="G269" s="41"/>
      <c r="H269" s="41"/>
      <c r="I269" s="167" t="s">
        <v>349</v>
      </c>
      <c r="J269" s="167"/>
      <c r="K269" s="167"/>
      <c r="L269" s="167"/>
      <c r="M269" s="167"/>
      <c r="N269" s="41" t="s">
        <v>32</v>
      </c>
      <c r="O269" s="3">
        <v>0</v>
      </c>
      <c r="P269" s="66">
        <v>6.53</v>
      </c>
      <c r="Q269" s="3">
        <v>0</v>
      </c>
      <c r="R269" s="3"/>
      <c r="S269" s="3"/>
      <c r="T269" s="3"/>
      <c r="U269" s="67">
        <f t="shared" si="28"/>
        <v>6.53</v>
      </c>
      <c r="V269" s="67">
        <f t="shared" si="29"/>
        <v>0</v>
      </c>
      <c r="W269" s="3"/>
      <c r="X269" s="3"/>
      <c r="Y269" s="3"/>
      <c r="Z269" s="67">
        <f t="shared" si="30"/>
        <v>6.53</v>
      </c>
      <c r="AA269" s="67">
        <f t="shared" si="31"/>
        <v>0</v>
      </c>
      <c r="AB269" s="3"/>
      <c r="AC269" s="3"/>
      <c r="AD269" s="3"/>
      <c r="AE269" s="67">
        <f t="shared" si="32"/>
        <v>6.53</v>
      </c>
      <c r="AF269" s="67">
        <f t="shared" si="33"/>
        <v>0</v>
      </c>
    </row>
    <row r="270" spans="1:32" ht="46.8">
      <c r="A270" s="41">
        <f t="shared" si="34"/>
        <v>268</v>
      </c>
      <c r="B270" s="34" t="s">
        <v>969</v>
      </c>
      <c r="C270" s="34" t="s">
        <v>1002</v>
      </c>
      <c r="D270" s="34" t="s">
        <v>1017</v>
      </c>
      <c r="E270" s="41" t="s">
        <v>1317</v>
      </c>
      <c r="F270" s="43" t="s">
        <v>429</v>
      </c>
      <c r="G270" s="41"/>
      <c r="H270" s="41"/>
      <c r="I270" s="167" t="s">
        <v>349</v>
      </c>
      <c r="J270" s="167"/>
      <c r="K270" s="167"/>
      <c r="L270" s="167"/>
      <c r="M270" s="167"/>
      <c r="N270" s="41" t="s">
        <v>32</v>
      </c>
      <c r="O270" s="3">
        <v>0</v>
      </c>
      <c r="P270" s="66">
        <v>1.89</v>
      </c>
      <c r="Q270" s="3">
        <v>0</v>
      </c>
      <c r="R270" s="3"/>
      <c r="S270" s="3"/>
      <c r="T270" s="3"/>
      <c r="U270" s="67">
        <f t="shared" si="28"/>
        <v>1.89</v>
      </c>
      <c r="V270" s="67">
        <f t="shared" si="29"/>
        <v>0</v>
      </c>
      <c r="W270" s="3"/>
      <c r="X270" s="3"/>
      <c r="Y270" s="3"/>
      <c r="Z270" s="67">
        <f t="shared" si="30"/>
        <v>1.89</v>
      </c>
      <c r="AA270" s="67">
        <f t="shared" si="31"/>
        <v>0</v>
      </c>
      <c r="AB270" s="3"/>
      <c r="AC270" s="3"/>
      <c r="AD270" s="3"/>
      <c r="AE270" s="67">
        <f t="shared" si="32"/>
        <v>1.89</v>
      </c>
      <c r="AF270" s="67">
        <f t="shared" si="33"/>
        <v>0</v>
      </c>
    </row>
    <row r="271" spans="1:32" ht="62.4">
      <c r="A271" s="41">
        <f t="shared" si="34"/>
        <v>269</v>
      </c>
      <c r="B271" s="34" t="s">
        <v>970</v>
      </c>
      <c r="C271" s="34" t="s">
        <v>1002</v>
      </c>
      <c r="D271" s="34" t="s">
        <v>1017</v>
      </c>
      <c r="E271" s="41" t="s">
        <v>1318</v>
      </c>
      <c r="F271" s="43" t="s">
        <v>430</v>
      </c>
      <c r="G271" s="41"/>
      <c r="H271" s="41"/>
      <c r="I271" s="167" t="s">
        <v>349</v>
      </c>
      <c r="J271" s="167"/>
      <c r="K271" s="167"/>
      <c r="L271" s="167"/>
      <c r="M271" s="167"/>
      <c r="N271" s="41" t="s">
        <v>32</v>
      </c>
      <c r="O271" s="3">
        <v>0</v>
      </c>
      <c r="P271" s="66">
        <v>7.97</v>
      </c>
      <c r="Q271" s="3">
        <v>0</v>
      </c>
      <c r="R271" s="3"/>
      <c r="S271" s="3"/>
      <c r="T271" s="3"/>
      <c r="U271" s="67">
        <f t="shared" si="28"/>
        <v>7.97</v>
      </c>
      <c r="V271" s="67">
        <f t="shared" si="29"/>
        <v>0</v>
      </c>
      <c r="W271" s="3"/>
      <c r="X271" s="3"/>
      <c r="Y271" s="3"/>
      <c r="Z271" s="67">
        <f t="shared" si="30"/>
        <v>7.97</v>
      </c>
      <c r="AA271" s="67">
        <f t="shared" si="31"/>
        <v>0</v>
      </c>
      <c r="AB271" s="3"/>
      <c r="AC271" s="3"/>
      <c r="AD271" s="3"/>
      <c r="AE271" s="67">
        <f t="shared" si="32"/>
        <v>7.97</v>
      </c>
      <c r="AF271" s="67">
        <f t="shared" si="33"/>
        <v>0</v>
      </c>
    </row>
    <row r="272" spans="1:32" ht="46.8">
      <c r="A272" s="41">
        <f t="shared" si="34"/>
        <v>270</v>
      </c>
      <c r="B272" s="34" t="s">
        <v>971</v>
      </c>
      <c r="C272" s="34" t="s">
        <v>1002</v>
      </c>
      <c r="D272" s="34" t="s">
        <v>1017</v>
      </c>
      <c r="E272" s="41" t="s">
        <v>1319</v>
      </c>
      <c r="F272" s="43" t="s">
        <v>431</v>
      </c>
      <c r="G272" s="41"/>
      <c r="H272" s="41"/>
      <c r="I272" s="167" t="s">
        <v>349</v>
      </c>
      <c r="J272" s="167"/>
      <c r="K272" s="167"/>
      <c r="L272" s="167"/>
      <c r="M272" s="167"/>
      <c r="N272" s="41" t="s">
        <v>32</v>
      </c>
      <c r="O272" s="3">
        <v>0</v>
      </c>
      <c r="P272" s="66">
        <v>1</v>
      </c>
      <c r="Q272" s="3">
        <v>0</v>
      </c>
      <c r="R272" s="3"/>
      <c r="S272" s="3"/>
      <c r="T272" s="3"/>
      <c r="U272" s="67">
        <f t="shared" si="28"/>
        <v>1</v>
      </c>
      <c r="V272" s="67">
        <f t="shared" si="29"/>
        <v>0</v>
      </c>
      <c r="W272" s="3"/>
      <c r="X272" s="3"/>
      <c r="Y272" s="3"/>
      <c r="Z272" s="67">
        <f t="shared" si="30"/>
        <v>1</v>
      </c>
      <c r="AA272" s="67">
        <f t="shared" si="31"/>
        <v>0</v>
      </c>
      <c r="AB272" s="3"/>
      <c r="AC272" s="3"/>
      <c r="AD272" s="3"/>
      <c r="AE272" s="67">
        <f t="shared" si="32"/>
        <v>1</v>
      </c>
      <c r="AF272" s="67">
        <f t="shared" si="33"/>
        <v>0</v>
      </c>
    </row>
    <row r="273" spans="1:32" ht="46.8">
      <c r="A273" s="41">
        <f t="shared" si="34"/>
        <v>271</v>
      </c>
      <c r="B273" s="34" t="s">
        <v>972</v>
      </c>
      <c r="C273" s="34" t="s">
        <v>1002</v>
      </c>
      <c r="D273" s="34" t="s">
        <v>1017</v>
      </c>
      <c r="E273" s="41" t="s">
        <v>1320</v>
      </c>
      <c r="F273" s="43" t="s">
        <v>432</v>
      </c>
      <c r="G273" s="41"/>
      <c r="H273" s="41"/>
      <c r="I273" s="167" t="s">
        <v>349</v>
      </c>
      <c r="J273" s="167"/>
      <c r="K273" s="167"/>
      <c r="L273" s="167"/>
      <c r="M273" s="167"/>
      <c r="N273" s="41" t="s">
        <v>32</v>
      </c>
      <c r="O273" s="3">
        <v>0</v>
      </c>
      <c r="P273" s="66">
        <v>0.83</v>
      </c>
      <c r="Q273" s="3">
        <v>0</v>
      </c>
      <c r="R273" s="3"/>
      <c r="S273" s="3"/>
      <c r="T273" s="3"/>
      <c r="U273" s="67">
        <f t="shared" si="28"/>
        <v>0.83</v>
      </c>
      <c r="V273" s="67">
        <f t="shared" si="29"/>
        <v>0</v>
      </c>
      <c r="W273" s="3"/>
      <c r="X273" s="3"/>
      <c r="Y273" s="3"/>
      <c r="Z273" s="67">
        <f t="shared" si="30"/>
        <v>0.83</v>
      </c>
      <c r="AA273" s="67">
        <f t="shared" si="31"/>
        <v>0</v>
      </c>
      <c r="AB273" s="3"/>
      <c r="AC273" s="3"/>
      <c r="AD273" s="3"/>
      <c r="AE273" s="67">
        <f t="shared" si="32"/>
        <v>0.83</v>
      </c>
      <c r="AF273" s="67">
        <f t="shared" si="33"/>
        <v>0</v>
      </c>
    </row>
    <row r="274" spans="1:32" ht="46.8">
      <c r="A274" s="41">
        <f t="shared" si="34"/>
        <v>272</v>
      </c>
      <c r="B274" s="34" t="s">
        <v>973</v>
      </c>
      <c r="C274" s="34" t="s">
        <v>1002</v>
      </c>
      <c r="D274" s="34" t="s">
        <v>1017</v>
      </c>
      <c r="E274" s="41" t="s">
        <v>1321</v>
      </c>
      <c r="F274" s="43" t="s">
        <v>433</v>
      </c>
      <c r="G274" s="41"/>
      <c r="H274" s="41"/>
      <c r="I274" s="167" t="s">
        <v>349</v>
      </c>
      <c r="J274" s="167"/>
      <c r="K274" s="167"/>
      <c r="L274" s="167"/>
      <c r="M274" s="167"/>
      <c r="N274" s="41" t="s">
        <v>32</v>
      </c>
      <c r="O274" s="3">
        <v>0</v>
      </c>
      <c r="P274" s="66">
        <v>0.54</v>
      </c>
      <c r="Q274" s="3">
        <v>0</v>
      </c>
      <c r="R274" s="3"/>
      <c r="S274" s="3"/>
      <c r="T274" s="3"/>
      <c r="U274" s="67">
        <f t="shared" si="28"/>
        <v>0.54</v>
      </c>
      <c r="V274" s="67">
        <f t="shared" si="29"/>
        <v>0</v>
      </c>
      <c r="W274" s="3"/>
      <c r="X274" s="3"/>
      <c r="Y274" s="3"/>
      <c r="Z274" s="67">
        <f t="shared" si="30"/>
        <v>0.54</v>
      </c>
      <c r="AA274" s="67">
        <f t="shared" si="31"/>
        <v>0</v>
      </c>
      <c r="AB274" s="3"/>
      <c r="AC274" s="3"/>
      <c r="AD274" s="3"/>
      <c r="AE274" s="67">
        <f t="shared" si="32"/>
        <v>0.54</v>
      </c>
      <c r="AF274" s="67">
        <f t="shared" si="33"/>
        <v>0</v>
      </c>
    </row>
    <row r="275" spans="1:32" ht="46.8">
      <c r="A275" s="41">
        <f t="shared" si="34"/>
        <v>273</v>
      </c>
      <c r="B275" s="34" t="s">
        <v>974</v>
      </c>
      <c r="C275" s="34" t="s">
        <v>1002</v>
      </c>
      <c r="D275" s="34" t="s">
        <v>1017</v>
      </c>
      <c r="E275" s="41" t="s">
        <v>1322</v>
      </c>
      <c r="F275" s="43" t="s">
        <v>434</v>
      </c>
      <c r="G275" s="41"/>
      <c r="H275" s="41"/>
      <c r="I275" s="167" t="s">
        <v>349</v>
      </c>
      <c r="J275" s="167"/>
      <c r="K275" s="167"/>
      <c r="L275" s="167"/>
      <c r="M275" s="167"/>
      <c r="N275" s="41" t="s">
        <v>32</v>
      </c>
      <c r="O275" s="65">
        <v>0.57999999999999996</v>
      </c>
      <c r="P275" s="66">
        <v>0.56999999999999995</v>
      </c>
      <c r="Q275" s="3">
        <v>0</v>
      </c>
      <c r="R275" s="3"/>
      <c r="S275" s="3"/>
      <c r="T275" s="3"/>
      <c r="U275" s="67">
        <f t="shared" si="28"/>
        <v>0.56999999999999995</v>
      </c>
      <c r="V275" s="67">
        <f t="shared" si="29"/>
        <v>0</v>
      </c>
      <c r="W275" s="3"/>
      <c r="X275" s="3"/>
      <c r="Y275" s="3"/>
      <c r="Z275" s="67">
        <f t="shared" si="30"/>
        <v>0.56999999999999995</v>
      </c>
      <c r="AA275" s="67">
        <f t="shared" si="31"/>
        <v>0</v>
      </c>
      <c r="AB275" s="3"/>
      <c r="AC275" s="3"/>
      <c r="AD275" s="3"/>
      <c r="AE275" s="67">
        <f t="shared" si="32"/>
        <v>0.56999999999999995</v>
      </c>
      <c r="AF275" s="67">
        <f t="shared" si="33"/>
        <v>0</v>
      </c>
    </row>
    <row r="276" spans="1:32" ht="62.4">
      <c r="A276" s="41">
        <f t="shared" si="34"/>
        <v>274</v>
      </c>
      <c r="B276" s="34"/>
      <c r="C276" s="34" t="s">
        <v>1002</v>
      </c>
      <c r="D276" s="34" t="s">
        <v>1017</v>
      </c>
      <c r="E276" s="41" t="s">
        <v>1323</v>
      </c>
      <c r="F276" s="43" t="s">
        <v>435</v>
      </c>
      <c r="G276" s="41"/>
      <c r="H276" s="41"/>
      <c r="I276" s="167" t="s">
        <v>349</v>
      </c>
      <c r="J276" s="167"/>
      <c r="K276" s="167"/>
      <c r="L276" s="167"/>
      <c r="M276" s="167"/>
      <c r="N276" s="41" t="s">
        <v>32</v>
      </c>
      <c r="O276" s="3">
        <v>0</v>
      </c>
      <c r="P276" s="66">
        <v>0.25</v>
      </c>
      <c r="Q276" s="66">
        <v>0.95</v>
      </c>
      <c r="R276" s="3"/>
      <c r="S276" s="3"/>
      <c r="T276" s="3"/>
      <c r="U276" s="67">
        <f t="shared" si="28"/>
        <v>0.25</v>
      </c>
      <c r="V276" s="67">
        <f t="shared" si="29"/>
        <v>0.95</v>
      </c>
      <c r="W276" s="3"/>
      <c r="X276" s="3"/>
      <c r="Y276" s="3"/>
      <c r="Z276" s="67">
        <f t="shared" si="30"/>
        <v>0.25</v>
      </c>
      <c r="AA276" s="67">
        <f t="shared" si="31"/>
        <v>0.95</v>
      </c>
      <c r="AB276" s="3"/>
      <c r="AC276" s="3"/>
      <c r="AD276" s="3"/>
      <c r="AE276" s="67">
        <f t="shared" si="32"/>
        <v>0.25</v>
      </c>
      <c r="AF276" s="67">
        <f t="shared" si="33"/>
        <v>0.95</v>
      </c>
    </row>
    <row r="277" spans="1:32" ht="46.8">
      <c r="A277" s="41">
        <f t="shared" si="34"/>
        <v>275</v>
      </c>
      <c r="B277" s="34" t="s">
        <v>975</v>
      </c>
      <c r="C277" s="34" t="s">
        <v>1002</v>
      </c>
      <c r="D277" s="34" t="s">
        <v>1017</v>
      </c>
      <c r="E277" s="41" t="s">
        <v>1324</v>
      </c>
      <c r="F277" s="43" t="s">
        <v>436</v>
      </c>
      <c r="G277" s="41"/>
      <c r="H277" s="41"/>
      <c r="I277" s="167" t="s">
        <v>349</v>
      </c>
      <c r="J277" s="167"/>
      <c r="K277" s="167"/>
      <c r="L277" s="167"/>
      <c r="M277" s="167"/>
      <c r="N277" s="41" t="s">
        <v>32</v>
      </c>
      <c r="O277" s="3">
        <v>0</v>
      </c>
      <c r="P277" s="66">
        <v>0.12</v>
      </c>
      <c r="Q277" s="3">
        <v>0</v>
      </c>
      <c r="R277" s="3"/>
      <c r="S277" s="3"/>
      <c r="T277" s="3"/>
      <c r="U277" s="67">
        <f t="shared" si="28"/>
        <v>0.12</v>
      </c>
      <c r="V277" s="67">
        <f t="shared" si="29"/>
        <v>0</v>
      </c>
      <c r="W277" s="3"/>
      <c r="X277" s="3"/>
      <c r="Y277" s="3"/>
      <c r="Z277" s="67">
        <f t="shared" si="30"/>
        <v>0.12</v>
      </c>
      <c r="AA277" s="67">
        <f t="shared" si="31"/>
        <v>0</v>
      </c>
      <c r="AB277" s="3"/>
      <c r="AC277" s="3"/>
      <c r="AD277" s="3"/>
      <c r="AE277" s="67">
        <f t="shared" si="32"/>
        <v>0.12</v>
      </c>
      <c r="AF277" s="67">
        <f t="shared" si="33"/>
        <v>0</v>
      </c>
    </row>
    <row r="278" spans="1:32" ht="46.8">
      <c r="A278" s="41">
        <f t="shared" si="34"/>
        <v>276</v>
      </c>
      <c r="B278" s="34"/>
      <c r="C278" s="34" t="s">
        <v>1002</v>
      </c>
      <c r="D278" s="34" t="s">
        <v>1017</v>
      </c>
      <c r="E278" s="41" t="s">
        <v>1325</v>
      </c>
      <c r="F278" s="43" t="s">
        <v>437</v>
      </c>
      <c r="G278" s="41"/>
      <c r="H278" s="41"/>
      <c r="I278" s="167" t="s">
        <v>349</v>
      </c>
      <c r="J278" s="167"/>
      <c r="K278" s="167"/>
      <c r="L278" s="167"/>
      <c r="M278" s="167"/>
      <c r="N278" s="41" t="s">
        <v>32</v>
      </c>
      <c r="O278" s="3">
        <v>0</v>
      </c>
      <c r="P278" s="66">
        <v>0.24</v>
      </c>
      <c r="Q278" s="3">
        <v>0</v>
      </c>
      <c r="R278" s="3"/>
      <c r="S278" s="3"/>
      <c r="T278" s="3"/>
      <c r="U278" s="67">
        <f t="shared" si="28"/>
        <v>0.24</v>
      </c>
      <c r="V278" s="67">
        <f t="shared" si="29"/>
        <v>0</v>
      </c>
      <c r="W278" s="3"/>
      <c r="X278" s="3"/>
      <c r="Y278" s="3"/>
      <c r="Z278" s="67">
        <f t="shared" si="30"/>
        <v>0.24</v>
      </c>
      <c r="AA278" s="67">
        <f t="shared" si="31"/>
        <v>0</v>
      </c>
      <c r="AB278" s="3"/>
      <c r="AC278" s="3"/>
      <c r="AD278" s="3"/>
      <c r="AE278" s="67">
        <f t="shared" si="32"/>
        <v>0.24</v>
      </c>
      <c r="AF278" s="67">
        <f t="shared" si="33"/>
        <v>0</v>
      </c>
    </row>
    <row r="279" spans="1:32" ht="62.4">
      <c r="A279" s="41">
        <f t="shared" si="34"/>
        <v>277</v>
      </c>
      <c r="B279" s="34" t="s">
        <v>976</v>
      </c>
      <c r="C279" s="34" t="s">
        <v>882</v>
      </c>
      <c r="D279" s="34" t="s">
        <v>1020</v>
      </c>
      <c r="E279" s="41" t="s">
        <v>1326</v>
      </c>
      <c r="F279" s="43" t="s">
        <v>438</v>
      </c>
      <c r="G279" s="41" t="s">
        <v>28</v>
      </c>
      <c r="H279" s="41"/>
      <c r="I279" s="64">
        <v>43486</v>
      </c>
      <c r="J279" s="64">
        <v>43486</v>
      </c>
      <c r="K279" s="41"/>
      <c r="L279" s="65">
        <v>92.55</v>
      </c>
      <c r="M279" s="65">
        <v>92.55</v>
      </c>
      <c r="N279" s="41" t="s">
        <v>32</v>
      </c>
      <c r="O279" s="65">
        <v>84.11</v>
      </c>
      <c r="P279" s="3">
        <v>0</v>
      </c>
      <c r="Q279" s="3">
        <v>0</v>
      </c>
      <c r="R279" s="3"/>
      <c r="S279" s="3"/>
      <c r="T279" s="3"/>
      <c r="U279" s="67">
        <f t="shared" si="28"/>
        <v>0</v>
      </c>
      <c r="V279" s="67">
        <f t="shared" si="29"/>
        <v>0</v>
      </c>
      <c r="W279" s="3"/>
      <c r="X279" s="3"/>
      <c r="Y279" s="3"/>
      <c r="Z279" s="67">
        <f t="shared" si="30"/>
        <v>0</v>
      </c>
      <c r="AA279" s="67">
        <f t="shared" si="31"/>
        <v>0</v>
      </c>
      <c r="AB279" s="3"/>
      <c r="AC279" s="3"/>
      <c r="AD279" s="3"/>
      <c r="AE279" s="67">
        <f t="shared" si="32"/>
        <v>0</v>
      </c>
      <c r="AF279" s="67">
        <f t="shared" si="33"/>
        <v>0</v>
      </c>
    </row>
    <row r="280" spans="1:32" ht="46.8">
      <c r="A280" s="41">
        <f t="shared" si="34"/>
        <v>278</v>
      </c>
      <c r="B280" s="34" t="s">
        <v>783</v>
      </c>
      <c r="C280" s="34" t="s">
        <v>1002</v>
      </c>
      <c r="D280" s="34" t="s">
        <v>1019</v>
      </c>
      <c r="E280" s="41" t="s">
        <v>1327</v>
      </c>
      <c r="F280" s="43" t="s">
        <v>439</v>
      </c>
      <c r="G280" s="41" t="s">
        <v>28</v>
      </c>
      <c r="H280" s="41">
        <v>18</v>
      </c>
      <c r="I280" s="64">
        <v>43486</v>
      </c>
      <c r="J280" s="64">
        <v>43486</v>
      </c>
      <c r="K280" s="41" t="s">
        <v>440</v>
      </c>
      <c r="L280" s="65">
        <v>86.59</v>
      </c>
      <c r="M280" s="65">
        <v>98.27</v>
      </c>
      <c r="N280" s="41" t="s">
        <v>32</v>
      </c>
      <c r="O280" s="65">
        <v>84.62</v>
      </c>
      <c r="P280" s="3">
        <v>0</v>
      </c>
      <c r="Q280" s="66">
        <v>76.282357700000006</v>
      </c>
      <c r="R280" s="25">
        <v>5.7689957999999999</v>
      </c>
      <c r="S280" s="3">
        <f>0.0171723+77.0153885+0.7607685+0.8096959+0.1487063+0.5219658+0.5344049+0.5028725+0.0467081+4.38068960895866-4.3806066448768</f>
        <v>80.357765764081847</v>
      </c>
      <c r="T280" s="3">
        <v>4.3806066448768002</v>
      </c>
      <c r="U280" s="67">
        <f t="shared" si="28"/>
        <v>84.738372408958654</v>
      </c>
      <c r="V280" s="67">
        <f t="shared" si="29"/>
        <v>-2.6870189089586427</v>
      </c>
      <c r="W280" s="3"/>
      <c r="X280" s="3"/>
      <c r="Y280" s="3"/>
      <c r="Z280" s="67">
        <f t="shared" si="30"/>
        <v>84.738372408958654</v>
      </c>
      <c r="AA280" s="67">
        <f t="shared" si="31"/>
        <v>-2.6870189089586427</v>
      </c>
      <c r="AB280" s="3"/>
      <c r="AC280" s="3"/>
      <c r="AD280" s="3"/>
      <c r="AE280" s="67">
        <f t="shared" si="32"/>
        <v>84.738372408958654</v>
      </c>
      <c r="AF280" s="67">
        <f t="shared" si="33"/>
        <v>-2.6870189089586427</v>
      </c>
    </row>
    <row r="281" spans="1:32" ht="46.8">
      <c r="A281" s="41">
        <f t="shared" si="34"/>
        <v>279</v>
      </c>
      <c r="B281" s="34" t="s">
        <v>786</v>
      </c>
      <c r="C281" s="34" t="s">
        <v>1002</v>
      </c>
      <c r="D281" s="34" t="s">
        <v>1019</v>
      </c>
      <c r="E281" s="41" t="s">
        <v>1328</v>
      </c>
      <c r="F281" s="43" t="s">
        <v>441</v>
      </c>
      <c r="G281" s="41" t="s">
        <v>28</v>
      </c>
      <c r="H281" s="41">
        <v>18</v>
      </c>
      <c r="I281" s="64">
        <v>43486</v>
      </c>
      <c r="J281" s="64">
        <v>43486</v>
      </c>
      <c r="K281" s="41" t="s">
        <v>440</v>
      </c>
      <c r="L281" s="65">
        <v>84.23</v>
      </c>
      <c r="M281" s="65">
        <v>93.49</v>
      </c>
      <c r="N281" s="41" t="s">
        <v>32</v>
      </c>
      <c r="O281" s="65">
        <v>83.69</v>
      </c>
      <c r="P281" s="3">
        <v>0</v>
      </c>
      <c r="Q281" s="66">
        <v>54.008905099999993</v>
      </c>
      <c r="R281" s="25">
        <v>18.217919200000001</v>
      </c>
      <c r="S281" s="3"/>
      <c r="T281" s="3"/>
      <c r="U281" s="67">
        <f t="shared" si="28"/>
        <v>0</v>
      </c>
      <c r="V281" s="67">
        <f t="shared" si="29"/>
        <v>72.22682429999999</v>
      </c>
      <c r="W281" s="154">
        <f>0.7219351+0.4114009+0.1211017+0.3740235+1.0688602+(O281-V281)</f>
        <v>14.160497100000008</v>
      </c>
      <c r="X281" s="3">
        <f>V281+W281</f>
        <v>86.38732139999999</v>
      </c>
      <c r="Y281" s="3"/>
      <c r="Z281" s="67">
        <f t="shared" si="30"/>
        <v>86.38732139999999</v>
      </c>
      <c r="AA281" s="67">
        <f t="shared" si="31"/>
        <v>0</v>
      </c>
      <c r="AB281" s="3"/>
      <c r="AC281" s="3"/>
      <c r="AD281" s="3"/>
      <c r="AE281" s="67">
        <f t="shared" si="32"/>
        <v>86.38732139999999</v>
      </c>
      <c r="AF281" s="67">
        <f t="shared" si="33"/>
        <v>0</v>
      </c>
    </row>
    <row r="282" spans="1:32" ht="78">
      <c r="A282" s="41">
        <f t="shared" si="34"/>
        <v>280</v>
      </c>
      <c r="B282" s="34" t="s">
        <v>797</v>
      </c>
      <c r="C282" s="34" t="s">
        <v>876</v>
      </c>
      <c r="D282" s="34" t="s">
        <v>1019</v>
      </c>
      <c r="E282" s="41" t="s">
        <v>1329</v>
      </c>
      <c r="F282" s="43" t="s">
        <v>442</v>
      </c>
      <c r="G282" s="41" t="s">
        <v>28</v>
      </c>
      <c r="H282" s="41">
        <v>5</v>
      </c>
      <c r="I282" s="64">
        <v>43486</v>
      </c>
      <c r="J282" s="64">
        <v>43486</v>
      </c>
      <c r="K282" s="41" t="s">
        <v>454</v>
      </c>
      <c r="L282" s="65">
        <v>105.28</v>
      </c>
      <c r="M282" s="65">
        <v>128.33000000000001</v>
      </c>
      <c r="N282" s="41" t="s">
        <v>32</v>
      </c>
      <c r="O282" s="65">
        <v>101.98</v>
      </c>
      <c r="P282" s="3">
        <v>0</v>
      </c>
      <c r="Q282" s="66">
        <v>97.908319999999989</v>
      </c>
      <c r="R282" s="25">
        <v>3.8011083999999999</v>
      </c>
      <c r="S282" s="3"/>
      <c r="T282" s="3"/>
      <c r="U282" s="67">
        <f t="shared" si="28"/>
        <v>0</v>
      </c>
      <c r="V282" s="67">
        <f t="shared" si="29"/>
        <v>101.70942839999999</v>
      </c>
      <c r="W282" s="154">
        <f>0.0910866+0.6665348</f>
        <v>0.7576214</v>
      </c>
      <c r="X282" s="3">
        <f>V282+W282</f>
        <v>102.4670498</v>
      </c>
      <c r="Y282" s="3"/>
      <c r="Z282" s="67">
        <f t="shared" si="30"/>
        <v>102.4670498</v>
      </c>
      <c r="AA282" s="67">
        <f t="shared" si="31"/>
        <v>0</v>
      </c>
      <c r="AB282" s="3"/>
      <c r="AC282" s="3"/>
      <c r="AD282" s="3"/>
      <c r="AE282" s="67">
        <f t="shared" si="32"/>
        <v>102.4670498</v>
      </c>
      <c r="AF282" s="67">
        <f t="shared" si="33"/>
        <v>0</v>
      </c>
    </row>
    <row r="283" spans="1:32" ht="62.4">
      <c r="A283" s="41">
        <f t="shared" si="34"/>
        <v>281</v>
      </c>
      <c r="B283" s="34" t="s">
        <v>977</v>
      </c>
      <c r="C283" s="34" t="s">
        <v>876</v>
      </c>
      <c r="D283" s="34" t="s">
        <v>1019</v>
      </c>
      <c r="E283" s="41" t="s">
        <v>1330</v>
      </c>
      <c r="F283" s="43" t="s">
        <v>443</v>
      </c>
      <c r="G283" s="41" t="s">
        <v>28</v>
      </c>
      <c r="H283" s="41"/>
      <c r="I283" s="64">
        <v>43480</v>
      </c>
      <c r="J283" s="64">
        <v>43480</v>
      </c>
      <c r="K283" s="41"/>
      <c r="L283" s="65">
        <v>29.14</v>
      </c>
      <c r="M283" s="65">
        <v>39.619999999999997</v>
      </c>
      <c r="N283" s="41" t="s">
        <v>32</v>
      </c>
      <c r="O283" s="65">
        <v>25.61</v>
      </c>
      <c r="P283" s="3">
        <v>0</v>
      </c>
      <c r="Q283" s="66">
        <v>24.87</v>
      </c>
      <c r="R283" s="3"/>
      <c r="S283" s="3"/>
      <c r="T283" s="3"/>
      <c r="U283" s="67">
        <f t="shared" si="28"/>
        <v>0</v>
      </c>
      <c r="V283" s="67">
        <f t="shared" si="29"/>
        <v>24.87</v>
      </c>
      <c r="W283" s="3">
        <f>O283-V283</f>
        <v>0.73999999999999844</v>
      </c>
      <c r="X283" s="3">
        <f>V283+W283</f>
        <v>25.61</v>
      </c>
      <c r="Y283" s="3"/>
      <c r="Z283" s="67">
        <f t="shared" si="30"/>
        <v>25.61</v>
      </c>
      <c r="AA283" s="67">
        <f t="shared" si="31"/>
        <v>0</v>
      </c>
      <c r="AB283" s="3"/>
      <c r="AC283" s="3"/>
      <c r="AD283" s="3"/>
      <c r="AE283" s="67">
        <f t="shared" si="32"/>
        <v>25.61</v>
      </c>
      <c r="AF283" s="67">
        <f t="shared" si="33"/>
        <v>0</v>
      </c>
    </row>
    <row r="284" spans="1:32" ht="109.2">
      <c r="A284" s="41">
        <f t="shared" si="34"/>
        <v>282</v>
      </c>
      <c r="B284" s="34" t="s">
        <v>795</v>
      </c>
      <c r="C284" s="34" t="s">
        <v>876</v>
      </c>
      <c r="D284" s="34" t="s">
        <v>1019</v>
      </c>
      <c r="E284" s="41" t="s">
        <v>1331</v>
      </c>
      <c r="F284" s="43" t="s">
        <v>444</v>
      </c>
      <c r="G284" s="41" t="s">
        <v>28</v>
      </c>
      <c r="H284" s="41">
        <v>7</v>
      </c>
      <c r="I284" s="64">
        <v>43486</v>
      </c>
      <c r="J284" s="64">
        <v>43486</v>
      </c>
      <c r="K284" s="64" t="s">
        <v>454</v>
      </c>
      <c r="L284" s="65">
        <v>87.86</v>
      </c>
      <c r="M284" s="65">
        <v>87.86</v>
      </c>
      <c r="N284" s="41" t="s">
        <v>32</v>
      </c>
      <c r="O284" s="65">
        <v>57.2</v>
      </c>
      <c r="P284" s="3">
        <v>0</v>
      </c>
      <c r="Q284" s="66">
        <v>53.245216599999999</v>
      </c>
      <c r="R284" s="25">
        <v>1.7150430000000001</v>
      </c>
      <c r="S284" s="3">
        <f>4.7409297+0.8702917+48.2745235+0.6316666+9.31786867150029-9.31748392813737</f>
        <v>54.517796243362923</v>
      </c>
      <c r="T284" s="3">
        <v>9.3174839281373707</v>
      </c>
      <c r="U284" s="67">
        <f t="shared" si="28"/>
        <v>63.835280171500294</v>
      </c>
      <c r="V284" s="67">
        <f t="shared" si="29"/>
        <v>-8.8750205715002934</v>
      </c>
      <c r="W284" s="3"/>
      <c r="X284" s="3"/>
      <c r="Y284" s="3"/>
      <c r="Z284" s="67">
        <f t="shared" si="30"/>
        <v>63.835280171500294</v>
      </c>
      <c r="AA284" s="67">
        <f t="shared" si="31"/>
        <v>-8.8750205715002934</v>
      </c>
      <c r="AB284" s="3"/>
      <c r="AC284" s="3"/>
      <c r="AD284" s="3"/>
      <c r="AE284" s="67">
        <f t="shared" si="32"/>
        <v>63.835280171500294</v>
      </c>
      <c r="AF284" s="67">
        <f t="shared" si="33"/>
        <v>-8.8750205715002934</v>
      </c>
    </row>
    <row r="285" spans="1:32" ht="78">
      <c r="A285" s="41">
        <f t="shared" si="34"/>
        <v>283</v>
      </c>
      <c r="B285" s="34" t="s">
        <v>796</v>
      </c>
      <c r="C285" s="34" t="s">
        <v>876</v>
      </c>
      <c r="D285" s="34" t="s">
        <v>1019</v>
      </c>
      <c r="E285" s="41" t="s">
        <v>1332</v>
      </c>
      <c r="F285" s="43" t="s">
        <v>445</v>
      </c>
      <c r="G285" s="41" t="s">
        <v>28</v>
      </c>
      <c r="H285" s="41">
        <v>7</v>
      </c>
      <c r="I285" s="64">
        <v>43486</v>
      </c>
      <c r="J285" s="64">
        <v>43486</v>
      </c>
      <c r="K285" s="70" t="s">
        <v>454</v>
      </c>
      <c r="L285" s="65">
        <v>114</v>
      </c>
      <c r="M285" s="65">
        <v>114</v>
      </c>
      <c r="N285" s="41" t="s">
        <v>32</v>
      </c>
      <c r="O285" s="65">
        <v>93.37</v>
      </c>
      <c r="P285" s="3">
        <v>0</v>
      </c>
      <c r="Q285" s="66">
        <v>90.311520999999999</v>
      </c>
      <c r="R285" s="25">
        <v>0.3843375</v>
      </c>
      <c r="S285" s="3">
        <f>81.3746688+0.3021228+0.0822147+8.9369482+9.1719757+9.06556120777648-9.0655392629825</f>
        <v>99.867952144793989</v>
      </c>
      <c r="T285" s="3">
        <v>9.0655392629824991</v>
      </c>
      <c r="U285" s="67">
        <f t="shared" si="28"/>
        <v>108.93349140777649</v>
      </c>
      <c r="V285" s="67">
        <f t="shared" si="29"/>
        <v>-18.237632907776486</v>
      </c>
      <c r="W285" s="154">
        <v>0.36228840000000001</v>
      </c>
      <c r="X285" s="3">
        <f>W285</f>
        <v>0.36228840000000001</v>
      </c>
      <c r="Y285" s="3"/>
      <c r="Z285" s="67">
        <f t="shared" si="30"/>
        <v>109.29577980777648</v>
      </c>
      <c r="AA285" s="67">
        <f t="shared" si="31"/>
        <v>-18.237632907776486</v>
      </c>
      <c r="AB285" s="3"/>
      <c r="AC285" s="3"/>
      <c r="AD285" s="3"/>
      <c r="AE285" s="67">
        <f t="shared" si="32"/>
        <v>109.29577980777648</v>
      </c>
      <c r="AF285" s="67">
        <f t="shared" si="33"/>
        <v>-18.237632907776486</v>
      </c>
    </row>
    <row r="286" spans="1:32" ht="62.4">
      <c r="A286" s="41">
        <f t="shared" si="34"/>
        <v>284</v>
      </c>
      <c r="B286" s="34" t="s">
        <v>978</v>
      </c>
      <c r="C286" s="34" t="s">
        <v>876</v>
      </c>
      <c r="D286" s="34" t="s">
        <v>1019</v>
      </c>
      <c r="E286" s="41" t="s">
        <v>1333</v>
      </c>
      <c r="F286" s="43" t="s">
        <v>446</v>
      </c>
      <c r="G286" s="41" t="s">
        <v>28</v>
      </c>
      <c r="H286" s="41"/>
      <c r="I286" s="64">
        <v>43502</v>
      </c>
      <c r="J286" s="64">
        <v>43502</v>
      </c>
      <c r="K286" s="41"/>
      <c r="L286" s="65">
        <v>81.760000000000005</v>
      </c>
      <c r="M286" s="65">
        <v>79.94</v>
      </c>
      <c r="N286" s="41" t="s">
        <v>32</v>
      </c>
      <c r="O286" s="65">
        <v>76.349999999999994</v>
      </c>
      <c r="P286" s="66">
        <v>77.52</v>
      </c>
      <c r="Q286" s="66">
        <v>0.03</v>
      </c>
      <c r="R286" s="3"/>
      <c r="S286" s="3"/>
      <c r="T286" s="3"/>
      <c r="U286" s="67">
        <f t="shared" si="28"/>
        <v>77.52</v>
      </c>
      <c r="V286" s="67">
        <f t="shared" si="29"/>
        <v>0.03</v>
      </c>
      <c r="W286" s="3"/>
      <c r="X286" s="3"/>
      <c r="Y286" s="3"/>
      <c r="Z286" s="67">
        <f t="shared" si="30"/>
        <v>77.52</v>
      </c>
      <c r="AA286" s="67">
        <f t="shared" si="31"/>
        <v>0.03</v>
      </c>
      <c r="AB286" s="3"/>
      <c r="AC286" s="3"/>
      <c r="AD286" s="3"/>
      <c r="AE286" s="67">
        <f t="shared" si="32"/>
        <v>77.52</v>
      </c>
      <c r="AF286" s="67">
        <f t="shared" si="33"/>
        <v>0.03</v>
      </c>
    </row>
    <row r="287" spans="1:32" ht="109.2">
      <c r="A287" s="41">
        <f t="shared" si="34"/>
        <v>285</v>
      </c>
      <c r="B287" s="34" t="s">
        <v>720</v>
      </c>
      <c r="C287" s="34" t="s">
        <v>876</v>
      </c>
      <c r="D287" s="34" t="s">
        <v>1019</v>
      </c>
      <c r="E287" s="41" t="s">
        <v>1334</v>
      </c>
      <c r="F287" s="43" t="s">
        <v>447</v>
      </c>
      <c r="G287" s="41" t="s">
        <v>28</v>
      </c>
      <c r="H287" s="41">
        <v>4</v>
      </c>
      <c r="I287" s="64">
        <v>43502</v>
      </c>
      <c r="J287" s="64">
        <v>43502</v>
      </c>
      <c r="K287" s="41" t="s">
        <v>721</v>
      </c>
      <c r="L287" s="65">
        <v>63.93</v>
      </c>
      <c r="M287" s="65">
        <v>67.8</v>
      </c>
      <c r="N287" s="41" t="s">
        <v>32</v>
      </c>
      <c r="O287" s="159">
        <v>71.8</v>
      </c>
      <c r="P287" s="3">
        <v>0</v>
      </c>
      <c r="Q287" s="66">
        <v>71.770346900000007</v>
      </c>
      <c r="R287" s="25">
        <v>0.1140717</v>
      </c>
      <c r="S287" s="3">
        <f>0.2270247+0.3258341+71.202176234+0.1140717+7.56808305014681-7.56800642226865</f>
        <v>71.869183361878157</v>
      </c>
      <c r="T287" s="3">
        <v>7.5680064222686498</v>
      </c>
      <c r="U287" s="67">
        <f t="shared" si="28"/>
        <v>79.43718978414681</v>
      </c>
      <c r="V287" s="67">
        <f t="shared" si="29"/>
        <v>-7.5527711841468035</v>
      </c>
      <c r="W287" s="3"/>
      <c r="X287" s="3"/>
      <c r="Y287" s="3"/>
      <c r="Z287" s="67">
        <f t="shared" si="30"/>
        <v>79.43718978414681</v>
      </c>
      <c r="AA287" s="67">
        <f t="shared" si="31"/>
        <v>-7.5527711841468035</v>
      </c>
      <c r="AB287" s="3"/>
      <c r="AC287" s="3"/>
      <c r="AD287" s="3"/>
      <c r="AE287" s="67">
        <f t="shared" si="32"/>
        <v>79.43718978414681</v>
      </c>
      <c r="AF287" s="67">
        <f t="shared" si="33"/>
        <v>-7.5527711841468035</v>
      </c>
    </row>
    <row r="288" spans="1:32" ht="124.8">
      <c r="A288" s="41">
        <f t="shared" si="34"/>
        <v>286</v>
      </c>
      <c r="B288" s="34" t="s">
        <v>979</v>
      </c>
      <c r="C288" s="34" t="s">
        <v>876</v>
      </c>
      <c r="D288" s="34" t="s">
        <v>1019</v>
      </c>
      <c r="E288" s="41" t="s">
        <v>1335</v>
      </c>
      <c r="F288" s="43" t="s">
        <v>448</v>
      </c>
      <c r="G288" s="41" t="s">
        <v>28</v>
      </c>
      <c r="H288" s="41"/>
      <c r="I288" s="64">
        <v>43503</v>
      </c>
      <c r="J288" s="64">
        <v>43503</v>
      </c>
      <c r="K288" s="41" t="s">
        <v>509</v>
      </c>
      <c r="L288" s="65">
        <v>40.39</v>
      </c>
      <c r="M288" s="65">
        <v>39.36</v>
      </c>
      <c r="N288" s="41" t="s">
        <v>32</v>
      </c>
      <c r="O288" s="65">
        <v>37.25</v>
      </c>
      <c r="P288" s="66">
        <v>39.409999999999997</v>
      </c>
      <c r="Q288" s="3">
        <v>0</v>
      </c>
      <c r="R288" s="3"/>
      <c r="S288" s="3"/>
      <c r="T288" s="3"/>
      <c r="U288" s="67">
        <f t="shared" si="28"/>
        <v>39.409999999999997</v>
      </c>
      <c r="V288" s="67">
        <f t="shared" si="29"/>
        <v>0</v>
      </c>
      <c r="W288" s="3"/>
      <c r="X288" s="3"/>
      <c r="Y288" s="3"/>
      <c r="Z288" s="67">
        <f t="shared" si="30"/>
        <v>39.409999999999997</v>
      </c>
      <c r="AA288" s="67">
        <f t="shared" si="31"/>
        <v>0</v>
      </c>
      <c r="AB288" s="3"/>
      <c r="AC288" s="3"/>
      <c r="AD288" s="3"/>
      <c r="AE288" s="67">
        <f t="shared" si="32"/>
        <v>39.409999999999997</v>
      </c>
      <c r="AF288" s="67">
        <f t="shared" si="33"/>
        <v>0</v>
      </c>
    </row>
    <row r="289" spans="1:32" ht="62.4">
      <c r="A289" s="41">
        <f t="shared" si="34"/>
        <v>287</v>
      </c>
      <c r="B289" s="34" t="s">
        <v>805</v>
      </c>
      <c r="C289" s="34" t="s">
        <v>1002</v>
      </c>
      <c r="D289" s="34" t="s">
        <v>1019</v>
      </c>
      <c r="E289" s="41" t="s">
        <v>1336</v>
      </c>
      <c r="F289" s="43" t="s">
        <v>449</v>
      </c>
      <c r="G289" s="41" t="s">
        <v>28</v>
      </c>
      <c r="H289" s="41">
        <v>6</v>
      </c>
      <c r="I289" s="64" t="s">
        <v>450</v>
      </c>
      <c r="J289" s="64" t="s">
        <v>450</v>
      </c>
      <c r="K289" s="41" t="s">
        <v>451</v>
      </c>
      <c r="L289" s="65">
        <v>15.6</v>
      </c>
      <c r="M289" s="65">
        <v>17.93</v>
      </c>
      <c r="N289" s="41" t="s">
        <v>32</v>
      </c>
      <c r="O289" s="65">
        <v>6.72</v>
      </c>
      <c r="P289" s="3">
        <v>0</v>
      </c>
      <c r="Q289" s="66">
        <v>3.1800405999999999</v>
      </c>
      <c r="R289" s="25">
        <v>0.35268060000000001</v>
      </c>
      <c r="S289" s="3"/>
      <c r="T289" s="3"/>
      <c r="U289" s="67">
        <f t="shared" si="28"/>
        <v>0</v>
      </c>
      <c r="V289" s="67">
        <f t="shared" si="29"/>
        <v>3.5327212000000001</v>
      </c>
      <c r="W289" s="3">
        <f>O289-V289</f>
        <v>3.1872787999999996</v>
      </c>
      <c r="X289" s="3">
        <f>V289+W289</f>
        <v>6.72</v>
      </c>
      <c r="Y289" s="3"/>
      <c r="Z289" s="67">
        <f t="shared" si="30"/>
        <v>6.72</v>
      </c>
      <c r="AA289" s="67">
        <f t="shared" si="31"/>
        <v>0</v>
      </c>
      <c r="AB289" s="3"/>
      <c r="AC289" s="3"/>
      <c r="AD289" s="3"/>
      <c r="AE289" s="67">
        <f t="shared" si="32"/>
        <v>6.72</v>
      </c>
      <c r="AF289" s="67">
        <f t="shared" si="33"/>
        <v>0</v>
      </c>
    </row>
    <row r="290" spans="1:32" ht="78">
      <c r="A290" s="41">
        <f t="shared" si="34"/>
        <v>288</v>
      </c>
      <c r="B290" s="34" t="s">
        <v>980</v>
      </c>
      <c r="C290" s="34" t="s">
        <v>876</v>
      </c>
      <c r="D290" s="34" t="s">
        <v>1019</v>
      </c>
      <c r="E290" s="41" t="s">
        <v>1337</v>
      </c>
      <c r="F290" s="43" t="s">
        <v>452</v>
      </c>
      <c r="G290" s="41" t="s">
        <v>28</v>
      </c>
      <c r="H290" s="41">
        <v>2</v>
      </c>
      <c r="I290" s="64">
        <v>43486</v>
      </c>
      <c r="J290" s="64">
        <v>43486</v>
      </c>
      <c r="K290" s="64" t="s">
        <v>454</v>
      </c>
      <c r="L290" s="65">
        <v>40.18</v>
      </c>
      <c r="M290" s="65">
        <v>40.18</v>
      </c>
      <c r="N290" s="41" t="s">
        <v>32</v>
      </c>
      <c r="O290" s="65">
        <v>35.85</v>
      </c>
      <c r="P290" s="3">
        <v>0</v>
      </c>
      <c r="Q290" s="66">
        <v>27.522210299999998</v>
      </c>
      <c r="R290" s="25">
        <v>6.6401509000000001</v>
      </c>
      <c r="S290" s="3">
        <f>32.3904238+1.1874328+0.5884633+2.11416082093714-2.11411087631392</f>
        <v>34.166369844623219</v>
      </c>
      <c r="T290" s="3">
        <v>2.1141108763139198</v>
      </c>
      <c r="U290" s="67">
        <f t="shared" si="28"/>
        <v>36.280480720937142</v>
      </c>
      <c r="V290" s="67">
        <f t="shared" si="29"/>
        <v>-2.1181195209371393</v>
      </c>
      <c r="W290" s="69"/>
      <c r="X290" s="3"/>
      <c r="Y290" s="3"/>
      <c r="Z290" s="67">
        <f t="shared" si="30"/>
        <v>36.280480720937142</v>
      </c>
      <c r="AA290" s="67">
        <f t="shared" si="31"/>
        <v>-2.1181195209371393</v>
      </c>
      <c r="AB290" s="3"/>
      <c r="AC290" s="3"/>
      <c r="AD290" s="3"/>
      <c r="AE290" s="67">
        <f t="shared" si="32"/>
        <v>36.280480720937142</v>
      </c>
      <c r="AF290" s="67">
        <f t="shared" si="33"/>
        <v>-2.1181195209371393</v>
      </c>
    </row>
    <row r="291" spans="1:32" ht="78">
      <c r="A291" s="41">
        <f t="shared" si="34"/>
        <v>289</v>
      </c>
      <c r="B291" s="34" t="s">
        <v>802</v>
      </c>
      <c r="C291" s="34" t="s">
        <v>1002</v>
      </c>
      <c r="D291" s="34" t="s">
        <v>1019</v>
      </c>
      <c r="E291" s="41" t="s">
        <v>1338</v>
      </c>
      <c r="F291" s="43" t="s">
        <v>453</v>
      </c>
      <c r="G291" s="41" t="s">
        <v>28</v>
      </c>
      <c r="H291" s="41"/>
      <c r="I291" s="64">
        <v>43486</v>
      </c>
      <c r="J291" s="64">
        <v>43486</v>
      </c>
      <c r="K291" s="41" t="s">
        <v>454</v>
      </c>
      <c r="L291" s="65">
        <v>87.63</v>
      </c>
      <c r="M291" s="65">
        <v>103.6</v>
      </c>
      <c r="N291" s="41" t="s">
        <v>32</v>
      </c>
      <c r="O291" s="65">
        <v>75.760000000000005</v>
      </c>
      <c r="P291" s="3">
        <v>0</v>
      </c>
      <c r="Q291" s="66">
        <v>65.503926300000003</v>
      </c>
      <c r="R291" s="25">
        <v>3.1727332000000001</v>
      </c>
      <c r="S291" s="3"/>
      <c r="T291" s="3"/>
      <c r="U291" s="67">
        <f t="shared" si="28"/>
        <v>0</v>
      </c>
      <c r="V291" s="67">
        <f t="shared" si="29"/>
        <v>68.6766595</v>
      </c>
      <c r="W291" s="154">
        <v>18.953340499999996</v>
      </c>
      <c r="X291" s="3">
        <f>V291+W291</f>
        <v>87.63</v>
      </c>
      <c r="Y291" s="3"/>
      <c r="Z291" s="67">
        <f t="shared" si="30"/>
        <v>87.63</v>
      </c>
      <c r="AA291" s="67">
        <f t="shared" si="31"/>
        <v>0</v>
      </c>
      <c r="AB291" s="3"/>
      <c r="AC291" s="3"/>
      <c r="AD291" s="3"/>
      <c r="AE291" s="67">
        <f t="shared" si="32"/>
        <v>87.63</v>
      </c>
      <c r="AF291" s="67">
        <f t="shared" si="33"/>
        <v>0</v>
      </c>
    </row>
    <row r="292" spans="1:32" ht="187.2">
      <c r="A292" s="41">
        <f t="shared" si="34"/>
        <v>290</v>
      </c>
      <c r="B292" s="34" t="s">
        <v>790</v>
      </c>
      <c r="C292" s="34" t="s">
        <v>1002</v>
      </c>
      <c r="D292" s="41" t="s">
        <v>1019</v>
      </c>
      <c r="E292" s="41" t="s">
        <v>1339</v>
      </c>
      <c r="F292" s="43" t="s">
        <v>455</v>
      </c>
      <c r="G292" s="41" t="s">
        <v>28</v>
      </c>
      <c r="H292" s="41"/>
      <c r="I292" s="64">
        <v>43486</v>
      </c>
      <c r="J292" s="64">
        <v>43486</v>
      </c>
      <c r="K292" s="41" t="s">
        <v>456</v>
      </c>
      <c r="L292" s="65">
        <v>103.14</v>
      </c>
      <c r="M292" s="65">
        <v>103.14</v>
      </c>
      <c r="N292" s="41" t="s">
        <v>32</v>
      </c>
      <c r="O292" s="65">
        <v>79.28</v>
      </c>
      <c r="P292" s="3">
        <v>0</v>
      </c>
      <c r="Q292" s="66">
        <v>77.438562300000001</v>
      </c>
      <c r="R292" s="25">
        <v>0.43812649999999997</v>
      </c>
      <c r="S292" s="3">
        <f>13.8124093+43.8371056+0.0911362+0.3469903+7.99149843215205-7.99143324535729</f>
        <v>58.087706586794759</v>
      </c>
      <c r="T292" s="3">
        <v>7.9914332453572898</v>
      </c>
      <c r="U292" s="67">
        <f t="shared" si="28"/>
        <v>66.079139832152052</v>
      </c>
      <c r="V292" s="67">
        <f t="shared" si="29"/>
        <v>11.797548967847948</v>
      </c>
      <c r="W292" s="154">
        <f>O292-U292-V292</f>
        <v>1.403311200000001</v>
      </c>
      <c r="X292" s="3">
        <f t="shared" ref="X292:X296" si="35">V292+W292</f>
        <v>13.200860167847949</v>
      </c>
      <c r="Y292" s="3"/>
      <c r="Z292" s="67">
        <f t="shared" si="30"/>
        <v>79.28</v>
      </c>
      <c r="AA292" s="67">
        <f t="shared" si="31"/>
        <v>0</v>
      </c>
      <c r="AB292" s="3"/>
      <c r="AC292" s="3"/>
      <c r="AD292" s="3"/>
      <c r="AE292" s="67">
        <f t="shared" si="32"/>
        <v>79.28</v>
      </c>
      <c r="AF292" s="67">
        <f t="shared" si="33"/>
        <v>0</v>
      </c>
    </row>
    <row r="293" spans="1:32" ht="93.6">
      <c r="A293" s="41">
        <f t="shared" si="34"/>
        <v>291</v>
      </c>
      <c r="B293" s="34" t="s">
        <v>780</v>
      </c>
      <c r="C293" s="34" t="s">
        <v>1002</v>
      </c>
      <c r="D293" s="34" t="s">
        <v>1017</v>
      </c>
      <c r="E293" s="41" t="s">
        <v>1340</v>
      </c>
      <c r="F293" s="43" t="s">
        <v>457</v>
      </c>
      <c r="G293" s="41" t="s">
        <v>28</v>
      </c>
      <c r="H293" s="41">
        <v>1</v>
      </c>
      <c r="I293" s="64" t="s">
        <v>458</v>
      </c>
      <c r="J293" s="64" t="s">
        <v>458</v>
      </c>
      <c r="K293" s="64" t="s">
        <v>459</v>
      </c>
      <c r="L293" s="65">
        <v>68.11</v>
      </c>
      <c r="M293" s="65">
        <v>81.349999999999994</v>
      </c>
      <c r="N293" s="41" t="s">
        <v>32</v>
      </c>
      <c r="O293" s="65">
        <v>68.11</v>
      </c>
      <c r="P293" s="66">
        <v>0.37</v>
      </c>
      <c r="Q293" s="66">
        <v>55.869424799999997</v>
      </c>
      <c r="R293" s="69"/>
      <c r="S293" s="3"/>
      <c r="T293" s="3"/>
      <c r="U293" s="67">
        <f t="shared" si="28"/>
        <v>0.37</v>
      </c>
      <c r="V293" s="67">
        <f t="shared" si="29"/>
        <v>55.869424799999997</v>
      </c>
      <c r="W293" s="3">
        <f>O293-V293-U293</f>
        <v>11.870575200000003</v>
      </c>
      <c r="X293" s="3">
        <f t="shared" si="35"/>
        <v>67.739999999999995</v>
      </c>
      <c r="Y293" s="3"/>
      <c r="Z293" s="67">
        <f t="shared" si="30"/>
        <v>68.11</v>
      </c>
      <c r="AA293" s="67">
        <f t="shared" si="31"/>
        <v>0</v>
      </c>
      <c r="AB293" s="3"/>
      <c r="AC293" s="3"/>
      <c r="AD293" s="3"/>
      <c r="AE293" s="67">
        <f t="shared" si="32"/>
        <v>68.11</v>
      </c>
      <c r="AF293" s="67">
        <f t="shared" si="33"/>
        <v>0</v>
      </c>
    </row>
    <row r="294" spans="1:32" ht="62.4">
      <c r="A294" s="41">
        <f t="shared" si="34"/>
        <v>292</v>
      </c>
      <c r="B294" s="34" t="s">
        <v>791</v>
      </c>
      <c r="C294" s="34" t="s">
        <v>1002</v>
      </c>
      <c r="D294" s="34" t="s">
        <v>1019</v>
      </c>
      <c r="E294" s="41" t="s">
        <v>1341</v>
      </c>
      <c r="F294" s="43" t="s">
        <v>460</v>
      </c>
      <c r="G294" s="41" t="s">
        <v>28</v>
      </c>
      <c r="H294" s="41">
        <v>7</v>
      </c>
      <c r="I294" s="64">
        <v>43486</v>
      </c>
      <c r="J294" s="64">
        <v>43486</v>
      </c>
      <c r="K294" s="41" t="s">
        <v>454</v>
      </c>
      <c r="L294" s="65">
        <v>85.43</v>
      </c>
      <c r="M294" s="65">
        <v>84.93</v>
      </c>
      <c r="N294" s="41" t="s">
        <v>32</v>
      </c>
      <c r="O294" s="65">
        <v>101.56</v>
      </c>
      <c r="P294" s="3">
        <v>0</v>
      </c>
      <c r="Q294" s="66">
        <v>95.195323099999996</v>
      </c>
      <c r="R294" s="25">
        <v>6.3411413000000003</v>
      </c>
      <c r="S294" s="3">
        <f>8.2807689+17.3675714+21.9305955+5.02818078148375-5.02818078148375</f>
        <v>47.578935799999996</v>
      </c>
      <c r="T294" s="3">
        <v>5.0281807814837496</v>
      </c>
      <c r="U294" s="67">
        <f t="shared" si="28"/>
        <v>52.607116581483744</v>
      </c>
      <c r="V294" s="67">
        <f t="shared" si="29"/>
        <v>48.929347818516256</v>
      </c>
      <c r="W294" s="3">
        <f>0.0085724+0.7969538</f>
        <v>0.80552620000000008</v>
      </c>
      <c r="X294" s="3">
        <f t="shared" si="35"/>
        <v>49.734874018516258</v>
      </c>
      <c r="Y294" s="3"/>
      <c r="Z294" s="67">
        <f t="shared" si="30"/>
        <v>102.3419906</v>
      </c>
      <c r="AA294" s="67">
        <f t="shared" si="31"/>
        <v>0</v>
      </c>
      <c r="AB294" s="3"/>
      <c r="AC294" s="3"/>
      <c r="AD294" s="3"/>
      <c r="AE294" s="67">
        <f t="shared" si="32"/>
        <v>102.3419906</v>
      </c>
      <c r="AF294" s="67">
        <f t="shared" si="33"/>
        <v>0</v>
      </c>
    </row>
    <row r="295" spans="1:32" ht="93.6">
      <c r="A295" s="41">
        <f t="shared" si="34"/>
        <v>293</v>
      </c>
      <c r="B295" s="34" t="s">
        <v>793</v>
      </c>
      <c r="C295" s="34" t="s">
        <v>1002</v>
      </c>
      <c r="D295" s="41" t="s">
        <v>1019</v>
      </c>
      <c r="E295" s="41" t="s">
        <v>1342</v>
      </c>
      <c r="F295" s="43" t="s">
        <v>461</v>
      </c>
      <c r="G295" s="41" t="s">
        <v>28</v>
      </c>
      <c r="H295" s="41">
        <v>6</v>
      </c>
      <c r="I295" s="64">
        <v>43486</v>
      </c>
      <c r="J295" s="64">
        <v>43486</v>
      </c>
      <c r="K295" s="64" t="s">
        <v>462</v>
      </c>
      <c r="L295" s="65">
        <v>49.57</v>
      </c>
      <c r="M295" s="65">
        <v>54.07</v>
      </c>
      <c r="N295" s="41" t="s">
        <v>32</v>
      </c>
      <c r="O295" s="65">
        <v>47.48</v>
      </c>
      <c r="P295" s="3">
        <v>0</v>
      </c>
      <c r="Q295" s="66">
        <v>40.31</v>
      </c>
      <c r="R295" s="3"/>
      <c r="S295" s="3"/>
      <c r="T295" s="3"/>
      <c r="U295" s="67">
        <f t="shared" si="28"/>
        <v>0</v>
      </c>
      <c r="V295" s="67">
        <f t="shared" si="29"/>
        <v>40.31</v>
      </c>
      <c r="W295" s="3">
        <f>O295-V295</f>
        <v>7.1699999999999946</v>
      </c>
      <c r="X295" s="3">
        <f t="shared" si="35"/>
        <v>47.48</v>
      </c>
      <c r="Y295" s="3"/>
      <c r="Z295" s="67">
        <f t="shared" si="30"/>
        <v>47.48</v>
      </c>
      <c r="AA295" s="67">
        <f t="shared" si="31"/>
        <v>0</v>
      </c>
      <c r="AB295" s="3"/>
      <c r="AC295" s="3"/>
      <c r="AD295" s="3"/>
      <c r="AE295" s="67">
        <f t="shared" si="32"/>
        <v>47.48</v>
      </c>
      <c r="AF295" s="67">
        <f t="shared" si="33"/>
        <v>0</v>
      </c>
    </row>
    <row r="296" spans="1:32" ht="78">
      <c r="A296" s="41">
        <f t="shared" si="34"/>
        <v>294</v>
      </c>
      <c r="B296" s="34" t="s">
        <v>794</v>
      </c>
      <c r="C296" s="34" t="s">
        <v>1002</v>
      </c>
      <c r="D296" s="34" t="s">
        <v>1019</v>
      </c>
      <c r="E296" s="41" t="s">
        <v>1343</v>
      </c>
      <c r="F296" s="43" t="s">
        <v>463</v>
      </c>
      <c r="G296" s="41" t="s">
        <v>28</v>
      </c>
      <c r="H296" s="70">
        <v>6</v>
      </c>
      <c r="I296" s="70" t="s">
        <v>464</v>
      </c>
      <c r="J296" s="70" t="s">
        <v>464</v>
      </c>
      <c r="K296" s="70" t="s">
        <v>454</v>
      </c>
      <c r="L296" s="70">
        <v>132.38999999999999</v>
      </c>
      <c r="M296" s="65">
        <v>165.64</v>
      </c>
      <c r="N296" s="41" t="s">
        <v>32</v>
      </c>
      <c r="O296" s="65">
        <v>130.56</v>
      </c>
      <c r="P296" s="3">
        <v>0</v>
      </c>
      <c r="Q296" s="66">
        <v>127.01676</v>
      </c>
      <c r="R296" s="25">
        <v>2.9918746000000001</v>
      </c>
      <c r="S296" s="3"/>
      <c r="T296" s="3"/>
      <c r="U296" s="67">
        <f t="shared" si="28"/>
        <v>0</v>
      </c>
      <c r="V296" s="67">
        <f t="shared" si="29"/>
        <v>130.00863459999999</v>
      </c>
      <c r="W296" s="69">
        <v>0.551365400000009</v>
      </c>
      <c r="X296" s="67">
        <f t="shared" si="35"/>
        <v>130.56</v>
      </c>
      <c r="Y296" s="3"/>
      <c r="Z296" s="67">
        <f t="shared" si="30"/>
        <v>130.56</v>
      </c>
      <c r="AA296" s="67">
        <f t="shared" si="31"/>
        <v>0</v>
      </c>
      <c r="AB296" s="3"/>
      <c r="AC296" s="3"/>
      <c r="AD296" s="3"/>
      <c r="AE296" s="67">
        <f t="shared" si="32"/>
        <v>130.56</v>
      </c>
      <c r="AF296" s="67">
        <f t="shared" si="33"/>
        <v>0</v>
      </c>
    </row>
    <row r="297" spans="1:32" ht="46.8">
      <c r="A297" s="41">
        <f t="shared" si="34"/>
        <v>295</v>
      </c>
      <c r="B297" s="34" t="s">
        <v>798</v>
      </c>
      <c r="C297" s="34" t="s">
        <v>1002</v>
      </c>
      <c r="D297" s="34" t="s">
        <v>1019</v>
      </c>
      <c r="E297" s="41" t="s">
        <v>1344</v>
      </c>
      <c r="F297" s="43" t="s">
        <v>465</v>
      </c>
      <c r="G297" s="41" t="s">
        <v>28</v>
      </c>
      <c r="H297" s="41"/>
      <c r="I297" s="64">
        <v>43486</v>
      </c>
      <c r="J297" s="64">
        <v>43486</v>
      </c>
      <c r="K297" s="41" t="s">
        <v>466</v>
      </c>
      <c r="L297" s="65">
        <v>138.97999999999999</v>
      </c>
      <c r="M297" s="65">
        <v>150.09</v>
      </c>
      <c r="N297" s="41" t="s">
        <v>32</v>
      </c>
      <c r="O297" s="65">
        <v>137.80000000000001</v>
      </c>
      <c r="P297" s="3">
        <v>0</v>
      </c>
      <c r="Q297" s="66">
        <v>135.9997965</v>
      </c>
      <c r="R297" s="25">
        <v>1.8203497</v>
      </c>
      <c r="S297" s="3"/>
      <c r="T297" s="3"/>
      <c r="U297" s="67">
        <f t="shared" si="28"/>
        <v>0</v>
      </c>
      <c r="V297" s="67">
        <f t="shared" si="29"/>
        <v>137.82014620000001</v>
      </c>
      <c r="W297" s="69"/>
      <c r="X297" s="3"/>
      <c r="Y297" s="3"/>
      <c r="Z297" s="67">
        <f t="shared" si="30"/>
        <v>0</v>
      </c>
      <c r="AA297" s="67">
        <f t="shared" si="31"/>
        <v>137.82014620000001</v>
      </c>
      <c r="AB297" s="3"/>
      <c r="AC297" s="3"/>
      <c r="AD297" s="3"/>
      <c r="AE297" s="67">
        <f t="shared" si="32"/>
        <v>0</v>
      </c>
      <c r="AF297" s="67">
        <f t="shared" si="33"/>
        <v>137.82014620000001</v>
      </c>
    </row>
    <row r="298" spans="1:32" ht="46.8">
      <c r="A298" s="41">
        <f t="shared" si="34"/>
        <v>296</v>
      </c>
      <c r="B298" s="34" t="s">
        <v>799</v>
      </c>
      <c r="C298" s="34" t="s">
        <v>1002</v>
      </c>
      <c r="D298" s="34" t="s">
        <v>1019</v>
      </c>
      <c r="E298" s="41" t="s">
        <v>1345</v>
      </c>
      <c r="F298" s="43" t="s">
        <v>467</v>
      </c>
      <c r="G298" s="41" t="s">
        <v>28</v>
      </c>
      <c r="H298" s="41"/>
      <c r="I298" s="64">
        <v>43480</v>
      </c>
      <c r="J298" s="64">
        <v>43480</v>
      </c>
      <c r="K298" s="41"/>
      <c r="L298" s="65">
        <v>6.99</v>
      </c>
      <c r="M298" s="65">
        <v>9.1</v>
      </c>
      <c r="N298" s="41" t="s">
        <v>32</v>
      </c>
      <c r="O298" s="65">
        <v>6.99</v>
      </c>
      <c r="P298" s="3">
        <v>0</v>
      </c>
      <c r="Q298" s="66">
        <v>1.7280023</v>
      </c>
      <c r="R298" s="25">
        <v>0.27133220000000002</v>
      </c>
      <c r="S298" s="3"/>
      <c r="T298" s="3"/>
      <c r="U298" s="67">
        <f t="shared" si="28"/>
        <v>0</v>
      </c>
      <c r="V298" s="67">
        <f t="shared" si="29"/>
        <v>1.9993345</v>
      </c>
      <c r="W298" s="3">
        <f>O298-V298-1</f>
        <v>3.9906655000000004</v>
      </c>
      <c r="X298" s="3"/>
      <c r="Y298" s="3"/>
      <c r="Z298" s="67">
        <f t="shared" si="30"/>
        <v>0</v>
      </c>
      <c r="AA298" s="67">
        <f t="shared" si="31"/>
        <v>5.99</v>
      </c>
      <c r="AB298" s="3">
        <f>O298-AA298</f>
        <v>1</v>
      </c>
      <c r="AC298" s="3">
        <f>AA298+AB298</f>
        <v>6.99</v>
      </c>
      <c r="AD298" s="3"/>
      <c r="AE298" s="67">
        <f t="shared" si="32"/>
        <v>6.99</v>
      </c>
      <c r="AF298" s="67">
        <f t="shared" si="33"/>
        <v>0</v>
      </c>
    </row>
    <row r="299" spans="1:32" ht="46.8">
      <c r="A299" s="41">
        <f t="shared" si="34"/>
        <v>297</v>
      </c>
      <c r="B299" s="34" t="s">
        <v>801</v>
      </c>
      <c r="C299" s="34" t="s">
        <v>1002</v>
      </c>
      <c r="D299" s="34" t="s">
        <v>1019</v>
      </c>
      <c r="E299" s="41" t="s">
        <v>1346</v>
      </c>
      <c r="F299" s="43" t="s">
        <v>468</v>
      </c>
      <c r="G299" s="41" t="s">
        <v>28</v>
      </c>
      <c r="H299" s="41">
        <v>4</v>
      </c>
      <c r="I299" s="64">
        <v>43479</v>
      </c>
      <c r="J299" s="64">
        <v>43479</v>
      </c>
      <c r="K299" s="41" t="s">
        <v>469</v>
      </c>
      <c r="L299" s="65">
        <v>7.04</v>
      </c>
      <c r="M299" s="65">
        <v>9.32</v>
      </c>
      <c r="N299" s="41" t="s">
        <v>32</v>
      </c>
      <c r="O299" s="65">
        <v>7.04</v>
      </c>
      <c r="P299" s="3">
        <v>0</v>
      </c>
      <c r="Q299" s="66">
        <v>3.1819510000000002</v>
      </c>
      <c r="R299" s="25">
        <v>1.7450935999999999</v>
      </c>
      <c r="S299" s="3">
        <f>2.0856976+0.0087513+0.2762526+1.9791319+0.385155+0.1886724+0.322441761426215-0.322430467182903</f>
        <v>4.9236720942433116</v>
      </c>
      <c r="T299" s="3">
        <v>0.32243046718290302</v>
      </c>
      <c r="U299" s="67">
        <f t="shared" si="28"/>
        <v>5.2461025614262145</v>
      </c>
      <c r="V299" s="67">
        <f t="shared" si="29"/>
        <v>-0.31905796142621434</v>
      </c>
      <c r="W299" s="3">
        <f>O299-U299-V299</f>
        <v>2.1129553999999997</v>
      </c>
      <c r="X299" s="3">
        <f>O299-U299</f>
        <v>1.7938974385737856</v>
      </c>
      <c r="Y299" s="3"/>
      <c r="Z299" s="67">
        <f t="shared" si="30"/>
        <v>7.04</v>
      </c>
      <c r="AA299" s="67">
        <f t="shared" si="31"/>
        <v>-2.2204460492503131E-16</v>
      </c>
      <c r="AB299" s="3"/>
      <c r="AC299" s="3"/>
      <c r="AD299" s="3"/>
      <c r="AE299" s="67">
        <f t="shared" si="32"/>
        <v>7.04</v>
      </c>
      <c r="AF299" s="67">
        <f t="shared" si="33"/>
        <v>-2.2204460492503131E-16</v>
      </c>
    </row>
    <row r="300" spans="1:32" ht="78">
      <c r="A300" s="41">
        <f t="shared" si="34"/>
        <v>298</v>
      </c>
      <c r="B300" s="34" t="s">
        <v>803</v>
      </c>
      <c r="C300" s="34" t="s">
        <v>1002</v>
      </c>
      <c r="D300" s="34" t="s">
        <v>1019</v>
      </c>
      <c r="E300" s="41" t="s">
        <v>1347</v>
      </c>
      <c r="F300" s="43" t="s">
        <v>470</v>
      </c>
      <c r="G300" s="41" t="s">
        <v>28</v>
      </c>
      <c r="H300" s="41">
        <v>4</v>
      </c>
      <c r="I300" s="64">
        <v>43479</v>
      </c>
      <c r="J300" s="64">
        <v>43479</v>
      </c>
      <c r="K300" s="41" t="s">
        <v>471</v>
      </c>
      <c r="L300" s="65">
        <v>10.9</v>
      </c>
      <c r="M300" s="65">
        <v>10.77</v>
      </c>
      <c r="N300" s="41" t="s">
        <v>32</v>
      </c>
      <c r="O300" s="65">
        <v>9.4600000000000009</v>
      </c>
      <c r="P300" s="3">
        <v>0</v>
      </c>
      <c r="Q300" s="66">
        <v>8.3724448000000002</v>
      </c>
      <c r="R300" s="25">
        <v>0.69070869999999995</v>
      </c>
      <c r="S300" s="3">
        <f>8.3724113+0.5433633+0.1473454+0.643665982832266-0.643664922072842</f>
        <v>9.063121060759423</v>
      </c>
      <c r="T300" s="3">
        <v>0.64366492207284198</v>
      </c>
      <c r="U300" s="67">
        <f t="shared" si="28"/>
        <v>9.7067859828322653</v>
      </c>
      <c r="V300" s="67">
        <f t="shared" si="29"/>
        <v>-0.64363248283226471</v>
      </c>
      <c r="W300" s="3"/>
      <c r="X300" s="3"/>
      <c r="Y300" s="3"/>
      <c r="Z300" s="67">
        <f t="shared" si="30"/>
        <v>9.7067859828322653</v>
      </c>
      <c r="AA300" s="67">
        <f t="shared" si="31"/>
        <v>-0.64363248283226471</v>
      </c>
      <c r="AB300" s="3"/>
      <c r="AC300" s="3"/>
      <c r="AD300" s="3"/>
      <c r="AE300" s="67">
        <f t="shared" si="32"/>
        <v>9.7067859828322653</v>
      </c>
      <c r="AF300" s="67">
        <f t="shared" si="33"/>
        <v>-0.64363248283226471</v>
      </c>
    </row>
    <row r="301" spans="1:32" ht="78">
      <c r="A301" s="41">
        <f t="shared" si="34"/>
        <v>299</v>
      </c>
      <c r="B301" s="34" t="s">
        <v>981</v>
      </c>
      <c r="C301" s="34" t="s">
        <v>1002</v>
      </c>
      <c r="D301" s="34" t="s">
        <v>1020</v>
      </c>
      <c r="E301" s="41" t="s">
        <v>1348</v>
      </c>
      <c r="F301" s="43" t="s">
        <v>472</v>
      </c>
      <c r="G301" s="41" t="s">
        <v>28</v>
      </c>
      <c r="H301" s="41"/>
      <c r="I301" s="64">
        <v>43479</v>
      </c>
      <c r="J301" s="64">
        <v>43479</v>
      </c>
      <c r="K301" s="41"/>
      <c r="L301" s="65">
        <v>14.14</v>
      </c>
      <c r="M301" s="65">
        <v>14.14</v>
      </c>
      <c r="N301" s="41" t="s">
        <v>32</v>
      </c>
      <c r="O301" s="65">
        <v>15.05</v>
      </c>
      <c r="P301" s="3">
        <v>0</v>
      </c>
      <c r="Q301" s="3">
        <v>0</v>
      </c>
      <c r="R301" s="3"/>
      <c r="S301" s="3"/>
      <c r="T301" s="3"/>
      <c r="U301" s="67">
        <f t="shared" si="28"/>
        <v>0</v>
      </c>
      <c r="V301" s="67">
        <f t="shared" si="29"/>
        <v>0</v>
      </c>
      <c r="W301" s="3"/>
      <c r="X301" s="3"/>
      <c r="Y301" s="3"/>
      <c r="Z301" s="67">
        <f t="shared" si="30"/>
        <v>0</v>
      </c>
      <c r="AA301" s="67">
        <f t="shared" si="31"/>
        <v>0</v>
      </c>
      <c r="AB301" s="3"/>
      <c r="AC301" s="3"/>
      <c r="AD301" s="3"/>
      <c r="AE301" s="67">
        <f t="shared" si="32"/>
        <v>0</v>
      </c>
      <c r="AF301" s="67">
        <f t="shared" si="33"/>
        <v>0</v>
      </c>
    </row>
    <row r="302" spans="1:32" ht="93.6">
      <c r="A302" s="41">
        <f t="shared" si="34"/>
        <v>300</v>
      </c>
      <c r="B302" s="34" t="s">
        <v>806</v>
      </c>
      <c r="C302" s="34" t="s">
        <v>1002</v>
      </c>
      <c r="D302" s="34" t="s">
        <v>1019</v>
      </c>
      <c r="E302" s="41" t="s">
        <v>1349</v>
      </c>
      <c r="F302" s="43" t="s">
        <v>473</v>
      </c>
      <c r="G302" s="41" t="s">
        <v>28</v>
      </c>
      <c r="H302" s="41"/>
      <c r="I302" s="64">
        <v>43486</v>
      </c>
      <c r="J302" s="64">
        <v>43486</v>
      </c>
      <c r="K302" s="41"/>
      <c r="L302" s="65">
        <v>52.8</v>
      </c>
      <c r="M302" s="65">
        <v>52.8</v>
      </c>
      <c r="N302" s="41" t="s">
        <v>32</v>
      </c>
      <c r="O302" s="65">
        <v>44.57</v>
      </c>
      <c r="P302" s="3">
        <v>0</v>
      </c>
      <c r="Q302" s="66">
        <v>28.363172299999999</v>
      </c>
      <c r="R302" s="25">
        <v>2.4810680000000001</v>
      </c>
      <c r="S302" s="3"/>
      <c r="T302" s="3"/>
      <c r="U302" s="67">
        <f t="shared" si="28"/>
        <v>0</v>
      </c>
      <c r="V302" s="67">
        <f t="shared" si="29"/>
        <v>30.844240299999999</v>
      </c>
      <c r="W302" s="3">
        <f>O302-V302</f>
        <v>13.725759700000001</v>
      </c>
      <c r="X302" s="3">
        <f>V302+W302</f>
        <v>44.57</v>
      </c>
      <c r="Y302" s="3"/>
      <c r="Z302" s="67">
        <f t="shared" si="30"/>
        <v>44.57</v>
      </c>
      <c r="AA302" s="67">
        <f t="shared" si="31"/>
        <v>0</v>
      </c>
      <c r="AB302" s="3"/>
      <c r="AC302" s="3"/>
      <c r="AD302" s="3"/>
      <c r="AE302" s="67">
        <f t="shared" si="32"/>
        <v>44.57</v>
      </c>
      <c r="AF302" s="67">
        <f t="shared" si="33"/>
        <v>0</v>
      </c>
    </row>
    <row r="303" spans="1:32" ht="46.8">
      <c r="A303" s="41">
        <f t="shared" si="34"/>
        <v>301</v>
      </c>
      <c r="B303" s="34" t="s">
        <v>807</v>
      </c>
      <c r="C303" s="34" t="s">
        <v>1002</v>
      </c>
      <c r="D303" s="34" t="s">
        <v>1019</v>
      </c>
      <c r="E303" s="41" t="s">
        <v>1350</v>
      </c>
      <c r="F303" s="43" t="s">
        <v>474</v>
      </c>
      <c r="G303" s="41" t="s">
        <v>28</v>
      </c>
      <c r="H303" s="41">
        <v>3</v>
      </c>
      <c r="I303" s="64">
        <v>43480</v>
      </c>
      <c r="J303" s="64">
        <v>43480</v>
      </c>
      <c r="K303" s="41" t="s">
        <v>475</v>
      </c>
      <c r="L303" s="65">
        <v>8.25</v>
      </c>
      <c r="M303" s="65">
        <v>8.09</v>
      </c>
      <c r="N303" s="41" t="s">
        <v>32</v>
      </c>
      <c r="O303" s="65">
        <v>8.25</v>
      </c>
      <c r="P303" s="3">
        <v>0</v>
      </c>
      <c r="Q303" s="66">
        <v>8.1218172000000006</v>
      </c>
      <c r="R303" s="25">
        <v>0.1225541</v>
      </c>
      <c r="S303" s="3"/>
      <c r="T303" s="3"/>
      <c r="U303" s="67">
        <f t="shared" si="28"/>
        <v>0</v>
      </c>
      <c r="V303" s="67">
        <f t="shared" si="29"/>
        <v>8.244371300000001</v>
      </c>
      <c r="W303" s="3">
        <f>O303-V303</f>
        <v>5.6286999999990428E-3</v>
      </c>
      <c r="X303" s="3">
        <f>V303+W303</f>
        <v>8.25</v>
      </c>
      <c r="Y303" s="3"/>
      <c r="Z303" s="67">
        <f t="shared" si="30"/>
        <v>8.25</v>
      </c>
      <c r="AA303" s="67">
        <f t="shared" si="31"/>
        <v>0</v>
      </c>
      <c r="AB303" s="3"/>
      <c r="AC303" s="3"/>
      <c r="AD303" s="3"/>
      <c r="AE303" s="67">
        <f t="shared" si="32"/>
        <v>8.25</v>
      </c>
      <c r="AF303" s="67">
        <f t="shared" si="33"/>
        <v>0</v>
      </c>
    </row>
    <row r="304" spans="1:32" ht="78">
      <c r="A304" s="41">
        <f t="shared" si="34"/>
        <v>302</v>
      </c>
      <c r="B304" s="34" t="s">
        <v>809</v>
      </c>
      <c r="C304" s="34" t="s">
        <v>1002</v>
      </c>
      <c r="D304" s="34" t="s">
        <v>1019</v>
      </c>
      <c r="E304" s="41" t="s">
        <v>1351</v>
      </c>
      <c r="F304" s="43" t="s">
        <v>476</v>
      </c>
      <c r="G304" s="41" t="s">
        <v>28</v>
      </c>
      <c r="H304" s="41">
        <v>4</v>
      </c>
      <c r="I304" s="64">
        <v>43486</v>
      </c>
      <c r="J304" s="64">
        <v>43486</v>
      </c>
      <c r="K304" s="64" t="s">
        <v>440</v>
      </c>
      <c r="L304" s="65">
        <v>124.74</v>
      </c>
      <c r="M304" s="65">
        <v>160.4</v>
      </c>
      <c r="N304" s="41" t="s">
        <v>32</v>
      </c>
      <c r="O304" s="65">
        <v>122.39</v>
      </c>
      <c r="P304" s="3">
        <v>0</v>
      </c>
      <c r="Q304" s="66">
        <v>101.42065049999999</v>
      </c>
      <c r="R304" s="25">
        <v>2.1069106999999998</v>
      </c>
      <c r="S304" s="3"/>
      <c r="T304" s="3"/>
      <c r="U304" s="67">
        <f t="shared" si="28"/>
        <v>0</v>
      </c>
      <c r="V304" s="67">
        <f t="shared" si="29"/>
        <v>103.52756119999999</v>
      </c>
      <c r="W304" s="154">
        <f>O304-V304</f>
        <v>18.862438800000007</v>
      </c>
      <c r="X304" s="3">
        <f>V304+W304</f>
        <v>122.39</v>
      </c>
      <c r="Y304" s="3"/>
      <c r="Z304" s="67">
        <f t="shared" si="30"/>
        <v>122.39</v>
      </c>
      <c r="AA304" s="67">
        <f t="shared" si="31"/>
        <v>0</v>
      </c>
      <c r="AB304" s="3"/>
      <c r="AC304" s="3"/>
      <c r="AD304" s="3"/>
      <c r="AE304" s="67">
        <f t="shared" si="32"/>
        <v>122.39</v>
      </c>
      <c r="AF304" s="67">
        <f t="shared" si="33"/>
        <v>0</v>
      </c>
    </row>
    <row r="305" spans="1:32" ht="62.4">
      <c r="A305" s="41">
        <f t="shared" si="34"/>
        <v>303</v>
      </c>
      <c r="B305" s="34" t="s">
        <v>804</v>
      </c>
      <c r="C305" s="34" t="s">
        <v>876</v>
      </c>
      <c r="D305" s="34" t="s">
        <v>1019</v>
      </c>
      <c r="E305" s="41" t="s">
        <v>1352</v>
      </c>
      <c r="F305" s="43" t="s">
        <v>477</v>
      </c>
      <c r="G305" s="41" t="s">
        <v>28</v>
      </c>
      <c r="H305" s="41"/>
      <c r="I305" s="64">
        <v>43480</v>
      </c>
      <c r="J305" s="64">
        <v>43480</v>
      </c>
      <c r="K305" s="41"/>
      <c r="L305" s="65">
        <v>12.8</v>
      </c>
      <c r="M305" s="65">
        <v>16.25</v>
      </c>
      <c r="N305" s="41" t="s">
        <v>32</v>
      </c>
      <c r="O305" s="159">
        <v>12.8</v>
      </c>
      <c r="P305" s="3">
        <v>0</v>
      </c>
      <c r="Q305" s="66">
        <v>9.0882839999999998</v>
      </c>
      <c r="R305" s="25">
        <v>0.27546150000000003</v>
      </c>
      <c r="S305" s="3">
        <f>2.8100952+4.680049+1.8699538+0.918041197913261-0.918007945850374</f>
        <v>9.3601312520628888</v>
      </c>
      <c r="T305" s="3">
        <v>0.91800794585037404</v>
      </c>
      <c r="U305" s="67">
        <f t="shared" si="28"/>
        <v>10.278139197913262</v>
      </c>
      <c r="V305" s="67">
        <f t="shared" si="29"/>
        <v>-0.91439369791326253</v>
      </c>
      <c r="W305" s="154">
        <v>9.4046000000000005E-2</v>
      </c>
      <c r="X305" s="3"/>
      <c r="Y305" s="3"/>
      <c r="Z305" s="67">
        <f t="shared" si="30"/>
        <v>10.278139197913262</v>
      </c>
      <c r="AA305" s="67">
        <f t="shared" si="31"/>
        <v>-0.82034769791326256</v>
      </c>
      <c r="AB305" s="3"/>
      <c r="AC305" s="3"/>
      <c r="AD305" s="3"/>
      <c r="AE305" s="67">
        <f t="shared" si="32"/>
        <v>10.278139197913262</v>
      </c>
      <c r="AF305" s="67">
        <f t="shared" si="33"/>
        <v>-0.82034769791326256</v>
      </c>
    </row>
    <row r="306" spans="1:32" ht="62.4">
      <c r="A306" s="41">
        <f t="shared" si="34"/>
        <v>304</v>
      </c>
      <c r="B306" s="34" t="s">
        <v>982</v>
      </c>
      <c r="C306" s="34" t="s">
        <v>876</v>
      </c>
      <c r="D306" s="34" t="s">
        <v>1019</v>
      </c>
      <c r="E306" s="41" t="s">
        <v>1353</v>
      </c>
      <c r="F306" s="43" t="s">
        <v>478</v>
      </c>
      <c r="G306" s="41" t="s">
        <v>28</v>
      </c>
      <c r="H306" s="41"/>
      <c r="I306" s="64">
        <v>43502</v>
      </c>
      <c r="J306" s="64">
        <v>43502</v>
      </c>
      <c r="K306" s="41"/>
      <c r="L306" s="65">
        <v>14.62</v>
      </c>
      <c r="M306" s="65">
        <v>14.97</v>
      </c>
      <c r="N306" s="41" t="s">
        <v>32</v>
      </c>
      <c r="O306" s="65">
        <v>9.1999999999999993</v>
      </c>
      <c r="P306" s="66">
        <v>8.59</v>
      </c>
      <c r="Q306" s="3">
        <v>0</v>
      </c>
      <c r="R306" s="3"/>
      <c r="S306" s="3"/>
      <c r="T306" s="3"/>
      <c r="U306" s="67">
        <f t="shared" si="28"/>
        <v>8.59</v>
      </c>
      <c r="V306" s="67">
        <f t="shared" si="29"/>
        <v>0</v>
      </c>
      <c r="W306" s="154">
        <f>0.1212881+0.3041579+0.0254174+0.1887216+0.125843</f>
        <v>0.765428</v>
      </c>
      <c r="X306" s="3">
        <f>W306</f>
        <v>0.765428</v>
      </c>
      <c r="Y306" s="3"/>
      <c r="Z306" s="67">
        <f t="shared" si="30"/>
        <v>9.3554279999999999</v>
      </c>
      <c r="AA306" s="67">
        <f t="shared" si="31"/>
        <v>0</v>
      </c>
      <c r="AB306" s="3"/>
      <c r="AC306" s="3"/>
      <c r="AD306" s="3"/>
      <c r="AE306" s="67">
        <f t="shared" si="32"/>
        <v>9.3554279999999999</v>
      </c>
      <c r="AF306" s="67">
        <f t="shared" si="33"/>
        <v>0</v>
      </c>
    </row>
    <row r="307" spans="1:32" ht="62.4">
      <c r="A307" s="41">
        <f t="shared" si="34"/>
        <v>305</v>
      </c>
      <c r="B307" s="34" t="s">
        <v>983</v>
      </c>
      <c r="C307" s="34" t="s">
        <v>876</v>
      </c>
      <c r="D307" s="34" t="s">
        <v>1019</v>
      </c>
      <c r="E307" s="41" t="s">
        <v>1354</v>
      </c>
      <c r="F307" s="43" t="s">
        <v>482</v>
      </c>
      <c r="G307" s="41" t="s">
        <v>28</v>
      </c>
      <c r="H307" s="41"/>
      <c r="I307" s="64">
        <v>43486</v>
      </c>
      <c r="J307" s="64">
        <v>43486</v>
      </c>
      <c r="K307" s="41"/>
      <c r="L307" s="65">
        <v>65.41</v>
      </c>
      <c r="M307" s="65">
        <v>65.459999999999994</v>
      </c>
      <c r="N307" s="41" t="s">
        <v>32</v>
      </c>
      <c r="O307" s="65">
        <v>65.37</v>
      </c>
      <c r="P307" s="3">
        <v>0</v>
      </c>
      <c r="Q307" s="66">
        <v>63.634610899999998</v>
      </c>
      <c r="R307" s="25">
        <v>0.32995170000000001</v>
      </c>
      <c r="S307" s="3"/>
      <c r="T307" s="3"/>
      <c r="U307" s="67">
        <f t="shared" si="28"/>
        <v>0</v>
      </c>
      <c r="V307" s="67">
        <f t="shared" si="29"/>
        <v>63.964562600000001</v>
      </c>
      <c r="W307" s="69">
        <f>O307-V307</f>
        <v>1.4054374000000038</v>
      </c>
      <c r="X307" s="3">
        <f>V307+W307</f>
        <v>65.37</v>
      </c>
      <c r="Y307" s="3"/>
      <c r="Z307" s="67">
        <f t="shared" si="30"/>
        <v>65.37</v>
      </c>
      <c r="AA307" s="67">
        <f t="shared" si="31"/>
        <v>0</v>
      </c>
      <c r="AB307" s="3"/>
      <c r="AC307" s="3"/>
      <c r="AD307" s="3"/>
      <c r="AE307" s="67">
        <f t="shared" si="32"/>
        <v>65.37</v>
      </c>
      <c r="AF307" s="67">
        <f t="shared" si="33"/>
        <v>0</v>
      </c>
    </row>
    <row r="308" spans="1:32" ht="93.6">
      <c r="A308" s="41">
        <f t="shared" si="34"/>
        <v>306</v>
      </c>
      <c r="B308" s="34" t="s">
        <v>984</v>
      </c>
      <c r="C308" s="34" t="s">
        <v>1002</v>
      </c>
      <c r="D308" s="34" t="s">
        <v>1019</v>
      </c>
      <c r="E308" s="41" t="s">
        <v>1355</v>
      </c>
      <c r="F308" s="43" t="s">
        <v>483</v>
      </c>
      <c r="G308" s="41" t="s">
        <v>28</v>
      </c>
      <c r="H308" s="41"/>
      <c r="I308" s="64">
        <v>43374</v>
      </c>
      <c r="J308" s="64">
        <v>43374</v>
      </c>
      <c r="K308" s="41"/>
      <c r="L308" s="65">
        <v>6.6</v>
      </c>
      <c r="M308" s="65">
        <v>6.6</v>
      </c>
      <c r="N308" s="41" t="s">
        <v>67</v>
      </c>
      <c r="O308" s="65">
        <v>6.6</v>
      </c>
      <c r="P308" s="3">
        <v>0</v>
      </c>
      <c r="Q308" s="3">
        <v>0</v>
      </c>
      <c r="R308" s="3"/>
      <c r="S308" s="3"/>
      <c r="T308" s="3"/>
      <c r="U308" s="67">
        <f t="shared" si="28"/>
        <v>0</v>
      </c>
      <c r="V308" s="67">
        <f t="shared" si="29"/>
        <v>0</v>
      </c>
      <c r="W308" s="3">
        <f>O308</f>
        <v>6.6</v>
      </c>
      <c r="X308" s="3">
        <f>V308+W308</f>
        <v>6.6</v>
      </c>
      <c r="Y308" s="3"/>
      <c r="Z308" s="67">
        <f t="shared" si="30"/>
        <v>6.6</v>
      </c>
      <c r="AA308" s="67">
        <f t="shared" si="31"/>
        <v>0</v>
      </c>
      <c r="AB308" s="3"/>
      <c r="AC308" s="3"/>
      <c r="AD308" s="3"/>
      <c r="AE308" s="67">
        <f t="shared" si="32"/>
        <v>6.6</v>
      </c>
      <c r="AF308" s="67">
        <f t="shared" si="33"/>
        <v>0</v>
      </c>
    </row>
    <row r="309" spans="1:32" ht="62.4">
      <c r="A309" s="41">
        <f t="shared" si="34"/>
        <v>307</v>
      </c>
      <c r="B309" s="34" t="s">
        <v>695</v>
      </c>
      <c r="C309" s="34" t="s">
        <v>876</v>
      </c>
      <c r="D309" s="34" t="s">
        <v>1019</v>
      </c>
      <c r="E309" s="41" t="s">
        <v>1356</v>
      </c>
      <c r="F309" s="43" t="s">
        <v>484</v>
      </c>
      <c r="G309" s="41" t="s">
        <v>28</v>
      </c>
      <c r="H309" s="41"/>
      <c r="I309" s="64">
        <v>43376</v>
      </c>
      <c r="J309" s="64">
        <v>43376</v>
      </c>
      <c r="K309" s="41"/>
      <c r="L309" s="65">
        <v>24.74</v>
      </c>
      <c r="M309" s="65">
        <v>24.74</v>
      </c>
      <c r="N309" s="41" t="s">
        <v>32</v>
      </c>
      <c r="O309" s="65">
        <v>24.63</v>
      </c>
      <c r="P309" s="3">
        <v>0</v>
      </c>
      <c r="Q309" s="66">
        <v>19.938952499999999</v>
      </c>
      <c r="R309" s="25">
        <v>3.1869941000000002</v>
      </c>
      <c r="S309" s="3">
        <f>0.2363764+19.6994427+0.9496959+0.6066425+1.1448386+0.1745958+0.2497216+0.0614997+0.483708583+0.00537513987568603-0.489083540139062</f>
        <v>23.122813382736616</v>
      </c>
      <c r="T309" s="3">
        <v>0.48908354013906202</v>
      </c>
      <c r="U309" s="67">
        <f t="shared" si="28"/>
        <v>23.61189692287568</v>
      </c>
      <c r="V309" s="67">
        <f t="shared" si="29"/>
        <v>-0.48595032287567957</v>
      </c>
      <c r="W309" s="154">
        <f>0.3642373+0.3828272+0.2003544</f>
        <v>0.94741889999999995</v>
      </c>
      <c r="X309" s="3">
        <f>W309</f>
        <v>0.94741889999999995</v>
      </c>
      <c r="Y309" s="3"/>
      <c r="Z309" s="67">
        <f t="shared" si="30"/>
        <v>24.559315822875678</v>
      </c>
      <c r="AA309" s="67">
        <f t="shared" si="31"/>
        <v>-0.48595032287567957</v>
      </c>
      <c r="AB309" s="3"/>
      <c r="AC309" s="3"/>
      <c r="AD309" s="3"/>
      <c r="AE309" s="67">
        <f t="shared" si="32"/>
        <v>24.559315822875678</v>
      </c>
      <c r="AF309" s="67">
        <f t="shared" si="33"/>
        <v>-0.48595032287567957</v>
      </c>
    </row>
    <row r="310" spans="1:32" ht="78">
      <c r="A310" s="41">
        <f t="shared" si="34"/>
        <v>308</v>
      </c>
      <c r="B310" s="34" t="s">
        <v>789</v>
      </c>
      <c r="C310" s="34" t="s">
        <v>876</v>
      </c>
      <c r="D310" s="34" t="s">
        <v>1019</v>
      </c>
      <c r="E310" s="41" t="s">
        <v>1357</v>
      </c>
      <c r="F310" s="43" t="s">
        <v>485</v>
      </c>
      <c r="G310" s="41" t="s">
        <v>28</v>
      </c>
      <c r="H310" s="41"/>
      <c r="I310" s="64">
        <v>43486</v>
      </c>
      <c r="J310" s="64">
        <v>43486</v>
      </c>
      <c r="K310" s="41"/>
      <c r="L310" s="65">
        <v>104.38</v>
      </c>
      <c r="M310" s="65">
        <v>106.63</v>
      </c>
      <c r="N310" s="41" t="s">
        <v>32</v>
      </c>
      <c r="O310" s="65">
        <v>106.25</v>
      </c>
      <c r="P310" s="3">
        <v>0</v>
      </c>
      <c r="Q310" s="66">
        <v>92.795262100000002</v>
      </c>
      <c r="R310" s="25">
        <v>11.951439199999999</v>
      </c>
      <c r="S310" s="3">
        <f>2.8107502+3.0688985+88.4499932+1.1144407+0.235195+2.8107502+1.501872+2.5526019+1.9493197+0.1520694+0.0046037+0.0972303+5.11219084309159-5.11218957441888</f>
        <v>104.74772606867275</v>
      </c>
      <c r="T310" s="3">
        <v>5.1121895744188803</v>
      </c>
      <c r="U310" s="67">
        <f t="shared" si="28"/>
        <v>109.85991564309163</v>
      </c>
      <c r="V310" s="67">
        <f t="shared" si="29"/>
        <v>-5.1132143430916299</v>
      </c>
      <c r="W310" s="154">
        <f>0.0169105+0.1069666+0.1342712+0.0140127+0.1327339</f>
        <v>0.40489489999999995</v>
      </c>
      <c r="X310" s="3">
        <f>W310</f>
        <v>0.40489489999999995</v>
      </c>
      <c r="Y310" s="3"/>
      <c r="Z310" s="67">
        <f t="shared" si="30"/>
        <v>110.26481054309163</v>
      </c>
      <c r="AA310" s="67">
        <f t="shared" si="31"/>
        <v>-5.1132143430916308</v>
      </c>
      <c r="AB310" s="3"/>
      <c r="AC310" s="3"/>
      <c r="AD310" s="3"/>
      <c r="AE310" s="67">
        <f t="shared" si="32"/>
        <v>110.26481054309163</v>
      </c>
      <c r="AF310" s="67">
        <f t="shared" si="33"/>
        <v>-5.1132143430916308</v>
      </c>
    </row>
    <row r="311" spans="1:32" ht="46.8">
      <c r="A311" s="41">
        <f t="shared" si="34"/>
        <v>309</v>
      </c>
      <c r="B311" s="34" t="s">
        <v>782</v>
      </c>
      <c r="C311" s="34" t="s">
        <v>876</v>
      </c>
      <c r="D311" s="34" t="s">
        <v>1019</v>
      </c>
      <c r="E311" s="41" t="s">
        <v>1358</v>
      </c>
      <c r="F311" s="43" t="s">
        <v>486</v>
      </c>
      <c r="G311" s="41" t="s">
        <v>28</v>
      </c>
      <c r="H311" s="41">
        <v>14</v>
      </c>
      <c r="I311" s="64">
        <v>43486</v>
      </c>
      <c r="J311" s="64">
        <v>43486</v>
      </c>
      <c r="K311" s="41" t="s">
        <v>440</v>
      </c>
      <c r="L311" s="65">
        <v>86.68</v>
      </c>
      <c r="M311" s="65">
        <v>95.86</v>
      </c>
      <c r="N311" s="41" t="s">
        <v>32</v>
      </c>
      <c r="O311" s="65">
        <v>93.58</v>
      </c>
      <c r="P311" s="3">
        <v>0</v>
      </c>
      <c r="Q311" s="66">
        <v>79.098758400000008</v>
      </c>
      <c r="R311" s="25">
        <v>7.9736760000000002</v>
      </c>
      <c r="S311" s="3">
        <f>80.2156+4.4000202+1.3126779+5.87408058397255-5.87391622354971</f>
        <v>85.928462460422821</v>
      </c>
      <c r="T311" s="3">
        <v>5.8739162235497098</v>
      </c>
      <c r="U311" s="67">
        <f t="shared" si="28"/>
        <v>91.802378683972535</v>
      </c>
      <c r="V311" s="67">
        <f t="shared" si="29"/>
        <v>-4.7299442839725252</v>
      </c>
      <c r="W311" s="154">
        <f>0.5120011+2.8248068+0.3438556</f>
        <v>3.6806635000000001</v>
      </c>
      <c r="X311" s="3">
        <f>W311</f>
        <v>3.6806635000000001</v>
      </c>
      <c r="Y311" s="3"/>
      <c r="Z311" s="67">
        <f t="shared" si="30"/>
        <v>95.483042183972529</v>
      </c>
      <c r="AA311" s="67">
        <f t="shared" si="31"/>
        <v>-4.7299442839725252</v>
      </c>
      <c r="AB311" s="3"/>
      <c r="AC311" s="3"/>
      <c r="AD311" s="3"/>
      <c r="AE311" s="67">
        <f t="shared" si="32"/>
        <v>95.483042183972529</v>
      </c>
      <c r="AF311" s="67">
        <f t="shared" si="33"/>
        <v>-4.7299442839725252</v>
      </c>
    </row>
    <row r="312" spans="1:32" ht="78">
      <c r="A312" s="41">
        <f t="shared" si="34"/>
        <v>310</v>
      </c>
      <c r="B312" s="34" t="s">
        <v>985</v>
      </c>
      <c r="C312" s="34" t="s">
        <v>1002</v>
      </c>
      <c r="D312" s="34" t="s">
        <v>1019</v>
      </c>
      <c r="E312" s="41" t="s">
        <v>1359</v>
      </c>
      <c r="F312" s="43" t="s">
        <v>487</v>
      </c>
      <c r="G312" s="41" t="s">
        <v>28</v>
      </c>
      <c r="H312" s="41"/>
      <c r="I312" s="64">
        <v>43486</v>
      </c>
      <c r="J312" s="64">
        <v>43486</v>
      </c>
      <c r="K312" s="41"/>
      <c r="L312" s="65">
        <v>92.55</v>
      </c>
      <c r="M312" s="65">
        <v>92.55</v>
      </c>
      <c r="N312" s="41" t="s">
        <v>32</v>
      </c>
      <c r="O312" s="65">
        <v>92.55</v>
      </c>
      <c r="P312" s="3">
        <v>0</v>
      </c>
      <c r="Q312" s="3">
        <v>0</v>
      </c>
      <c r="R312" s="3"/>
      <c r="S312" s="3"/>
      <c r="T312" s="3"/>
      <c r="U312" s="67">
        <f t="shared" si="28"/>
        <v>0</v>
      </c>
      <c r="V312" s="67">
        <f t="shared" si="29"/>
        <v>0</v>
      </c>
      <c r="W312" s="3"/>
      <c r="X312" s="3"/>
      <c r="Y312" s="3"/>
      <c r="Z312" s="67">
        <f t="shared" si="30"/>
        <v>0</v>
      </c>
      <c r="AA312" s="67">
        <f t="shared" si="31"/>
        <v>0</v>
      </c>
      <c r="AB312" s="3"/>
      <c r="AC312" s="3"/>
      <c r="AD312" s="3"/>
      <c r="AE312" s="67">
        <f t="shared" si="32"/>
        <v>0</v>
      </c>
      <c r="AF312" s="67">
        <f t="shared" si="33"/>
        <v>0</v>
      </c>
    </row>
    <row r="313" spans="1:32" ht="124.8">
      <c r="A313" s="41">
        <f t="shared" si="34"/>
        <v>311</v>
      </c>
      <c r="B313" s="34" t="s">
        <v>808</v>
      </c>
      <c r="C313" s="34" t="s">
        <v>876</v>
      </c>
      <c r="D313" s="34" t="s">
        <v>1019</v>
      </c>
      <c r="E313" s="41" t="s">
        <v>1360</v>
      </c>
      <c r="F313" s="43" t="s">
        <v>488</v>
      </c>
      <c r="G313" s="41" t="s">
        <v>28</v>
      </c>
      <c r="H313" s="41"/>
      <c r="I313" s="64">
        <v>43486</v>
      </c>
      <c r="J313" s="64">
        <v>43486</v>
      </c>
      <c r="K313" s="41" t="s">
        <v>1024</v>
      </c>
      <c r="L313" s="65">
        <v>139.13</v>
      </c>
      <c r="M313" s="65">
        <v>153.68</v>
      </c>
      <c r="N313" s="41" t="s">
        <v>32</v>
      </c>
      <c r="O313" s="65">
        <v>151.68</v>
      </c>
      <c r="P313" s="3">
        <v>0</v>
      </c>
      <c r="Q313" s="66">
        <v>147.71547519999999</v>
      </c>
      <c r="R313" s="25">
        <v>3.0921256000000001</v>
      </c>
      <c r="S313" s="3"/>
      <c r="T313" s="3"/>
      <c r="U313" s="67">
        <f t="shared" si="28"/>
        <v>0</v>
      </c>
      <c r="V313" s="67">
        <f t="shared" si="29"/>
        <v>150.80760079999999</v>
      </c>
      <c r="W313" s="3">
        <f>O313-V313</f>
        <v>0.87239920000001803</v>
      </c>
      <c r="X313" s="3">
        <f>V313+W313</f>
        <v>151.68</v>
      </c>
      <c r="Y313" s="3"/>
      <c r="Z313" s="67">
        <f t="shared" si="30"/>
        <v>151.68</v>
      </c>
      <c r="AA313" s="67">
        <f t="shared" si="31"/>
        <v>0</v>
      </c>
      <c r="AB313" s="3"/>
      <c r="AC313" s="3"/>
      <c r="AD313" s="3"/>
      <c r="AE313" s="67">
        <f t="shared" si="32"/>
        <v>151.68</v>
      </c>
      <c r="AF313" s="67">
        <f t="shared" si="33"/>
        <v>0</v>
      </c>
    </row>
    <row r="314" spans="1:32" ht="78">
      <c r="A314" s="41">
        <f t="shared" si="34"/>
        <v>312</v>
      </c>
      <c r="B314" s="34" t="s">
        <v>792</v>
      </c>
      <c r="C314" s="34" t="s">
        <v>1002</v>
      </c>
      <c r="D314" s="34" t="s">
        <v>1019</v>
      </c>
      <c r="E314" s="41" t="s">
        <v>1361</v>
      </c>
      <c r="F314" s="43" t="s">
        <v>489</v>
      </c>
      <c r="G314" s="41" t="s">
        <v>28</v>
      </c>
      <c r="H314" s="41"/>
      <c r="I314" s="64">
        <v>43486</v>
      </c>
      <c r="J314" s="64">
        <v>43486</v>
      </c>
      <c r="K314" s="41"/>
      <c r="L314" s="65">
        <v>148.62</v>
      </c>
      <c r="M314" s="65">
        <v>167.45</v>
      </c>
      <c r="N314" s="41" t="s">
        <v>32</v>
      </c>
      <c r="O314" s="65">
        <v>148.62</v>
      </c>
      <c r="P314" s="3">
        <v>0</v>
      </c>
      <c r="Q314" s="66">
        <v>61.872316299999994</v>
      </c>
      <c r="R314" s="25">
        <v>24.3879485</v>
      </c>
      <c r="S314" s="3"/>
      <c r="T314" s="3"/>
      <c r="U314" s="67">
        <f t="shared" si="28"/>
        <v>0</v>
      </c>
      <c r="V314" s="67">
        <f t="shared" si="29"/>
        <v>86.260264799999987</v>
      </c>
      <c r="W314" s="154">
        <f>2.9172124+5.1662078+3.0429745+2.8084593+0.9901748+5</f>
        <v>19.9250288</v>
      </c>
      <c r="X314" s="3"/>
      <c r="Y314" s="3"/>
      <c r="Z314" s="67">
        <f t="shared" si="30"/>
        <v>0</v>
      </c>
      <c r="AA314" s="67">
        <f t="shared" si="31"/>
        <v>106.18529359999999</v>
      </c>
      <c r="AB314" s="3">
        <v>30.434706400000017</v>
      </c>
      <c r="AC314" s="3">
        <f>AA314+AB314</f>
        <v>136.62</v>
      </c>
      <c r="AD314" s="3"/>
      <c r="AE314" s="67">
        <f t="shared" si="32"/>
        <v>136.62</v>
      </c>
      <c r="AF314" s="67">
        <f t="shared" si="33"/>
        <v>0</v>
      </c>
    </row>
    <row r="315" spans="1:32" ht="62.4">
      <c r="A315" s="41">
        <f t="shared" si="34"/>
        <v>313</v>
      </c>
      <c r="B315" s="34" t="s">
        <v>986</v>
      </c>
      <c r="C315" s="34" t="s">
        <v>1002</v>
      </c>
      <c r="D315" s="34" t="s">
        <v>1019</v>
      </c>
      <c r="E315" s="41" t="s">
        <v>1362</v>
      </c>
      <c r="F315" s="43" t="s">
        <v>490</v>
      </c>
      <c r="G315" s="41" t="s">
        <v>28</v>
      </c>
      <c r="H315" s="41">
        <v>7</v>
      </c>
      <c r="I315" s="41" t="s">
        <v>491</v>
      </c>
      <c r="J315" s="41" t="s">
        <v>491</v>
      </c>
      <c r="K315" s="41" t="s">
        <v>492</v>
      </c>
      <c r="L315" s="65">
        <v>250.51</v>
      </c>
      <c r="M315" s="65">
        <v>250.51</v>
      </c>
      <c r="N315" s="41" t="s">
        <v>32</v>
      </c>
      <c r="O315" s="65">
        <v>219.66</v>
      </c>
      <c r="P315" s="3">
        <v>0</v>
      </c>
      <c r="Q315" s="66">
        <v>19.722967300000001</v>
      </c>
      <c r="R315" s="25">
        <v>142.1317109</v>
      </c>
      <c r="S315" s="3"/>
      <c r="T315" s="3"/>
      <c r="U315" s="67">
        <f t="shared" si="28"/>
        <v>0</v>
      </c>
      <c r="V315" s="67">
        <f t="shared" si="29"/>
        <v>161.8546782</v>
      </c>
      <c r="W315" s="155">
        <f>7.7233215+4.0325506+0.6229137+3.5999305+3.4095275+5.3721491+1.0460105+2.6726639</f>
        <v>28.479067300000001</v>
      </c>
      <c r="X315" s="3"/>
      <c r="Y315" s="3"/>
      <c r="Z315" s="67">
        <f t="shared" si="30"/>
        <v>0</v>
      </c>
      <c r="AA315" s="67">
        <f t="shared" si="31"/>
        <v>190.33374549999999</v>
      </c>
      <c r="AB315" s="3">
        <f>O315-AA315</f>
        <v>29.326254500000005</v>
      </c>
      <c r="AC315" s="3">
        <f>AA315+AB315</f>
        <v>219.66</v>
      </c>
      <c r="AD315" s="3"/>
      <c r="AE315" s="67">
        <f t="shared" si="32"/>
        <v>219.66</v>
      </c>
      <c r="AF315" s="67">
        <f t="shared" si="33"/>
        <v>0</v>
      </c>
    </row>
    <row r="316" spans="1:32" ht="124.8">
      <c r="A316" s="41">
        <f t="shared" si="34"/>
        <v>314</v>
      </c>
      <c r="B316" s="34" t="s">
        <v>800</v>
      </c>
      <c r="C316" s="34" t="s">
        <v>876</v>
      </c>
      <c r="D316" s="34" t="s">
        <v>1019</v>
      </c>
      <c r="E316" s="41" t="s">
        <v>1363</v>
      </c>
      <c r="F316" s="43" t="s">
        <v>493</v>
      </c>
      <c r="G316" s="41" t="s">
        <v>28</v>
      </c>
      <c r="H316" s="41"/>
      <c r="I316" s="64">
        <v>43486</v>
      </c>
      <c r="J316" s="64">
        <v>43486</v>
      </c>
      <c r="K316" s="41" t="s">
        <v>440</v>
      </c>
      <c r="L316" s="65">
        <v>188.85</v>
      </c>
      <c r="M316" s="65">
        <v>200.62</v>
      </c>
      <c r="N316" s="41" t="s">
        <v>32</v>
      </c>
      <c r="O316" s="65">
        <v>174.98</v>
      </c>
      <c r="P316" s="3">
        <v>0</v>
      </c>
      <c r="Q316" s="66">
        <v>131.094245</v>
      </c>
      <c r="R316" s="25">
        <v>40.076923200000003</v>
      </c>
      <c r="S316" s="3"/>
      <c r="T316" s="3"/>
      <c r="U316" s="67">
        <f t="shared" si="28"/>
        <v>0</v>
      </c>
      <c r="V316" s="67">
        <f t="shared" si="29"/>
        <v>171.17116820000001</v>
      </c>
      <c r="W316" s="69">
        <f>O316-V316</f>
        <v>3.8088317999999788</v>
      </c>
      <c r="X316" s="3">
        <f>V316+W316</f>
        <v>174.98</v>
      </c>
      <c r="Y316" s="3"/>
      <c r="Z316" s="67">
        <f t="shared" si="30"/>
        <v>174.98</v>
      </c>
      <c r="AA316" s="67">
        <f t="shared" si="31"/>
        <v>0</v>
      </c>
      <c r="AB316" s="3"/>
      <c r="AC316" s="3"/>
      <c r="AD316" s="3"/>
      <c r="AE316" s="67">
        <f t="shared" si="32"/>
        <v>174.98</v>
      </c>
      <c r="AF316" s="67">
        <f t="shared" si="33"/>
        <v>0</v>
      </c>
    </row>
    <row r="317" spans="1:32" ht="46.8">
      <c r="A317" s="41">
        <f t="shared" si="34"/>
        <v>315</v>
      </c>
      <c r="B317" s="34" t="s">
        <v>733</v>
      </c>
      <c r="C317" s="34" t="s">
        <v>1002</v>
      </c>
      <c r="D317" s="34" t="s">
        <v>1019</v>
      </c>
      <c r="E317" s="41" t="s">
        <v>1364</v>
      </c>
      <c r="F317" s="43" t="s">
        <v>494</v>
      </c>
      <c r="G317" s="41" t="s">
        <v>28</v>
      </c>
      <c r="H317" s="41">
        <v>5</v>
      </c>
      <c r="I317" s="64">
        <v>43521</v>
      </c>
      <c r="J317" s="64">
        <v>43521</v>
      </c>
      <c r="K317" s="64" t="s">
        <v>495</v>
      </c>
      <c r="L317" s="65">
        <v>8.4499999999999993</v>
      </c>
      <c r="M317" s="41">
        <v>10.66</v>
      </c>
      <c r="N317" s="41" t="s">
        <v>32</v>
      </c>
      <c r="O317" s="65">
        <v>9.4600000000000009</v>
      </c>
      <c r="P317" s="3">
        <v>0</v>
      </c>
      <c r="Q317" s="66">
        <v>9.3834699000000015</v>
      </c>
      <c r="R317" s="69"/>
      <c r="S317" s="3"/>
      <c r="T317" s="3"/>
      <c r="U317" s="67">
        <f t="shared" si="28"/>
        <v>0</v>
      </c>
      <c r="V317" s="67">
        <f t="shared" si="29"/>
        <v>9.3834699000000015</v>
      </c>
      <c r="W317" s="3">
        <f>O317-V317</f>
        <v>7.6530099999999379E-2</v>
      </c>
      <c r="X317" s="67">
        <f>V317+W317</f>
        <v>9.4600000000000009</v>
      </c>
      <c r="Y317" s="3"/>
      <c r="Z317" s="67">
        <f t="shared" si="30"/>
        <v>9.4600000000000009</v>
      </c>
      <c r="AA317" s="67">
        <f t="shared" si="31"/>
        <v>0</v>
      </c>
      <c r="AB317" s="3"/>
      <c r="AC317" s="3"/>
      <c r="AD317" s="3"/>
      <c r="AE317" s="67">
        <f t="shared" si="32"/>
        <v>9.4600000000000009</v>
      </c>
      <c r="AF317" s="67">
        <f t="shared" si="33"/>
        <v>0</v>
      </c>
    </row>
    <row r="318" spans="1:32" ht="46.8">
      <c r="A318" s="41">
        <f t="shared" si="34"/>
        <v>316</v>
      </c>
      <c r="B318" s="34" t="s">
        <v>734</v>
      </c>
      <c r="C318" s="34" t="s">
        <v>1002</v>
      </c>
      <c r="D318" s="41" t="s">
        <v>1019</v>
      </c>
      <c r="E318" s="41" t="s">
        <v>1365</v>
      </c>
      <c r="F318" s="43" t="s">
        <v>496</v>
      </c>
      <c r="G318" s="41" t="s">
        <v>28</v>
      </c>
      <c r="H318" s="41">
        <v>6</v>
      </c>
      <c r="I318" s="64">
        <v>43521</v>
      </c>
      <c r="J318" s="64">
        <v>43521</v>
      </c>
      <c r="K318" s="64" t="s">
        <v>495</v>
      </c>
      <c r="L318" s="65">
        <v>7.22</v>
      </c>
      <c r="M318" s="41">
        <v>7.99</v>
      </c>
      <c r="N318" s="41" t="s">
        <v>32</v>
      </c>
      <c r="O318" s="65">
        <v>5.96</v>
      </c>
      <c r="P318" s="3">
        <v>0</v>
      </c>
      <c r="Q318" s="66">
        <v>4.9405463000000003</v>
      </c>
      <c r="R318" s="69"/>
      <c r="S318" s="3"/>
      <c r="T318" s="3"/>
      <c r="U318" s="67">
        <f t="shared" si="28"/>
        <v>0</v>
      </c>
      <c r="V318" s="67">
        <f t="shared" si="29"/>
        <v>4.9405463000000003</v>
      </c>
      <c r="W318" s="3">
        <f>O318-V318</f>
        <v>1.0194536999999997</v>
      </c>
      <c r="X318" s="3">
        <f>V318+W318</f>
        <v>5.96</v>
      </c>
      <c r="Y318" s="3"/>
      <c r="Z318" s="67">
        <f t="shared" si="30"/>
        <v>5.96</v>
      </c>
      <c r="AA318" s="67">
        <f t="shared" si="31"/>
        <v>0</v>
      </c>
      <c r="AB318" s="3"/>
      <c r="AC318" s="3"/>
      <c r="AD318" s="3"/>
      <c r="AE318" s="67">
        <f t="shared" si="32"/>
        <v>5.96</v>
      </c>
      <c r="AF318" s="67">
        <f t="shared" si="33"/>
        <v>0</v>
      </c>
    </row>
    <row r="319" spans="1:32" ht="93.6">
      <c r="A319" s="41">
        <f t="shared" si="34"/>
        <v>317</v>
      </c>
      <c r="B319" s="34" t="s">
        <v>987</v>
      </c>
      <c r="C319" s="34" t="s">
        <v>1002</v>
      </c>
      <c r="D319" s="41" t="s">
        <v>1019</v>
      </c>
      <c r="E319" s="41" t="s">
        <v>1366</v>
      </c>
      <c r="F319" s="43" t="s">
        <v>497</v>
      </c>
      <c r="G319" s="41" t="s">
        <v>28</v>
      </c>
      <c r="H319" s="41">
        <v>3</v>
      </c>
      <c r="I319" s="64">
        <v>43521</v>
      </c>
      <c r="J319" s="64">
        <v>43521</v>
      </c>
      <c r="K319" s="64" t="s">
        <v>498</v>
      </c>
      <c r="L319" s="65">
        <v>18.95</v>
      </c>
      <c r="M319" s="41">
        <v>18.38</v>
      </c>
      <c r="N319" s="41" t="s">
        <v>32</v>
      </c>
      <c r="O319" s="65">
        <v>18.239999999999998</v>
      </c>
      <c r="P319" s="66">
        <v>18.37</v>
      </c>
      <c r="Q319" s="3">
        <v>0</v>
      </c>
      <c r="R319" s="3"/>
      <c r="S319" s="3"/>
      <c r="T319" s="3"/>
      <c r="U319" s="67">
        <f t="shared" si="28"/>
        <v>18.37</v>
      </c>
      <c r="V319" s="67">
        <f t="shared" si="29"/>
        <v>0</v>
      </c>
      <c r="W319" s="3"/>
      <c r="X319" s="3"/>
      <c r="Y319" s="3"/>
      <c r="Z319" s="67">
        <f t="shared" si="30"/>
        <v>18.37</v>
      </c>
      <c r="AA319" s="67">
        <f t="shared" si="31"/>
        <v>0</v>
      </c>
      <c r="AB319" s="3"/>
      <c r="AC319" s="3"/>
      <c r="AD319" s="3"/>
      <c r="AE319" s="67">
        <f t="shared" si="32"/>
        <v>18.37</v>
      </c>
      <c r="AF319" s="67">
        <f t="shared" si="33"/>
        <v>0</v>
      </c>
    </row>
    <row r="320" spans="1:32" ht="93.6">
      <c r="A320" s="41">
        <f t="shared" si="34"/>
        <v>318</v>
      </c>
      <c r="B320" s="34" t="s">
        <v>988</v>
      </c>
      <c r="C320" s="34" t="s">
        <v>1002</v>
      </c>
      <c r="D320" s="41" t="s">
        <v>1019</v>
      </c>
      <c r="E320" s="41" t="s">
        <v>1367</v>
      </c>
      <c r="F320" s="43" t="s">
        <v>499</v>
      </c>
      <c r="G320" s="41" t="s">
        <v>28</v>
      </c>
      <c r="H320" s="41">
        <v>4</v>
      </c>
      <c r="I320" s="64">
        <v>43521</v>
      </c>
      <c r="J320" s="64">
        <v>43521</v>
      </c>
      <c r="K320" s="64" t="s">
        <v>498</v>
      </c>
      <c r="L320" s="41">
        <v>17.09</v>
      </c>
      <c r="M320" s="41">
        <v>18.38</v>
      </c>
      <c r="N320" s="41" t="s">
        <v>32</v>
      </c>
      <c r="O320" s="159">
        <v>17.100000000000001</v>
      </c>
      <c r="P320" s="66">
        <v>16.45</v>
      </c>
      <c r="Q320" s="3">
        <v>0</v>
      </c>
      <c r="R320" s="25">
        <v>0.13618849999999999</v>
      </c>
      <c r="S320" s="3">
        <f>0.0124961+0.0118+0.0382314+0.054781+0.01888</f>
        <v>0.13618850000000002</v>
      </c>
      <c r="T320" s="3"/>
      <c r="U320" s="67">
        <f t="shared" si="28"/>
        <v>16.586188499999999</v>
      </c>
      <c r="V320" s="67">
        <f t="shared" si="29"/>
        <v>-2.7755575615628914E-17</v>
      </c>
      <c r="W320" s="3"/>
      <c r="X320" s="3"/>
      <c r="Y320" s="3"/>
      <c r="Z320" s="67">
        <f t="shared" si="30"/>
        <v>16.586188499999999</v>
      </c>
      <c r="AA320" s="67">
        <f t="shared" si="31"/>
        <v>-2.7755575615628914E-17</v>
      </c>
      <c r="AB320" s="3"/>
      <c r="AC320" s="3"/>
      <c r="AD320" s="3"/>
      <c r="AE320" s="67">
        <f t="shared" si="32"/>
        <v>16.586188499999999</v>
      </c>
      <c r="AF320" s="67">
        <f t="shared" si="33"/>
        <v>-2.7755575615628914E-17</v>
      </c>
    </row>
    <row r="321" spans="1:32" ht="62.4">
      <c r="A321" s="41">
        <f t="shared" si="34"/>
        <v>319</v>
      </c>
      <c r="B321" s="34" t="s">
        <v>735</v>
      </c>
      <c r="C321" s="34" t="s">
        <v>1002</v>
      </c>
      <c r="D321" s="34" t="s">
        <v>1020</v>
      </c>
      <c r="E321" s="41" t="s">
        <v>1368</v>
      </c>
      <c r="F321" s="43" t="s">
        <v>500</v>
      </c>
      <c r="G321" s="41"/>
      <c r="H321" s="41"/>
      <c r="I321" s="41"/>
      <c r="J321" s="41"/>
      <c r="K321" s="41"/>
      <c r="L321" s="65">
        <v>41.59</v>
      </c>
      <c r="M321" s="3">
        <v>0</v>
      </c>
      <c r="N321" s="41" t="s">
        <v>32</v>
      </c>
      <c r="O321" s="65">
        <v>41.58</v>
      </c>
      <c r="P321" s="3">
        <v>0</v>
      </c>
      <c r="Q321" s="3">
        <v>28.372726199999999</v>
      </c>
      <c r="R321" s="25">
        <v>6.9375141999999999</v>
      </c>
      <c r="S321" s="3"/>
      <c r="T321" s="3"/>
      <c r="U321" s="67">
        <f t="shared" si="28"/>
        <v>0</v>
      </c>
      <c r="V321" s="67">
        <f t="shared" si="29"/>
        <v>35.310240399999998</v>
      </c>
      <c r="W321" s="154">
        <f>O321-V321</f>
        <v>6.2697596000000004</v>
      </c>
      <c r="X321" s="3">
        <f>V321+W321</f>
        <v>41.58</v>
      </c>
      <c r="Y321" s="3"/>
      <c r="Z321" s="67">
        <f t="shared" si="30"/>
        <v>41.58</v>
      </c>
      <c r="AA321" s="67">
        <f t="shared" si="31"/>
        <v>0</v>
      </c>
      <c r="AB321" s="3"/>
      <c r="AC321" s="3"/>
      <c r="AD321" s="3"/>
      <c r="AE321" s="67">
        <f t="shared" si="32"/>
        <v>41.58</v>
      </c>
      <c r="AF321" s="67">
        <f t="shared" si="33"/>
        <v>0</v>
      </c>
    </row>
    <row r="322" spans="1:32" ht="46.8">
      <c r="A322" s="41">
        <f t="shared" si="34"/>
        <v>320</v>
      </c>
      <c r="B322" s="34" t="s">
        <v>692</v>
      </c>
      <c r="C322" s="34" t="s">
        <v>1002</v>
      </c>
      <c r="D322" s="34" t="s">
        <v>1020</v>
      </c>
      <c r="E322" s="41" t="s">
        <v>1369</v>
      </c>
      <c r="F322" s="43" t="s">
        <v>501</v>
      </c>
      <c r="G322" s="41"/>
      <c r="H322" s="41"/>
      <c r="I322" s="41"/>
      <c r="J322" s="41"/>
      <c r="K322" s="41"/>
      <c r="L322" s="65">
        <v>22.26</v>
      </c>
      <c r="M322" s="3">
        <v>0</v>
      </c>
      <c r="N322" s="41" t="s">
        <v>32</v>
      </c>
      <c r="O322" s="65">
        <v>22.26</v>
      </c>
      <c r="P322" s="3">
        <v>0</v>
      </c>
      <c r="Q322" s="3">
        <v>19.0347142</v>
      </c>
      <c r="R322" s="25">
        <v>1.5394441999999999</v>
      </c>
      <c r="S322" s="3"/>
      <c r="T322" s="3"/>
      <c r="U322" s="67">
        <f t="shared" si="28"/>
        <v>0</v>
      </c>
      <c r="V322" s="67">
        <f t="shared" si="29"/>
        <v>20.574158399999998</v>
      </c>
      <c r="W322" s="154">
        <f>O322-V322</f>
        <v>1.6858416000000034</v>
      </c>
      <c r="X322" s="3">
        <f>V322+W322</f>
        <v>22.26</v>
      </c>
      <c r="Y322" s="3"/>
      <c r="Z322" s="67">
        <f t="shared" si="30"/>
        <v>22.26</v>
      </c>
      <c r="AA322" s="67">
        <f t="shared" si="31"/>
        <v>0</v>
      </c>
      <c r="AB322" s="3"/>
      <c r="AC322" s="3"/>
      <c r="AD322" s="3"/>
      <c r="AE322" s="67">
        <f t="shared" si="32"/>
        <v>22.26</v>
      </c>
      <c r="AF322" s="67">
        <f t="shared" si="33"/>
        <v>0</v>
      </c>
    </row>
    <row r="323" spans="1:32" ht="78">
      <c r="A323" s="41">
        <f t="shared" si="34"/>
        <v>321</v>
      </c>
      <c r="B323" s="34" t="s">
        <v>708</v>
      </c>
      <c r="C323" s="34" t="s">
        <v>876</v>
      </c>
      <c r="D323" s="41" t="s">
        <v>1019</v>
      </c>
      <c r="E323" s="41" t="s">
        <v>1370</v>
      </c>
      <c r="F323" s="43" t="s">
        <v>502</v>
      </c>
      <c r="G323" s="41" t="s">
        <v>28</v>
      </c>
      <c r="H323" s="41"/>
      <c r="I323" s="41" t="s">
        <v>1025</v>
      </c>
      <c r="J323" s="41" t="s">
        <v>1025</v>
      </c>
      <c r="K323" s="41" t="s">
        <v>1026</v>
      </c>
      <c r="L323" s="3">
        <v>41.51</v>
      </c>
      <c r="M323" s="65">
        <v>46.95</v>
      </c>
      <c r="N323" s="41" t="s">
        <v>32</v>
      </c>
      <c r="O323" s="65">
        <v>38.049999999999997</v>
      </c>
      <c r="P323" s="3">
        <v>0</v>
      </c>
      <c r="Q323" s="66">
        <v>1.8141084000000001</v>
      </c>
      <c r="R323" s="25">
        <v>0.92939950000000005</v>
      </c>
      <c r="S323" s="3"/>
      <c r="T323" s="3"/>
      <c r="U323" s="67">
        <f t="shared" si="28"/>
        <v>0</v>
      </c>
      <c r="V323" s="67">
        <f t="shared" si="29"/>
        <v>2.7435079</v>
      </c>
      <c r="W323" s="69">
        <v>8</v>
      </c>
      <c r="X323" s="3"/>
      <c r="Y323" s="3"/>
      <c r="Z323" s="67">
        <f t="shared" si="30"/>
        <v>0</v>
      </c>
      <c r="AA323" s="67">
        <f t="shared" si="31"/>
        <v>10.743507900000001</v>
      </c>
      <c r="AB323" s="3">
        <f>O323-AA323</f>
        <v>27.306492099999996</v>
      </c>
      <c r="AC323" s="3">
        <f>AA323+AB323</f>
        <v>38.049999999999997</v>
      </c>
      <c r="AD323" s="3"/>
      <c r="AE323" s="67">
        <f t="shared" si="32"/>
        <v>38.049999999999997</v>
      </c>
      <c r="AF323" s="67">
        <f t="shared" si="33"/>
        <v>0</v>
      </c>
    </row>
    <row r="324" spans="1:32" ht="93.6">
      <c r="A324" s="41">
        <f t="shared" si="34"/>
        <v>322</v>
      </c>
      <c r="B324" s="34" t="s">
        <v>715</v>
      </c>
      <c r="C324" s="34" t="s">
        <v>876</v>
      </c>
      <c r="D324" s="41" t="s">
        <v>1019</v>
      </c>
      <c r="E324" s="41" t="s">
        <v>1371</v>
      </c>
      <c r="F324" s="43" t="s">
        <v>503</v>
      </c>
      <c r="G324" s="41" t="s">
        <v>28</v>
      </c>
      <c r="H324" s="41"/>
      <c r="I324" s="64">
        <v>43486</v>
      </c>
      <c r="J324" s="64">
        <v>43486</v>
      </c>
      <c r="K324" s="41" t="s">
        <v>462</v>
      </c>
      <c r="L324" s="65">
        <v>42.19</v>
      </c>
      <c r="M324" s="3">
        <v>0</v>
      </c>
      <c r="N324" s="41" t="s">
        <v>32</v>
      </c>
      <c r="O324" s="65">
        <v>43.33</v>
      </c>
      <c r="P324" s="3">
        <v>0</v>
      </c>
      <c r="Q324" s="66">
        <v>42.076418000000004</v>
      </c>
      <c r="R324" s="25">
        <v>7.1165800000000001E-2</v>
      </c>
      <c r="S324" s="3"/>
      <c r="T324" s="3"/>
      <c r="U324" s="67">
        <f t="shared" ref="U324:U387" si="36">P324+S324+T324</f>
        <v>0</v>
      </c>
      <c r="V324" s="67">
        <f t="shared" ref="V324:V387" si="37">Q324+R324-S324-T324</f>
        <v>42.147583800000007</v>
      </c>
      <c r="W324" s="154">
        <f>O324-V324</f>
        <v>1.1824161999999916</v>
      </c>
      <c r="X324" s="3">
        <f>V324+W324</f>
        <v>43.33</v>
      </c>
      <c r="Y324" s="3"/>
      <c r="Z324" s="67">
        <f t="shared" ref="Z324:Z387" si="38">U324+X324+Y324</f>
        <v>43.33</v>
      </c>
      <c r="AA324" s="67">
        <f t="shared" ref="AA324:AA387" si="39">V324+W324-X324-Y324</f>
        <v>0</v>
      </c>
      <c r="AB324" s="3"/>
      <c r="AC324" s="3"/>
      <c r="AD324" s="3"/>
      <c r="AE324" s="67">
        <f t="shared" ref="AE324:AE387" si="40">Z324+AC324+AD324</f>
        <v>43.33</v>
      </c>
      <c r="AF324" s="67">
        <f t="shared" ref="AF324:AF387" si="41">AA324+AB324-AC324-AD324</f>
        <v>0</v>
      </c>
    </row>
    <row r="325" spans="1:32" ht="62.4">
      <c r="A325" s="41">
        <f t="shared" ref="A325:A388" si="42">A324+1</f>
        <v>323</v>
      </c>
      <c r="B325" s="34" t="s">
        <v>740</v>
      </c>
      <c r="C325" s="34" t="s">
        <v>876</v>
      </c>
      <c r="D325" s="41" t="s">
        <v>1019</v>
      </c>
      <c r="E325" s="41" t="s">
        <v>1372</v>
      </c>
      <c r="F325" s="43" t="s">
        <v>504</v>
      </c>
      <c r="G325" s="41" t="s">
        <v>28</v>
      </c>
      <c r="H325" s="41"/>
      <c r="I325" s="41" t="s">
        <v>1027</v>
      </c>
      <c r="J325" s="41" t="s">
        <v>1027</v>
      </c>
      <c r="K325" s="41" t="s">
        <v>1028</v>
      </c>
      <c r="L325" s="65">
        <v>58.27</v>
      </c>
      <c r="M325" s="3">
        <v>0</v>
      </c>
      <c r="N325" s="41" t="s">
        <v>32</v>
      </c>
      <c r="O325" s="65">
        <v>58.27</v>
      </c>
      <c r="P325" s="3">
        <v>0</v>
      </c>
      <c r="Q325" s="66">
        <v>18.7390984</v>
      </c>
      <c r="R325" s="25">
        <v>6.0238098000000004</v>
      </c>
      <c r="S325" s="3"/>
      <c r="T325" s="3"/>
      <c r="U325" s="67">
        <f t="shared" si="36"/>
        <v>0</v>
      </c>
      <c r="V325" s="67">
        <f t="shared" si="37"/>
        <v>24.762908199999998</v>
      </c>
      <c r="W325" s="154">
        <f>O325-V325</f>
        <v>33.507091800000005</v>
      </c>
      <c r="X325" s="3">
        <f>V325+W325</f>
        <v>58.27</v>
      </c>
      <c r="Y325" s="3"/>
      <c r="Z325" s="67">
        <f t="shared" si="38"/>
        <v>58.27</v>
      </c>
      <c r="AA325" s="67">
        <f t="shared" si="39"/>
        <v>0</v>
      </c>
      <c r="AB325" s="3"/>
      <c r="AC325" s="3"/>
      <c r="AD325" s="3"/>
      <c r="AE325" s="67">
        <f t="shared" si="40"/>
        <v>58.27</v>
      </c>
      <c r="AF325" s="67">
        <f t="shared" si="41"/>
        <v>0</v>
      </c>
    </row>
    <row r="326" spans="1:32" ht="124.8">
      <c r="A326" s="41">
        <f t="shared" si="42"/>
        <v>324</v>
      </c>
      <c r="B326" s="34" t="s">
        <v>746</v>
      </c>
      <c r="C326" s="34" t="s">
        <v>876</v>
      </c>
      <c r="D326" s="41" t="s">
        <v>1019</v>
      </c>
      <c r="E326" s="41" t="s">
        <v>1373</v>
      </c>
      <c r="F326" s="43" t="s">
        <v>505</v>
      </c>
      <c r="G326" s="41"/>
      <c r="H326" s="41"/>
      <c r="I326" s="41" t="s">
        <v>1029</v>
      </c>
      <c r="J326" s="41" t="s">
        <v>1029</v>
      </c>
      <c r="K326" s="41" t="s">
        <v>1030</v>
      </c>
      <c r="L326" s="65">
        <v>68.59</v>
      </c>
      <c r="M326" s="3">
        <v>0</v>
      </c>
      <c r="N326" s="41" t="s">
        <v>32</v>
      </c>
      <c r="O326" s="65">
        <v>68.59</v>
      </c>
      <c r="P326" s="3">
        <v>0</v>
      </c>
      <c r="Q326" s="66">
        <v>63.574730799999998</v>
      </c>
      <c r="R326" s="25">
        <v>6.5392735999999996</v>
      </c>
      <c r="S326" s="3"/>
      <c r="T326" s="3"/>
      <c r="U326" s="67">
        <f t="shared" si="36"/>
        <v>0</v>
      </c>
      <c r="V326" s="67">
        <f t="shared" si="37"/>
        <v>70.114004399999999</v>
      </c>
      <c r="W326" s="154">
        <f>1.5803674+0.5530896+1.2749659+1.1369107</f>
        <v>4.5453335999999993</v>
      </c>
      <c r="X326" s="3">
        <f>V326+W326</f>
        <v>74.659337999999991</v>
      </c>
      <c r="Y326" s="3"/>
      <c r="Z326" s="67">
        <f t="shared" si="38"/>
        <v>74.659337999999991</v>
      </c>
      <c r="AA326" s="67">
        <f t="shared" si="39"/>
        <v>0</v>
      </c>
      <c r="AB326" s="3"/>
      <c r="AC326" s="3"/>
      <c r="AD326" s="3"/>
      <c r="AE326" s="67">
        <f t="shared" si="40"/>
        <v>74.659337999999991</v>
      </c>
      <c r="AF326" s="67">
        <f t="shared" si="41"/>
        <v>0</v>
      </c>
    </row>
    <row r="327" spans="1:32" ht="78">
      <c r="A327" s="41">
        <f t="shared" si="42"/>
        <v>325</v>
      </c>
      <c r="B327" s="34" t="s">
        <v>824</v>
      </c>
      <c r="C327" s="34" t="s">
        <v>876</v>
      </c>
      <c r="D327" s="34" t="s">
        <v>1019</v>
      </c>
      <c r="E327" s="41" t="s">
        <v>1374</v>
      </c>
      <c r="F327" s="43" t="s">
        <v>506</v>
      </c>
      <c r="G327" s="41" t="s">
        <v>28</v>
      </c>
      <c r="H327" s="41"/>
      <c r="I327" s="41" t="s">
        <v>1031</v>
      </c>
      <c r="J327" s="41" t="s">
        <v>1031</v>
      </c>
      <c r="K327" s="41" t="s">
        <v>1032</v>
      </c>
      <c r="L327" s="65">
        <v>25.21</v>
      </c>
      <c r="M327" s="3">
        <v>0</v>
      </c>
      <c r="N327" s="41" t="s">
        <v>67</v>
      </c>
      <c r="O327" s="65">
        <v>25.21</v>
      </c>
      <c r="P327" s="3">
        <v>0</v>
      </c>
      <c r="Q327" s="3">
        <v>0</v>
      </c>
      <c r="R327" s="25">
        <v>13.0311872</v>
      </c>
      <c r="S327" s="3"/>
      <c r="T327" s="3"/>
      <c r="U327" s="67">
        <f t="shared" si="36"/>
        <v>0</v>
      </c>
      <c r="V327" s="67">
        <f t="shared" si="37"/>
        <v>13.0311872</v>
      </c>
      <c r="W327" s="154">
        <f>O327-V327</f>
        <v>12.178812800000001</v>
      </c>
      <c r="X327" s="3">
        <f>V327+W327</f>
        <v>25.21</v>
      </c>
      <c r="Y327" s="3"/>
      <c r="Z327" s="67">
        <f t="shared" si="38"/>
        <v>25.21</v>
      </c>
      <c r="AA327" s="67">
        <f t="shared" si="39"/>
        <v>0</v>
      </c>
      <c r="AB327" s="3"/>
      <c r="AC327" s="3"/>
      <c r="AD327" s="3"/>
      <c r="AE327" s="67">
        <f t="shared" si="40"/>
        <v>25.21</v>
      </c>
      <c r="AF327" s="67">
        <f t="shared" si="41"/>
        <v>0</v>
      </c>
    </row>
    <row r="328" spans="1:32" ht="62.4">
      <c r="A328" s="41">
        <f t="shared" si="42"/>
        <v>326</v>
      </c>
      <c r="B328" s="34" t="s">
        <v>989</v>
      </c>
      <c r="C328" s="34" t="s">
        <v>1002</v>
      </c>
      <c r="D328" s="41" t="s">
        <v>1019</v>
      </c>
      <c r="E328" s="41" t="s">
        <v>1375</v>
      </c>
      <c r="F328" s="43" t="s">
        <v>510</v>
      </c>
      <c r="G328" s="41"/>
      <c r="H328" s="41"/>
      <c r="I328" s="41"/>
      <c r="J328" s="41"/>
      <c r="K328" s="41"/>
      <c r="L328" s="41"/>
      <c r="M328" s="41"/>
      <c r="N328" s="41" t="s">
        <v>32</v>
      </c>
      <c r="O328" s="65">
        <v>0.85</v>
      </c>
      <c r="P328" s="66">
        <v>0.85</v>
      </c>
      <c r="Q328" s="3">
        <v>0</v>
      </c>
      <c r="R328" s="3"/>
      <c r="S328" s="3"/>
      <c r="T328" s="3"/>
      <c r="U328" s="67">
        <f t="shared" si="36"/>
        <v>0.85</v>
      </c>
      <c r="V328" s="67">
        <f t="shared" si="37"/>
        <v>0</v>
      </c>
      <c r="W328" s="3"/>
      <c r="X328" s="3"/>
      <c r="Y328" s="3"/>
      <c r="Z328" s="67">
        <f t="shared" si="38"/>
        <v>0.85</v>
      </c>
      <c r="AA328" s="67">
        <f t="shared" si="39"/>
        <v>0</v>
      </c>
      <c r="AB328" s="3"/>
      <c r="AC328" s="3"/>
      <c r="AD328" s="3"/>
      <c r="AE328" s="67">
        <f t="shared" si="40"/>
        <v>0.85</v>
      </c>
      <c r="AF328" s="67">
        <f t="shared" si="41"/>
        <v>0</v>
      </c>
    </row>
    <row r="329" spans="1:32" ht="46.8">
      <c r="A329" s="41">
        <f t="shared" si="42"/>
        <v>327</v>
      </c>
      <c r="B329" s="34" t="s">
        <v>745</v>
      </c>
      <c r="C329" s="34" t="s">
        <v>876</v>
      </c>
      <c r="D329" s="41" t="s">
        <v>1019</v>
      </c>
      <c r="E329" s="41" t="s">
        <v>1376</v>
      </c>
      <c r="F329" s="43" t="s">
        <v>511</v>
      </c>
      <c r="G329" s="41" t="s">
        <v>28</v>
      </c>
      <c r="H329" s="41"/>
      <c r="I329" s="41"/>
      <c r="J329" s="41"/>
      <c r="K329" s="41"/>
      <c r="L329" s="65">
        <v>104.99</v>
      </c>
      <c r="M329" s="3">
        <v>0</v>
      </c>
      <c r="N329" s="41" t="s">
        <v>32</v>
      </c>
      <c r="O329" s="65">
        <v>104.99</v>
      </c>
      <c r="P329" s="3">
        <v>0</v>
      </c>
      <c r="Q329" s="66">
        <v>4.5199467999999996</v>
      </c>
      <c r="R329" s="25">
        <v>30.862167100000001</v>
      </c>
      <c r="S329" s="3"/>
      <c r="T329" s="3"/>
      <c r="U329" s="67">
        <f t="shared" si="36"/>
        <v>0</v>
      </c>
      <c r="V329" s="67">
        <f t="shared" si="37"/>
        <v>35.3821139</v>
      </c>
      <c r="W329" s="154">
        <f>O329-V329</f>
        <v>69.607886100000002</v>
      </c>
      <c r="X329" s="3">
        <f>V329+W329</f>
        <v>104.99000000000001</v>
      </c>
      <c r="Y329" s="3"/>
      <c r="Z329" s="67">
        <f t="shared" si="38"/>
        <v>104.99000000000001</v>
      </c>
      <c r="AA329" s="67">
        <f t="shared" si="39"/>
        <v>0</v>
      </c>
      <c r="AB329" s="3"/>
      <c r="AC329" s="3"/>
      <c r="AD329" s="3"/>
      <c r="AE329" s="67">
        <f t="shared" si="40"/>
        <v>104.99000000000001</v>
      </c>
      <c r="AF329" s="67">
        <f t="shared" si="41"/>
        <v>0</v>
      </c>
    </row>
    <row r="330" spans="1:32" ht="78">
      <c r="A330" s="41">
        <f t="shared" si="42"/>
        <v>328</v>
      </c>
      <c r="B330" s="41" t="s">
        <v>512</v>
      </c>
      <c r="C330" s="41" t="s">
        <v>876</v>
      </c>
      <c r="D330" s="41" t="s">
        <v>1019</v>
      </c>
      <c r="E330" s="41" t="s">
        <v>1377</v>
      </c>
      <c r="F330" s="43" t="s">
        <v>513</v>
      </c>
      <c r="G330" s="41" t="s">
        <v>28</v>
      </c>
      <c r="H330" s="41">
        <v>3</v>
      </c>
      <c r="I330" s="70" t="s">
        <v>514</v>
      </c>
      <c r="J330" s="70" t="s">
        <v>514</v>
      </c>
      <c r="K330" s="70" t="s">
        <v>515</v>
      </c>
      <c r="L330" s="3">
        <v>10.58</v>
      </c>
      <c r="M330" s="3"/>
      <c r="N330" s="41" t="s">
        <v>516</v>
      </c>
      <c r="O330" s="3">
        <v>0</v>
      </c>
      <c r="P330" s="3">
        <v>11.0064321</v>
      </c>
      <c r="Q330" s="66">
        <v>-1.6318999999995754E-3</v>
      </c>
      <c r="R330" s="69"/>
      <c r="S330" s="22"/>
      <c r="T330" s="3"/>
      <c r="U330" s="67">
        <f t="shared" si="36"/>
        <v>11.0064321</v>
      </c>
      <c r="V330" s="67">
        <f t="shared" si="37"/>
        <v>-1.6318999999995754E-3</v>
      </c>
      <c r="W330" s="3"/>
      <c r="X330" s="3"/>
      <c r="Y330" s="3"/>
      <c r="Z330" s="67">
        <f t="shared" si="38"/>
        <v>11.0064321</v>
      </c>
      <c r="AA330" s="67">
        <f t="shared" si="39"/>
        <v>-1.6318999999995754E-3</v>
      </c>
      <c r="AB330" s="3"/>
      <c r="AC330" s="3"/>
      <c r="AD330" s="3"/>
      <c r="AE330" s="67">
        <f t="shared" si="40"/>
        <v>11.0064321</v>
      </c>
      <c r="AF330" s="67">
        <f t="shared" si="41"/>
        <v>-1.6318999999995754E-3</v>
      </c>
    </row>
    <row r="331" spans="1:32" ht="93.6">
      <c r="A331" s="41">
        <f t="shared" si="42"/>
        <v>329</v>
      </c>
      <c r="B331" s="41" t="s">
        <v>517</v>
      </c>
      <c r="C331" s="41" t="s">
        <v>876</v>
      </c>
      <c r="D331" s="42" t="s">
        <v>1019</v>
      </c>
      <c r="E331" s="41" t="s">
        <v>1371</v>
      </c>
      <c r="F331" s="43" t="s">
        <v>518</v>
      </c>
      <c r="G331" s="41" t="s">
        <v>28</v>
      </c>
      <c r="H331" s="41">
        <v>3</v>
      </c>
      <c r="I331" s="41" t="s">
        <v>519</v>
      </c>
      <c r="J331" s="41" t="s">
        <v>519</v>
      </c>
      <c r="K331" s="41" t="s">
        <v>520</v>
      </c>
      <c r="L331" s="3">
        <v>2.57</v>
      </c>
      <c r="M331" s="3">
        <v>0</v>
      </c>
      <c r="N331" s="41" t="s">
        <v>516</v>
      </c>
      <c r="O331" s="3">
        <v>2.0550000000000002</v>
      </c>
      <c r="P331" s="3">
        <v>2.0179621000000001</v>
      </c>
      <c r="Q331" s="3">
        <v>-0.73566820000000011</v>
      </c>
      <c r="R331" s="25">
        <v>3.66526E-2</v>
      </c>
      <c r="S331" s="22">
        <f>0.0308706+0.005782</f>
        <v>3.66526E-2</v>
      </c>
      <c r="T331" s="3"/>
      <c r="U331" s="67">
        <f t="shared" si="36"/>
        <v>2.0546147000000001</v>
      </c>
      <c r="V331" s="67">
        <f t="shared" si="37"/>
        <v>-0.73566820000000011</v>
      </c>
      <c r="W331" s="69"/>
      <c r="X331" s="3"/>
      <c r="Y331" s="3"/>
      <c r="Z331" s="67">
        <f t="shared" si="38"/>
        <v>2.0546147000000001</v>
      </c>
      <c r="AA331" s="67">
        <f t="shared" si="39"/>
        <v>-0.73566820000000011</v>
      </c>
      <c r="AB331" s="3"/>
      <c r="AC331" s="3"/>
      <c r="AD331" s="3"/>
      <c r="AE331" s="67">
        <f t="shared" si="40"/>
        <v>2.0546147000000001</v>
      </c>
      <c r="AF331" s="67">
        <f t="shared" si="41"/>
        <v>-0.73566820000000011</v>
      </c>
    </row>
    <row r="332" spans="1:32" ht="78">
      <c r="A332" s="41">
        <f t="shared" si="42"/>
        <v>330</v>
      </c>
      <c r="B332" s="41" t="s">
        <v>521</v>
      </c>
      <c r="C332" s="41" t="s">
        <v>885</v>
      </c>
      <c r="D332" s="41" t="s">
        <v>1019</v>
      </c>
      <c r="E332" s="41" t="s">
        <v>1378</v>
      </c>
      <c r="F332" s="43" t="s">
        <v>522</v>
      </c>
      <c r="G332" s="41" t="s">
        <v>28</v>
      </c>
      <c r="H332" s="64"/>
      <c r="I332" s="64">
        <v>43396</v>
      </c>
      <c r="J332" s="64">
        <v>43396</v>
      </c>
      <c r="K332" s="65"/>
      <c r="L332" s="66">
        <v>1.08</v>
      </c>
      <c r="M332" s="3"/>
      <c r="N332" s="41" t="s">
        <v>516</v>
      </c>
      <c r="O332" s="3">
        <v>0</v>
      </c>
      <c r="P332" s="3">
        <v>1.0684762999999999</v>
      </c>
      <c r="Q332" s="66">
        <v>6.1942999999999859E-3</v>
      </c>
      <c r="R332" s="69"/>
      <c r="S332" s="22"/>
      <c r="T332" s="3"/>
      <c r="U332" s="67">
        <f t="shared" si="36"/>
        <v>1.0684762999999999</v>
      </c>
      <c r="V332" s="67">
        <f t="shared" si="37"/>
        <v>6.1942999999999859E-3</v>
      </c>
      <c r="W332" s="3"/>
      <c r="X332" s="3"/>
      <c r="Y332" s="3"/>
      <c r="Z332" s="67">
        <f t="shared" si="38"/>
        <v>1.0684762999999999</v>
      </c>
      <c r="AA332" s="67">
        <f t="shared" si="39"/>
        <v>6.1942999999999859E-3</v>
      </c>
      <c r="AB332" s="3"/>
      <c r="AC332" s="3"/>
      <c r="AD332" s="3"/>
      <c r="AE332" s="67">
        <f t="shared" si="40"/>
        <v>1.0684762999999999</v>
      </c>
      <c r="AF332" s="67">
        <f t="shared" si="41"/>
        <v>6.1942999999999859E-3</v>
      </c>
    </row>
    <row r="333" spans="1:32" ht="62.4">
      <c r="A333" s="41">
        <f t="shared" si="42"/>
        <v>331</v>
      </c>
      <c r="B333" s="41" t="s">
        <v>523</v>
      </c>
      <c r="C333" s="41" t="s">
        <v>876</v>
      </c>
      <c r="D333" s="41" t="s">
        <v>1019</v>
      </c>
      <c r="E333" s="41" t="s">
        <v>1379</v>
      </c>
      <c r="F333" s="43" t="s">
        <v>524</v>
      </c>
      <c r="G333" s="41" t="s">
        <v>28</v>
      </c>
      <c r="H333" s="41">
        <v>2</v>
      </c>
      <c r="I333" s="70" t="s">
        <v>525</v>
      </c>
      <c r="J333" s="70" t="s">
        <v>525</v>
      </c>
      <c r="K333" s="70" t="s">
        <v>526</v>
      </c>
      <c r="L333" s="3">
        <v>2.0099999999999998</v>
      </c>
      <c r="M333" s="3"/>
      <c r="N333" s="41" t="s">
        <v>516</v>
      </c>
      <c r="O333" s="3">
        <v>2.0099999999999998</v>
      </c>
      <c r="P333" s="3">
        <v>1.4789357999999999</v>
      </c>
      <c r="Q333" s="66">
        <v>1.7449000000000492E-3</v>
      </c>
      <c r="R333" s="69"/>
      <c r="S333" s="22"/>
      <c r="T333" s="3"/>
      <c r="U333" s="67">
        <f t="shared" si="36"/>
        <v>1.4789357999999999</v>
      </c>
      <c r="V333" s="67">
        <f t="shared" si="37"/>
        <v>1.7449000000000492E-3</v>
      </c>
      <c r="W333" s="154">
        <v>3.3001099999999998E-2</v>
      </c>
      <c r="X333" s="3">
        <f>W333+V333</f>
        <v>3.4746000000000048E-2</v>
      </c>
      <c r="Y333" s="3"/>
      <c r="Z333" s="67">
        <f t="shared" si="38"/>
        <v>1.5136817999999999</v>
      </c>
      <c r="AA333" s="67">
        <f t="shared" si="39"/>
        <v>0</v>
      </c>
      <c r="AB333" s="3"/>
      <c r="AC333" s="3"/>
      <c r="AD333" s="3"/>
      <c r="AE333" s="67">
        <f t="shared" si="40"/>
        <v>1.5136817999999999</v>
      </c>
      <c r="AF333" s="67">
        <f t="shared" si="41"/>
        <v>0</v>
      </c>
    </row>
    <row r="334" spans="1:32" ht="46.8">
      <c r="A334" s="41">
        <f t="shared" si="42"/>
        <v>332</v>
      </c>
      <c r="B334" s="41" t="s">
        <v>528</v>
      </c>
      <c r="C334" s="41" t="s">
        <v>876</v>
      </c>
      <c r="D334" s="41" t="s">
        <v>1019</v>
      </c>
      <c r="E334" s="41" t="s">
        <v>1380</v>
      </c>
      <c r="F334" s="43" t="s">
        <v>529</v>
      </c>
      <c r="G334" s="41" t="s">
        <v>28</v>
      </c>
      <c r="H334" s="41">
        <v>5</v>
      </c>
      <c r="I334" s="41" t="s">
        <v>530</v>
      </c>
      <c r="J334" s="41" t="s">
        <v>530</v>
      </c>
      <c r="K334" s="41" t="s">
        <v>531</v>
      </c>
      <c r="L334" s="3">
        <v>4.8559999999999999</v>
      </c>
      <c r="M334" s="3">
        <v>0</v>
      </c>
      <c r="N334" s="41" t="s">
        <v>516</v>
      </c>
      <c r="O334" s="3">
        <v>4.88</v>
      </c>
      <c r="P334" s="3">
        <v>4.5356382000000002</v>
      </c>
      <c r="Q334" s="66">
        <v>-5.6381999999999266E-3</v>
      </c>
      <c r="R334" s="25">
        <v>0.34513759999999999</v>
      </c>
      <c r="S334" s="22">
        <f>0.0612876+0.28385</f>
        <v>0.34513759999999999</v>
      </c>
      <c r="T334" s="3"/>
      <c r="U334" s="67">
        <f t="shared" si="36"/>
        <v>4.8807758000000003</v>
      </c>
      <c r="V334" s="67">
        <f t="shared" si="37"/>
        <v>-5.6381999999999266E-3</v>
      </c>
      <c r="W334" s="69"/>
      <c r="X334" s="3"/>
      <c r="Y334" s="3"/>
      <c r="Z334" s="67">
        <f t="shared" si="38"/>
        <v>4.8807758000000003</v>
      </c>
      <c r="AA334" s="67">
        <f t="shared" si="39"/>
        <v>-5.6381999999999266E-3</v>
      </c>
      <c r="AB334" s="3"/>
      <c r="AC334" s="3"/>
      <c r="AD334" s="3"/>
      <c r="AE334" s="67">
        <f t="shared" si="40"/>
        <v>4.8807758000000003</v>
      </c>
      <c r="AF334" s="67">
        <f t="shared" si="41"/>
        <v>-5.6381999999999266E-3</v>
      </c>
    </row>
    <row r="335" spans="1:32" ht="46.8">
      <c r="A335" s="41">
        <f t="shared" si="42"/>
        <v>333</v>
      </c>
      <c r="B335" s="41" t="s">
        <v>532</v>
      </c>
      <c r="C335" s="34" t="s">
        <v>1002</v>
      </c>
      <c r="D335" s="34" t="s">
        <v>1019</v>
      </c>
      <c r="E335" s="41" t="s">
        <v>1381</v>
      </c>
      <c r="F335" s="43" t="s">
        <v>533</v>
      </c>
      <c r="G335" s="41" t="s">
        <v>28</v>
      </c>
      <c r="H335" s="41"/>
      <c r="I335" s="64">
        <v>43486</v>
      </c>
      <c r="J335" s="64">
        <v>43486</v>
      </c>
      <c r="K335" s="41" t="s">
        <v>454</v>
      </c>
      <c r="L335" s="66">
        <v>194.21</v>
      </c>
      <c r="M335" s="66">
        <v>214.05</v>
      </c>
      <c r="N335" s="41" t="s">
        <v>32</v>
      </c>
      <c r="O335" s="66">
        <v>120.91</v>
      </c>
      <c r="P335" s="3">
        <v>134.890595131</v>
      </c>
      <c r="Q335" s="66">
        <v>-15.738749431000002</v>
      </c>
      <c r="R335" s="25">
        <v>0.71324160000000003</v>
      </c>
      <c r="S335" s="22">
        <v>0.71324160000000003</v>
      </c>
      <c r="T335" s="73"/>
      <c r="U335" s="67">
        <f t="shared" si="36"/>
        <v>135.603836731</v>
      </c>
      <c r="V335" s="67">
        <f t="shared" si="37"/>
        <v>-15.738749431000002</v>
      </c>
      <c r="W335" s="69"/>
      <c r="X335" s="22"/>
      <c r="Y335" s="3"/>
      <c r="Z335" s="67">
        <f t="shared" si="38"/>
        <v>135.603836731</v>
      </c>
      <c r="AA335" s="67">
        <f t="shared" si="39"/>
        <v>-15.738749431000002</v>
      </c>
      <c r="AB335" s="3"/>
      <c r="AC335" s="3"/>
      <c r="AD335" s="3"/>
      <c r="AE335" s="67">
        <f t="shared" si="40"/>
        <v>135.603836731</v>
      </c>
      <c r="AF335" s="67">
        <f t="shared" si="41"/>
        <v>-15.738749431000002</v>
      </c>
    </row>
    <row r="336" spans="1:32" ht="62.4">
      <c r="A336" s="41">
        <f t="shared" si="42"/>
        <v>334</v>
      </c>
      <c r="B336" s="41" t="s">
        <v>535</v>
      </c>
      <c r="C336" s="41" t="s">
        <v>876</v>
      </c>
      <c r="D336" s="41" t="s">
        <v>1016</v>
      </c>
      <c r="E336" s="41" t="s">
        <v>1382</v>
      </c>
      <c r="F336" s="43" t="s">
        <v>536</v>
      </c>
      <c r="G336" s="41"/>
      <c r="H336" s="41"/>
      <c r="I336" s="41"/>
      <c r="J336" s="41"/>
      <c r="K336" s="41"/>
      <c r="L336" s="3"/>
      <c r="M336" s="3"/>
      <c r="N336" s="41" t="s">
        <v>29</v>
      </c>
      <c r="O336" s="3">
        <v>0</v>
      </c>
      <c r="P336" s="3">
        <v>2.4297683999999999</v>
      </c>
      <c r="Q336" s="3">
        <v>0</v>
      </c>
      <c r="R336" s="69"/>
      <c r="S336" s="22"/>
      <c r="T336" s="3"/>
      <c r="U336" s="67">
        <f t="shared" si="36"/>
        <v>2.4297683999999999</v>
      </c>
      <c r="V336" s="67">
        <f t="shared" si="37"/>
        <v>0</v>
      </c>
      <c r="W336" s="3"/>
      <c r="X336" s="3"/>
      <c r="Y336" s="3"/>
      <c r="Z336" s="67">
        <f t="shared" si="38"/>
        <v>2.4297683999999999</v>
      </c>
      <c r="AA336" s="67">
        <f t="shared" si="39"/>
        <v>0</v>
      </c>
      <c r="AB336" s="3"/>
      <c r="AC336" s="3"/>
      <c r="AD336" s="3"/>
      <c r="AE336" s="67">
        <f t="shared" si="40"/>
        <v>2.4297683999999999</v>
      </c>
      <c r="AF336" s="67">
        <f t="shared" si="41"/>
        <v>0</v>
      </c>
    </row>
    <row r="337" spans="1:32" ht="78">
      <c r="A337" s="41">
        <f t="shared" si="42"/>
        <v>335</v>
      </c>
      <c r="B337" s="41" t="s">
        <v>539</v>
      </c>
      <c r="C337" s="41" t="s">
        <v>1002</v>
      </c>
      <c r="D337" s="34" t="s">
        <v>1016</v>
      </c>
      <c r="E337" s="41" t="s">
        <v>1383</v>
      </c>
      <c r="F337" s="43" t="s">
        <v>540</v>
      </c>
      <c r="G337" s="41" t="s">
        <v>28</v>
      </c>
      <c r="H337" s="63">
        <v>2</v>
      </c>
      <c r="I337" s="64">
        <v>42228</v>
      </c>
      <c r="J337" s="64">
        <v>42228</v>
      </c>
      <c r="K337" s="64">
        <v>42594</v>
      </c>
      <c r="L337" s="66">
        <v>86.97</v>
      </c>
      <c r="M337" s="66">
        <v>103.74</v>
      </c>
      <c r="N337" s="41" t="s">
        <v>32</v>
      </c>
      <c r="O337" s="66">
        <v>97.13</v>
      </c>
      <c r="P337" s="66">
        <v>94.237289399999995</v>
      </c>
      <c r="Q337" s="3">
        <v>-7.5906000000000029E-3</v>
      </c>
      <c r="R337" s="69"/>
      <c r="S337" s="22"/>
      <c r="T337" s="3"/>
      <c r="U337" s="67">
        <f t="shared" si="36"/>
        <v>94.237289399999995</v>
      </c>
      <c r="V337" s="67">
        <f t="shared" si="37"/>
        <v>-7.5906000000000029E-3</v>
      </c>
      <c r="W337" s="3"/>
      <c r="X337" s="3"/>
      <c r="Y337" s="3"/>
      <c r="Z337" s="67">
        <f t="shared" si="38"/>
        <v>94.237289399999995</v>
      </c>
      <c r="AA337" s="67">
        <f t="shared" si="39"/>
        <v>-7.5906000000000029E-3</v>
      </c>
      <c r="AB337" s="3"/>
      <c r="AC337" s="3"/>
      <c r="AD337" s="3"/>
      <c r="AE337" s="67">
        <f t="shared" si="40"/>
        <v>94.237289399999995</v>
      </c>
      <c r="AF337" s="67">
        <f t="shared" si="41"/>
        <v>-7.5906000000000029E-3</v>
      </c>
    </row>
    <row r="338" spans="1:32" ht="93.6">
      <c r="A338" s="41">
        <f t="shared" si="42"/>
        <v>336</v>
      </c>
      <c r="B338" s="41" t="s">
        <v>541</v>
      </c>
      <c r="C338" s="41" t="s">
        <v>876</v>
      </c>
      <c r="D338" s="41" t="s">
        <v>1016</v>
      </c>
      <c r="E338" s="41" t="s">
        <v>1384</v>
      </c>
      <c r="F338" s="43" t="s">
        <v>542</v>
      </c>
      <c r="G338" s="41" t="s">
        <v>28</v>
      </c>
      <c r="H338" s="63">
        <v>2</v>
      </c>
      <c r="I338" s="64">
        <v>42821</v>
      </c>
      <c r="J338" s="64">
        <v>42821</v>
      </c>
      <c r="K338" s="64">
        <v>43004</v>
      </c>
      <c r="L338" s="66">
        <v>9.74</v>
      </c>
      <c r="M338" s="66">
        <v>9.74</v>
      </c>
      <c r="N338" s="41" t="s">
        <v>32</v>
      </c>
      <c r="O338" s="66">
        <v>10.66</v>
      </c>
      <c r="P338" s="66">
        <v>10.5584282</v>
      </c>
      <c r="Q338" s="3">
        <v>0</v>
      </c>
      <c r="R338" s="69"/>
      <c r="S338" s="22"/>
      <c r="T338" s="3"/>
      <c r="U338" s="67">
        <f t="shared" si="36"/>
        <v>10.5584282</v>
      </c>
      <c r="V338" s="67">
        <f t="shared" si="37"/>
        <v>0</v>
      </c>
      <c r="W338" s="3"/>
      <c r="X338" s="3"/>
      <c r="Y338" s="3"/>
      <c r="Z338" s="67">
        <f t="shared" si="38"/>
        <v>10.5584282</v>
      </c>
      <c r="AA338" s="67">
        <f t="shared" si="39"/>
        <v>0</v>
      </c>
      <c r="AB338" s="3"/>
      <c r="AC338" s="3"/>
      <c r="AD338" s="3"/>
      <c r="AE338" s="67">
        <f t="shared" si="40"/>
        <v>10.5584282</v>
      </c>
      <c r="AF338" s="67">
        <f t="shared" si="41"/>
        <v>0</v>
      </c>
    </row>
    <row r="339" spans="1:32" ht="78">
      <c r="A339" s="41">
        <f t="shared" si="42"/>
        <v>337</v>
      </c>
      <c r="B339" s="41" t="s">
        <v>543</v>
      </c>
      <c r="C339" s="41" t="s">
        <v>876</v>
      </c>
      <c r="D339" s="41" t="s">
        <v>1019</v>
      </c>
      <c r="E339" s="41" t="s">
        <v>1385</v>
      </c>
      <c r="F339" s="43" t="s">
        <v>544</v>
      </c>
      <c r="G339" s="41" t="s">
        <v>28</v>
      </c>
      <c r="H339" s="41"/>
      <c r="I339" s="64">
        <v>43983</v>
      </c>
      <c r="J339" s="64">
        <v>43983</v>
      </c>
      <c r="K339" s="41" t="s">
        <v>545</v>
      </c>
      <c r="L339" s="66">
        <v>16.73</v>
      </c>
      <c r="M339" s="3"/>
      <c r="N339" s="41" t="s">
        <v>67</v>
      </c>
      <c r="O339" s="3">
        <v>13.29</v>
      </c>
      <c r="P339" s="3">
        <v>13.186708100000001</v>
      </c>
      <c r="Q339" s="3">
        <v>-10.0926011</v>
      </c>
      <c r="R339" s="69"/>
      <c r="S339" s="22"/>
      <c r="T339" s="3"/>
      <c r="U339" s="67">
        <f t="shared" si="36"/>
        <v>13.186708100000001</v>
      </c>
      <c r="V339" s="67">
        <f t="shared" si="37"/>
        <v>-10.0926011</v>
      </c>
      <c r="W339" s="3"/>
      <c r="X339" s="3"/>
      <c r="Y339" s="3"/>
      <c r="Z339" s="67">
        <f t="shared" si="38"/>
        <v>13.186708100000001</v>
      </c>
      <c r="AA339" s="67">
        <f t="shared" si="39"/>
        <v>-10.0926011</v>
      </c>
      <c r="AB339" s="3"/>
      <c r="AC339" s="3"/>
      <c r="AD339" s="3"/>
      <c r="AE339" s="67">
        <f t="shared" si="40"/>
        <v>13.186708100000001</v>
      </c>
      <c r="AF339" s="67">
        <f t="shared" si="41"/>
        <v>-10.0926011</v>
      </c>
    </row>
    <row r="340" spans="1:32" ht="62.4">
      <c r="A340" s="41">
        <f t="shared" si="42"/>
        <v>338</v>
      </c>
      <c r="B340" s="41" t="s">
        <v>546</v>
      </c>
      <c r="C340" s="41" t="s">
        <v>1002</v>
      </c>
      <c r="D340" s="34" t="s">
        <v>1019</v>
      </c>
      <c r="E340" s="41" t="s">
        <v>1386</v>
      </c>
      <c r="F340" s="43" t="s">
        <v>547</v>
      </c>
      <c r="G340" s="41" t="s">
        <v>28</v>
      </c>
      <c r="H340" s="41"/>
      <c r="I340" s="64">
        <v>43486</v>
      </c>
      <c r="J340" s="64">
        <v>43486</v>
      </c>
      <c r="K340" s="41" t="s">
        <v>454</v>
      </c>
      <c r="L340" s="66">
        <v>112.81</v>
      </c>
      <c r="M340" s="66">
        <v>119.65</v>
      </c>
      <c r="N340" s="41" t="s">
        <v>32</v>
      </c>
      <c r="O340" s="66">
        <v>111.79</v>
      </c>
      <c r="P340" s="3">
        <v>117.747836552</v>
      </c>
      <c r="Q340" s="66">
        <v>-6.8924936519999926</v>
      </c>
      <c r="R340" s="69"/>
      <c r="S340" s="22"/>
      <c r="T340" s="73"/>
      <c r="U340" s="67">
        <f t="shared" si="36"/>
        <v>117.747836552</v>
      </c>
      <c r="V340" s="67">
        <f t="shared" si="37"/>
        <v>-6.8924936519999926</v>
      </c>
      <c r="W340" s="3"/>
      <c r="X340" s="3"/>
      <c r="Y340" s="3"/>
      <c r="Z340" s="67">
        <f t="shared" si="38"/>
        <v>117.747836552</v>
      </c>
      <c r="AA340" s="67">
        <f t="shared" si="39"/>
        <v>-6.8924936519999926</v>
      </c>
      <c r="AB340" s="3"/>
      <c r="AC340" s="3"/>
      <c r="AD340" s="3"/>
      <c r="AE340" s="67">
        <f t="shared" si="40"/>
        <v>117.747836552</v>
      </c>
      <c r="AF340" s="67">
        <f t="shared" si="41"/>
        <v>-6.8924936519999926</v>
      </c>
    </row>
    <row r="341" spans="1:32" ht="78">
      <c r="A341" s="41">
        <f t="shared" si="42"/>
        <v>339</v>
      </c>
      <c r="B341" s="41" t="s">
        <v>548</v>
      </c>
      <c r="C341" s="41" t="s">
        <v>1002</v>
      </c>
      <c r="D341" s="41" t="s">
        <v>1016</v>
      </c>
      <c r="E341" s="41" t="s">
        <v>1387</v>
      </c>
      <c r="F341" s="43" t="s">
        <v>549</v>
      </c>
      <c r="G341" s="41" t="s">
        <v>28</v>
      </c>
      <c r="H341" s="41"/>
      <c r="I341" s="41" t="s">
        <v>550</v>
      </c>
      <c r="J341" s="41" t="s">
        <v>550</v>
      </c>
      <c r="K341" s="41" t="s">
        <v>551</v>
      </c>
      <c r="L341" s="3" t="s">
        <v>552</v>
      </c>
      <c r="M341" s="3">
        <v>1370.02</v>
      </c>
      <c r="N341" s="41" t="s">
        <v>29</v>
      </c>
      <c r="O341" s="66">
        <v>44.52</v>
      </c>
      <c r="P341" s="66">
        <v>45.618348999999995</v>
      </c>
      <c r="Q341" s="3">
        <v>0</v>
      </c>
      <c r="R341" s="69"/>
      <c r="S341" s="22"/>
      <c r="T341" s="3"/>
      <c r="U341" s="67">
        <f t="shared" si="36"/>
        <v>45.618348999999995</v>
      </c>
      <c r="V341" s="67">
        <f t="shared" si="37"/>
        <v>0</v>
      </c>
      <c r="W341" s="3"/>
      <c r="X341" s="3"/>
      <c r="Y341" s="3"/>
      <c r="Z341" s="67">
        <f t="shared" si="38"/>
        <v>45.618348999999995</v>
      </c>
      <c r="AA341" s="67">
        <f t="shared" si="39"/>
        <v>0</v>
      </c>
      <c r="AB341" s="3"/>
      <c r="AC341" s="3"/>
      <c r="AD341" s="3"/>
      <c r="AE341" s="67">
        <f t="shared" si="40"/>
        <v>45.618348999999995</v>
      </c>
      <c r="AF341" s="67">
        <f t="shared" si="41"/>
        <v>0</v>
      </c>
    </row>
    <row r="342" spans="1:32" ht="140.4">
      <c r="A342" s="41">
        <f t="shared" si="42"/>
        <v>340</v>
      </c>
      <c r="B342" s="41" t="s">
        <v>553</v>
      </c>
      <c r="C342" s="41" t="s">
        <v>1002</v>
      </c>
      <c r="D342" s="34" t="s">
        <v>1016</v>
      </c>
      <c r="E342" s="41" t="s">
        <v>1388</v>
      </c>
      <c r="F342" s="43" t="s">
        <v>554</v>
      </c>
      <c r="G342" s="41" t="s">
        <v>28</v>
      </c>
      <c r="H342" s="63">
        <v>2</v>
      </c>
      <c r="I342" s="64">
        <v>42075</v>
      </c>
      <c r="J342" s="64">
        <v>42075</v>
      </c>
      <c r="K342" s="64">
        <v>42417</v>
      </c>
      <c r="L342" s="66">
        <v>48.16</v>
      </c>
      <c r="M342" s="66">
        <v>48.16</v>
      </c>
      <c r="N342" s="41" t="s">
        <v>32</v>
      </c>
      <c r="O342" s="66">
        <v>48.16</v>
      </c>
      <c r="P342" s="66">
        <v>49.91489</v>
      </c>
      <c r="Q342" s="3">
        <v>-0.27489000000000002</v>
      </c>
      <c r="R342" s="3"/>
      <c r="S342" s="22"/>
      <c r="T342" s="3"/>
      <c r="U342" s="67">
        <f t="shared" si="36"/>
        <v>49.91489</v>
      </c>
      <c r="V342" s="67">
        <f t="shared" si="37"/>
        <v>-0.27489000000000002</v>
      </c>
      <c r="W342" s="3"/>
      <c r="X342" s="3"/>
      <c r="Y342" s="3"/>
      <c r="Z342" s="67">
        <f t="shared" si="38"/>
        <v>49.91489</v>
      </c>
      <c r="AA342" s="67">
        <f t="shared" si="39"/>
        <v>-0.27489000000000002</v>
      </c>
      <c r="AB342" s="3"/>
      <c r="AC342" s="3"/>
      <c r="AD342" s="3"/>
      <c r="AE342" s="67">
        <f t="shared" si="40"/>
        <v>49.91489</v>
      </c>
      <c r="AF342" s="67">
        <f t="shared" si="41"/>
        <v>-0.27489000000000002</v>
      </c>
    </row>
    <row r="343" spans="1:32" ht="46.8">
      <c r="A343" s="41">
        <f t="shared" si="42"/>
        <v>341</v>
      </c>
      <c r="B343" s="41" t="s">
        <v>555</v>
      </c>
      <c r="C343" s="34" t="s">
        <v>1002</v>
      </c>
      <c r="D343" s="34" t="s">
        <v>1019</v>
      </c>
      <c r="E343" s="41" t="s">
        <v>1389</v>
      </c>
      <c r="F343" s="43" t="s">
        <v>556</v>
      </c>
      <c r="G343" s="41" t="s">
        <v>28</v>
      </c>
      <c r="H343" s="41">
        <v>3</v>
      </c>
      <c r="I343" s="64">
        <v>43479</v>
      </c>
      <c r="J343" s="64">
        <v>43479</v>
      </c>
      <c r="K343" s="41" t="s">
        <v>469</v>
      </c>
      <c r="L343" s="66">
        <v>10.41</v>
      </c>
      <c r="M343" s="66">
        <v>12.31</v>
      </c>
      <c r="N343" s="41" t="s">
        <v>32</v>
      </c>
      <c r="O343" s="66">
        <v>9.68</v>
      </c>
      <c r="P343" s="3">
        <v>8.5523569909999999</v>
      </c>
      <c r="Q343" s="66">
        <v>-0.15063239099999992</v>
      </c>
      <c r="R343" s="25">
        <v>0.31918999999999997</v>
      </c>
      <c r="S343" s="22">
        <v>0.31918999999999997</v>
      </c>
      <c r="T343" s="22"/>
      <c r="U343" s="67">
        <f t="shared" si="36"/>
        <v>8.8715469910000007</v>
      </c>
      <c r="V343" s="67">
        <f t="shared" si="37"/>
        <v>-0.15063239099999992</v>
      </c>
      <c r="W343" s="69"/>
      <c r="X343" s="67"/>
      <c r="Y343" s="3"/>
      <c r="Z343" s="67">
        <f t="shared" si="38"/>
        <v>8.8715469910000007</v>
      </c>
      <c r="AA343" s="67">
        <f t="shared" si="39"/>
        <v>-0.15063239099999992</v>
      </c>
      <c r="AB343" s="3"/>
      <c r="AC343" s="3"/>
      <c r="AD343" s="3"/>
      <c r="AE343" s="67">
        <f t="shared" si="40"/>
        <v>8.8715469910000007</v>
      </c>
      <c r="AF343" s="67">
        <f t="shared" si="41"/>
        <v>-0.15063239099999992</v>
      </c>
    </row>
    <row r="344" spans="1:32" ht="78">
      <c r="A344" s="41">
        <f t="shared" si="42"/>
        <v>342</v>
      </c>
      <c r="B344" s="41" t="s">
        <v>557</v>
      </c>
      <c r="C344" s="41" t="s">
        <v>876</v>
      </c>
      <c r="D344" s="41" t="s">
        <v>1016</v>
      </c>
      <c r="E344" s="41" t="s">
        <v>1390</v>
      </c>
      <c r="F344" s="43" t="s">
        <v>558</v>
      </c>
      <c r="G344" s="41"/>
      <c r="H344" s="41"/>
      <c r="I344" s="41"/>
      <c r="J344" s="41"/>
      <c r="K344" s="41"/>
      <c r="L344" s="3"/>
      <c r="M344" s="3"/>
      <c r="N344" s="41" t="s">
        <v>29</v>
      </c>
      <c r="O344" s="3">
        <v>0</v>
      </c>
      <c r="P344" s="66">
        <v>4.9896566</v>
      </c>
      <c r="Q344" s="3">
        <v>0</v>
      </c>
      <c r="R344" s="69"/>
      <c r="S344" s="22"/>
      <c r="T344" s="3"/>
      <c r="U344" s="67">
        <f t="shared" si="36"/>
        <v>4.9896566</v>
      </c>
      <c r="V344" s="67">
        <f t="shared" si="37"/>
        <v>0</v>
      </c>
      <c r="W344" s="3"/>
      <c r="X344" s="3"/>
      <c r="Y344" s="3"/>
      <c r="Z344" s="67">
        <f t="shared" si="38"/>
        <v>4.9896566</v>
      </c>
      <c r="AA344" s="67">
        <f t="shared" si="39"/>
        <v>0</v>
      </c>
      <c r="AB344" s="3"/>
      <c r="AC344" s="3"/>
      <c r="AD344" s="3"/>
      <c r="AE344" s="67">
        <f t="shared" si="40"/>
        <v>4.9896566</v>
      </c>
      <c r="AF344" s="67">
        <f t="shared" si="41"/>
        <v>0</v>
      </c>
    </row>
    <row r="345" spans="1:32" ht="62.4">
      <c r="A345" s="41">
        <f t="shared" si="42"/>
        <v>343</v>
      </c>
      <c r="B345" s="41" t="s">
        <v>559</v>
      </c>
      <c r="C345" s="41" t="s">
        <v>876</v>
      </c>
      <c r="D345" s="41" t="s">
        <v>1016</v>
      </c>
      <c r="E345" s="41" t="s">
        <v>1391</v>
      </c>
      <c r="F345" s="43" t="s">
        <v>560</v>
      </c>
      <c r="G345" s="41" t="s">
        <v>28</v>
      </c>
      <c r="H345" s="63">
        <v>4</v>
      </c>
      <c r="I345" s="64">
        <v>42692</v>
      </c>
      <c r="J345" s="64">
        <v>43056</v>
      </c>
      <c r="K345" s="64">
        <v>43524</v>
      </c>
      <c r="L345" s="66">
        <v>19.399999999999999</v>
      </c>
      <c r="M345" s="66">
        <v>19.399999999999999</v>
      </c>
      <c r="N345" s="41" t="s">
        <v>32</v>
      </c>
      <c r="O345" s="3">
        <v>18.850000000000001</v>
      </c>
      <c r="P345" s="3">
        <v>19.385807700000001</v>
      </c>
      <c r="Q345" s="66">
        <v>0.35400999999999883</v>
      </c>
      <c r="R345" s="69"/>
      <c r="S345" s="22"/>
      <c r="T345" s="3"/>
      <c r="U345" s="67">
        <f t="shared" si="36"/>
        <v>19.385807700000001</v>
      </c>
      <c r="V345" s="67">
        <f t="shared" si="37"/>
        <v>0.35400999999999883</v>
      </c>
      <c r="W345" s="3"/>
      <c r="X345" s="3"/>
      <c r="Y345" s="3"/>
      <c r="Z345" s="67">
        <f t="shared" si="38"/>
        <v>19.385807700000001</v>
      </c>
      <c r="AA345" s="67">
        <f t="shared" si="39"/>
        <v>0.35400999999999883</v>
      </c>
      <c r="AB345" s="3"/>
      <c r="AC345" s="3"/>
      <c r="AD345" s="3"/>
      <c r="AE345" s="67">
        <f t="shared" si="40"/>
        <v>19.385807700000001</v>
      </c>
      <c r="AF345" s="67">
        <f t="shared" si="41"/>
        <v>0.35400999999999883</v>
      </c>
    </row>
    <row r="346" spans="1:32" ht="62.4">
      <c r="A346" s="41">
        <f t="shared" si="42"/>
        <v>344</v>
      </c>
      <c r="B346" s="41" t="s">
        <v>561</v>
      </c>
      <c r="C346" s="41" t="s">
        <v>1002</v>
      </c>
      <c r="D346" s="34" t="s">
        <v>1016</v>
      </c>
      <c r="E346" s="41" t="s">
        <v>1392</v>
      </c>
      <c r="F346" s="43" t="s">
        <v>562</v>
      </c>
      <c r="G346" s="41" t="s">
        <v>28</v>
      </c>
      <c r="H346" s="63">
        <v>2</v>
      </c>
      <c r="I346" s="64">
        <v>42010</v>
      </c>
      <c r="J346" s="64">
        <v>42010</v>
      </c>
      <c r="K346" s="64">
        <v>42465</v>
      </c>
      <c r="L346" s="66">
        <v>85.26</v>
      </c>
      <c r="M346" s="66">
        <v>114.7</v>
      </c>
      <c r="N346" s="41" t="s">
        <v>29</v>
      </c>
      <c r="O346" s="66">
        <v>114.7</v>
      </c>
      <c r="P346" s="66">
        <v>115.19974739999999</v>
      </c>
      <c r="Q346" s="3">
        <v>0</v>
      </c>
      <c r="R346" s="69"/>
      <c r="S346" s="22"/>
      <c r="T346" s="3"/>
      <c r="U346" s="67">
        <f t="shared" si="36"/>
        <v>115.19974739999999</v>
      </c>
      <c r="V346" s="67">
        <f t="shared" si="37"/>
        <v>0</v>
      </c>
      <c r="W346" s="3"/>
      <c r="X346" s="3"/>
      <c r="Y346" s="3"/>
      <c r="Z346" s="67">
        <f t="shared" si="38"/>
        <v>115.19974739999999</v>
      </c>
      <c r="AA346" s="67">
        <f t="shared" si="39"/>
        <v>0</v>
      </c>
      <c r="AB346" s="3"/>
      <c r="AC346" s="3"/>
      <c r="AD346" s="3"/>
      <c r="AE346" s="67">
        <f t="shared" si="40"/>
        <v>115.19974739999999</v>
      </c>
      <c r="AF346" s="67">
        <f t="shared" si="41"/>
        <v>0</v>
      </c>
    </row>
    <row r="347" spans="1:32" ht="62.4">
      <c r="A347" s="41">
        <f t="shared" si="42"/>
        <v>345</v>
      </c>
      <c r="B347" s="41" t="s">
        <v>563</v>
      </c>
      <c r="C347" s="41" t="s">
        <v>1002</v>
      </c>
      <c r="D347" s="41" t="s">
        <v>1016</v>
      </c>
      <c r="E347" s="41" t="s">
        <v>1393</v>
      </c>
      <c r="F347" s="43" t="s">
        <v>564</v>
      </c>
      <c r="G347" s="41" t="s">
        <v>28</v>
      </c>
      <c r="H347" s="63">
        <v>3</v>
      </c>
      <c r="I347" s="64">
        <v>42612</v>
      </c>
      <c r="J347" s="64">
        <v>42612</v>
      </c>
      <c r="K347" s="64">
        <v>42977</v>
      </c>
      <c r="L347" s="66">
        <v>8.86</v>
      </c>
      <c r="M347" s="66">
        <v>9.6300000000000008</v>
      </c>
      <c r="N347" s="41" t="s">
        <v>32</v>
      </c>
      <c r="O347" s="66">
        <v>9.14</v>
      </c>
      <c r="P347" s="66">
        <v>9.5706156</v>
      </c>
      <c r="Q347" s="3">
        <v>0</v>
      </c>
      <c r="R347" s="69"/>
      <c r="S347" s="22"/>
      <c r="T347" s="3"/>
      <c r="U347" s="67">
        <f t="shared" si="36"/>
        <v>9.5706156</v>
      </c>
      <c r="V347" s="67">
        <f t="shared" si="37"/>
        <v>0</v>
      </c>
      <c r="W347" s="3"/>
      <c r="X347" s="3"/>
      <c r="Y347" s="3"/>
      <c r="Z347" s="67">
        <f t="shared" si="38"/>
        <v>9.5706156</v>
      </c>
      <c r="AA347" s="67">
        <f t="shared" si="39"/>
        <v>0</v>
      </c>
      <c r="AB347" s="3"/>
      <c r="AC347" s="3"/>
      <c r="AD347" s="3"/>
      <c r="AE347" s="67">
        <f t="shared" si="40"/>
        <v>9.5706156</v>
      </c>
      <c r="AF347" s="67">
        <f t="shared" si="41"/>
        <v>0</v>
      </c>
    </row>
    <row r="348" spans="1:32" ht="78">
      <c r="A348" s="41">
        <f t="shared" si="42"/>
        <v>346</v>
      </c>
      <c r="B348" s="41" t="s">
        <v>565</v>
      </c>
      <c r="C348" s="41" t="s">
        <v>1002</v>
      </c>
      <c r="D348" s="42" t="s">
        <v>1017</v>
      </c>
      <c r="E348" s="41" t="s">
        <v>1394</v>
      </c>
      <c r="F348" s="43" t="s">
        <v>566</v>
      </c>
      <c r="G348" s="41" t="s">
        <v>28</v>
      </c>
      <c r="H348" s="41">
        <v>2</v>
      </c>
      <c r="I348" s="41" t="s">
        <v>567</v>
      </c>
      <c r="J348" s="41" t="s">
        <v>567</v>
      </c>
      <c r="K348" s="41" t="s">
        <v>568</v>
      </c>
      <c r="L348" s="3">
        <v>49.62</v>
      </c>
      <c r="M348" s="3"/>
      <c r="N348" s="41" t="s">
        <v>29</v>
      </c>
      <c r="O348" s="66">
        <v>52.18</v>
      </c>
      <c r="P348" s="66">
        <v>1.5198422</v>
      </c>
      <c r="Q348" s="3">
        <v>-0.10484220000000002</v>
      </c>
      <c r="R348" s="69"/>
      <c r="S348" s="22"/>
      <c r="T348" s="3"/>
      <c r="U348" s="67">
        <f t="shared" si="36"/>
        <v>1.5198422</v>
      </c>
      <c r="V348" s="67">
        <f t="shared" si="37"/>
        <v>-0.10484220000000002</v>
      </c>
      <c r="W348" s="3"/>
      <c r="X348" s="3"/>
      <c r="Y348" s="3"/>
      <c r="Z348" s="67">
        <f t="shared" si="38"/>
        <v>1.5198422</v>
      </c>
      <c r="AA348" s="67">
        <f t="shared" si="39"/>
        <v>-0.10484220000000002</v>
      </c>
      <c r="AB348" s="3"/>
      <c r="AC348" s="3"/>
      <c r="AD348" s="3"/>
      <c r="AE348" s="67">
        <f t="shared" si="40"/>
        <v>1.5198422</v>
      </c>
      <c r="AF348" s="67">
        <f t="shared" si="41"/>
        <v>-0.10484220000000002</v>
      </c>
    </row>
    <row r="349" spans="1:32" ht="78">
      <c r="A349" s="41">
        <f t="shared" si="42"/>
        <v>347</v>
      </c>
      <c r="B349" s="41" t="s">
        <v>569</v>
      </c>
      <c r="C349" s="41" t="s">
        <v>1002</v>
      </c>
      <c r="D349" s="34" t="s">
        <v>1016</v>
      </c>
      <c r="E349" s="41" t="s">
        <v>1395</v>
      </c>
      <c r="F349" s="43" t="s">
        <v>570</v>
      </c>
      <c r="G349" s="41" t="s">
        <v>28</v>
      </c>
      <c r="H349" s="41">
        <v>2</v>
      </c>
      <c r="I349" s="41" t="s">
        <v>571</v>
      </c>
      <c r="J349" s="41" t="s">
        <v>571</v>
      </c>
      <c r="K349" s="41" t="s">
        <v>572</v>
      </c>
      <c r="L349" s="3">
        <v>17.489999999999998</v>
      </c>
      <c r="M349" s="3">
        <v>25.92</v>
      </c>
      <c r="N349" s="41" t="s">
        <v>29</v>
      </c>
      <c r="O349" s="66">
        <v>25.92</v>
      </c>
      <c r="P349" s="66">
        <v>26.495350000000002</v>
      </c>
      <c r="Q349" s="3">
        <v>0</v>
      </c>
      <c r="R349" s="69"/>
      <c r="S349" s="22"/>
      <c r="T349" s="3"/>
      <c r="U349" s="67">
        <f t="shared" si="36"/>
        <v>26.495350000000002</v>
      </c>
      <c r="V349" s="67">
        <f t="shared" si="37"/>
        <v>0</v>
      </c>
      <c r="W349" s="3"/>
      <c r="X349" s="3"/>
      <c r="Y349" s="3"/>
      <c r="Z349" s="67">
        <f t="shared" si="38"/>
        <v>26.495350000000002</v>
      </c>
      <c r="AA349" s="67">
        <f t="shared" si="39"/>
        <v>0</v>
      </c>
      <c r="AB349" s="3"/>
      <c r="AC349" s="3"/>
      <c r="AD349" s="3"/>
      <c r="AE349" s="67">
        <f t="shared" si="40"/>
        <v>26.495350000000002</v>
      </c>
      <c r="AF349" s="67">
        <f t="shared" si="41"/>
        <v>0</v>
      </c>
    </row>
    <row r="350" spans="1:32" ht="93.6">
      <c r="A350" s="41">
        <f t="shared" si="42"/>
        <v>348</v>
      </c>
      <c r="B350" s="41" t="s">
        <v>573</v>
      </c>
      <c r="C350" s="41" t="s">
        <v>1002</v>
      </c>
      <c r="D350" s="34" t="s">
        <v>1019</v>
      </c>
      <c r="E350" s="41" t="s">
        <v>1396</v>
      </c>
      <c r="F350" s="43" t="s">
        <v>574</v>
      </c>
      <c r="G350" s="41"/>
      <c r="H350" s="41"/>
      <c r="I350" s="41"/>
      <c r="J350" s="41"/>
      <c r="K350" s="41"/>
      <c r="L350" s="3"/>
      <c r="M350" s="3"/>
      <c r="N350" s="41" t="s">
        <v>516</v>
      </c>
      <c r="O350" s="3">
        <v>0</v>
      </c>
      <c r="P350" s="3">
        <v>6.4162337999999997</v>
      </c>
      <c r="Q350" s="66">
        <v>-1.8687000000001674E-3</v>
      </c>
      <c r="R350" s="69"/>
      <c r="S350" s="22"/>
      <c r="T350" s="3"/>
      <c r="U350" s="67">
        <f t="shared" si="36"/>
        <v>6.4162337999999997</v>
      </c>
      <c r="V350" s="67">
        <f t="shared" si="37"/>
        <v>-1.8687000000001674E-3</v>
      </c>
      <c r="W350" s="3"/>
      <c r="X350" s="3"/>
      <c r="Y350" s="3"/>
      <c r="Z350" s="67">
        <f t="shared" si="38"/>
        <v>6.4162337999999997</v>
      </c>
      <c r="AA350" s="67">
        <f t="shared" si="39"/>
        <v>-1.8687000000001674E-3</v>
      </c>
      <c r="AB350" s="3"/>
      <c r="AC350" s="3"/>
      <c r="AD350" s="3"/>
      <c r="AE350" s="67">
        <f t="shared" si="40"/>
        <v>6.4162337999999997</v>
      </c>
      <c r="AF350" s="67">
        <f t="shared" si="41"/>
        <v>-1.8687000000001674E-3</v>
      </c>
    </row>
    <row r="351" spans="1:32" ht="93.6">
      <c r="A351" s="41">
        <f t="shared" si="42"/>
        <v>349</v>
      </c>
      <c r="B351" s="41" t="s">
        <v>575</v>
      </c>
      <c r="C351" s="41" t="s">
        <v>1002</v>
      </c>
      <c r="D351" s="34" t="s">
        <v>1019</v>
      </c>
      <c r="E351" s="41" t="s">
        <v>1397</v>
      </c>
      <c r="F351" s="43" t="s">
        <v>576</v>
      </c>
      <c r="G351" s="41" t="s">
        <v>28</v>
      </c>
      <c r="H351" s="41"/>
      <c r="I351" s="41"/>
      <c r="J351" s="41"/>
      <c r="K351" s="41"/>
      <c r="L351" s="3"/>
      <c r="M351" s="3"/>
      <c r="N351" s="41" t="s">
        <v>516</v>
      </c>
      <c r="O351" s="3">
        <v>0</v>
      </c>
      <c r="P351" s="66">
        <v>13.961881199999999</v>
      </c>
      <c r="Q351" s="3">
        <v>0</v>
      </c>
      <c r="R351" s="69"/>
      <c r="S351" s="22"/>
      <c r="T351" s="3"/>
      <c r="U351" s="67">
        <f t="shared" si="36"/>
        <v>13.961881199999999</v>
      </c>
      <c r="V351" s="67">
        <f t="shared" si="37"/>
        <v>0</v>
      </c>
      <c r="W351" s="3"/>
      <c r="X351" s="3"/>
      <c r="Y351" s="3"/>
      <c r="Z351" s="67">
        <f t="shared" si="38"/>
        <v>13.961881199999999</v>
      </c>
      <c r="AA351" s="67">
        <f t="shared" si="39"/>
        <v>0</v>
      </c>
      <c r="AB351" s="3"/>
      <c r="AC351" s="3"/>
      <c r="AD351" s="3"/>
      <c r="AE351" s="67">
        <f t="shared" si="40"/>
        <v>13.961881199999999</v>
      </c>
      <c r="AF351" s="67">
        <f t="shared" si="41"/>
        <v>0</v>
      </c>
    </row>
    <row r="352" spans="1:32" ht="46.8">
      <c r="A352" s="41">
        <f t="shared" si="42"/>
        <v>350</v>
      </c>
      <c r="B352" s="41" t="s">
        <v>577</v>
      </c>
      <c r="C352" s="41" t="s">
        <v>876</v>
      </c>
      <c r="D352" s="41" t="s">
        <v>1016</v>
      </c>
      <c r="E352" s="41" t="s">
        <v>1398</v>
      </c>
      <c r="F352" s="43" t="s">
        <v>578</v>
      </c>
      <c r="G352" s="41" t="s">
        <v>28</v>
      </c>
      <c r="H352" s="63">
        <v>3</v>
      </c>
      <c r="I352" s="64">
        <v>42369</v>
      </c>
      <c r="J352" s="64">
        <v>42369</v>
      </c>
      <c r="K352" s="64">
        <v>42734</v>
      </c>
      <c r="L352" s="66">
        <v>52.29</v>
      </c>
      <c r="M352" s="66">
        <v>52.29</v>
      </c>
      <c r="N352" s="41" t="s">
        <v>32</v>
      </c>
      <c r="O352" s="3">
        <v>59.8</v>
      </c>
      <c r="P352" s="66">
        <v>61.224366099999997</v>
      </c>
      <c r="Q352" s="3">
        <v>0</v>
      </c>
      <c r="R352" s="25">
        <v>0.88726870000000002</v>
      </c>
      <c r="S352" s="22"/>
      <c r="T352" s="3"/>
      <c r="U352" s="67">
        <f t="shared" si="36"/>
        <v>61.224366099999997</v>
      </c>
      <c r="V352" s="67">
        <f t="shared" si="37"/>
        <v>0.88726870000000002</v>
      </c>
      <c r="W352" s="154">
        <v>9.4399999999999998E-2</v>
      </c>
      <c r="X352" s="3">
        <f>W352+V352</f>
        <v>0.98166870000000006</v>
      </c>
      <c r="Y352" s="3"/>
      <c r="Z352" s="67">
        <f t="shared" si="38"/>
        <v>62.206034799999998</v>
      </c>
      <c r="AA352" s="67">
        <f t="shared" si="39"/>
        <v>0</v>
      </c>
      <c r="AB352" s="3"/>
      <c r="AC352" s="3"/>
      <c r="AD352" s="3"/>
      <c r="AE352" s="67">
        <f t="shared" si="40"/>
        <v>62.206034799999998</v>
      </c>
      <c r="AF352" s="67">
        <f t="shared" si="41"/>
        <v>0</v>
      </c>
    </row>
    <row r="353" spans="1:32" ht="46.8">
      <c r="A353" s="41">
        <f t="shared" si="42"/>
        <v>351</v>
      </c>
      <c r="B353" s="41" t="s">
        <v>579</v>
      </c>
      <c r="C353" s="41" t="s">
        <v>876</v>
      </c>
      <c r="D353" s="41" t="s">
        <v>1019</v>
      </c>
      <c r="E353" s="41" t="s">
        <v>1399</v>
      </c>
      <c r="F353" s="43" t="s">
        <v>580</v>
      </c>
      <c r="G353" s="41"/>
      <c r="H353" s="41"/>
      <c r="I353" s="41" t="s">
        <v>1033</v>
      </c>
      <c r="J353" s="41" t="s">
        <v>1033</v>
      </c>
      <c r="K353" s="41" t="s">
        <v>1034</v>
      </c>
      <c r="L353" s="156">
        <v>2.37</v>
      </c>
      <c r="M353" s="3">
        <v>0</v>
      </c>
      <c r="N353" s="41" t="s">
        <v>516</v>
      </c>
      <c r="O353" s="3">
        <v>2.37</v>
      </c>
      <c r="P353" s="3">
        <v>2.3396651999999998</v>
      </c>
      <c r="Q353" s="66">
        <v>3.3480000000007948E-4</v>
      </c>
      <c r="R353" s="25">
        <v>3.2160000000000001E-2</v>
      </c>
      <c r="S353" s="22">
        <v>3.2160000000000001E-2</v>
      </c>
      <c r="T353" s="3"/>
      <c r="U353" s="67">
        <f t="shared" si="36"/>
        <v>2.3718252</v>
      </c>
      <c r="V353" s="67">
        <f t="shared" si="37"/>
        <v>3.3480000000007948E-4</v>
      </c>
      <c r="W353" s="69"/>
      <c r="X353" s="3"/>
      <c r="Y353" s="3"/>
      <c r="Z353" s="67">
        <f t="shared" si="38"/>
        <v>2.3718252</v>
      </c>
      <c r="AA353" s="67">
        <f t="shared" si="39"/>
        <v>3.3480000000007948E-4</v>
      </c>
      <c r="AB353" s="3"/>
      <c r="AC353" s="3"/>
      <c r="AD353" s="3"/>
      <c r="AE353" s="67">
        <f t="shared" si="40"/>
        <v>2.3718252</v>
      </c>
      <c r="AF353" s="67">
        <f t="shared" si="41"/>
        <v>3.3480000000007948E-4</v>
      </c>
    </row>
    <row r="354" spans="1:32" ht="62.4">
      <c r="A354" s="41">
        <f t="shared" si="42"/>
        <v>352</v>
      </c>
      <c r="B354" s="41" t="s">
        <v>581</v>
      </c>
      <c r="C354" s="41" t="s">
        <v>1002</v>
      </c>
      <c r="D354" s="34" t="s">
        <v>1016</v>
      </c>
      <c r="E354" s="41" t="s">
        <v>1400</v>
      </c>
      <c r="F354" s="43" t="s">
        <v>582</v>
      </c>
      <c r="G354" s="41" t="s">
        <v>28</v>
      </c>
      <c r="H354" s="41"/>
      <c r="I354" s="41"/>
      <c r="J354" s="41"/>
      <c r="K354" s="41"/>
      <c r="L354" s="66">
        <v>61.57</v>
      </c>
      <c r="M354" s="66">
        <v>67.17</v>
      </c>
      <c r="N354" s="41" t="s">
        <v>32</v>
      </c>
      <c r="O354" s="66">
        <v>64.62</v>
      </c>
      <c r="P354" s="66">
        <v>66.979640899999993</v>
      </c>
      <c r="Q354" s="3">
        <v>0</v>
      </c>
      <c r="R354" s="69"/>
      <c r="S354" s="22"/>
      <c r="T354" s="3"/>
      <c r="U354" s="67">
        <f t="shared" si="36"/>
        <v>66.979640899999993</v>
      </c>
      <c r="V354" s="67">
        <f t="shared" si="37"/>
        <v>0</v>
      </c>
      <c r="W354" s="3"/>
      <c r="X354" s="3"/>
      <c r="Y354" s="3"/>
      <c r="Z354" s="67">
        <f t="shared" si="38"/>
        <v>66.979640899999993</v>
      </c>
      <c r="AA354" s="67">
        <f t="shared" si="39"/>
        <v>0</v>
      </c>
      <c r="AB354" s="3"/>
      <c r="AC354" s="3"/>
      <c r="AD354" s="3"/>
      <c r="AE354" s="67">
        <f t="shared" si="40"/>
        <v>66.979640899999993</v>
      </c>
      <c r="AF354" s="67">
        <f t="shared" si="41"/>
        <v>0</v>
      </c>
    </row>
    <row r="355" spans="1:32" ht="78">
      <c r="A355" s="41">
        <f t="shared" si="42"/>
        <v>353</v>
      </c>
      <c r="B355" s="41" t="s">
        <v>583</v>
      </c>
      <c r="C355" s="34" t="s">
        <v>1002</v>
      </c>
      <c r="D355" s="41" t="s">
        <v>1019</v>
      </c>
      <c r="E355" s="41" t="s">
        <v>1401</v>
      </c>
      <c r="F355" s="43" t="s">
        <v>584</v>
      </c>
      <c r="G355" s="41" t="s">
        <v>28</v>
      </c>
      <c r="H355" s="41">
        <v>4</v>
      </c>
      <c r="I355" s="64">
        <v>43521</v>
      </c>
      <c r="J355" s="64">
        <v>43521</v>
      </c>
      <c r="K355" s="64" t="s">
        <v>498</v>
      </c>
      <c r="L355" s="66">
        <v>23.36</v>
      </c>
      <c r="M355" s="3">
        <v>22.05</v>
      </c>
      <c r="N355" s="41" t="s">
        <v>32</v>
      </c>
      <c r="O355" s="66">
        <v>21.55</v>
      </c>
      <c r="P355" s="66">
        <v>21.744854</v>
      </c>
      <c r="Q355" s="66">
        <v>2.6670400000000011E-2</v>
      </c>
      <c r="R355" s="69"/>
      <c r="S355" s="22"/>
      <c r="T355" s="3"/>
      <c r="U355" s="67">
        <f t="shared" si="36"/>
        <v>21.744854</v>
      </c>
      <c r="V355" s="67">
        <f t="shared" si="37"/>
        <v>2.6670400000000011E-2</v>
      </c>
      <c r="W355" s="3"/>
      <c r="X355" s="67"/>
      <c r="Y355" s="3"/>
      <c r="Z355" s="67">
        <f t="shared" si="38"/>
        <v>21.744854</v>
      </c>
      <c r="AA355" s="67">
        <f t="shared" si="39"/>
        <v>2.6670400000000011E-2</v>
      </c>
      <c r="AB355" s="3"/>
      <c r="AC355" s="3"/>
      <c r="AD355" s="3"/>
      <c r="AE355" s="67">
        <f t="shared" si="40"/>
        <v>21.744854</v>
      </c>
      <c r="AF355" s="67">
        <f t="shared" si="41"/>
        <v>2.6670400000000011E-2</v>
      </c>
    </row>
    <row r="356" spans="1:32" ht="78">
      <c r="A356" s="41">
        <f t="shared" si="42"/>
        <v>354</v>
      </c>
      <c r="B356" s="41" t="s">
        <v>585</v>
      </c>
      <c r="C356" s="41" t="s">
        <v>876</v>
      </c>
      <c r="D356" s="34" t="s">
        <v>1016</v>
      </c>
      <c r="E356" s="41" t="s">
        <v>1402</v>
      </c>
      <c r="F356" s="43" t="s">
        <v>586</v>
      </c>
      <c r="G356" s="41" t="s">
        <v>28</v>
      </c>
      <c r="H356" s="63">
        <v>4</v>
      </c>
      <c r="I356" s="64">
        <v>42369</v>
      </c>
      <c r="J356" s="64">
        <v>42369</v>
      </c>
      <c r="K356" s="64">
        <v>42734</v>
      </c>
      <c r="L356" s="66">
        <v>69.66</v>
      </c>
      <c r="M356" s="66">
        <v>69.66</v>
      </c>
      <c r="N356" s="41" t="s">
        <v>587</v>
      </c>
      <c r="O356" s="3">
        <v>67.819999999999993</v>
      </c>
      <c r="P356" s="3">
        <v>66.777505586000004</v>
      </c>
      <c r="Q356" s="66">
        <v>2.5714412139999894</v>
      </c>
      <c r="R356" s="69"/>
      <c r="S356" s="22"/>
      <c r="T356" s="3"/>
      <c r="U356" s="67">
        <f t="shared" si="36"/>
        <v>66.777505586000004</v>
      </c>
      <c r="V356" s="67">
        <f t="shared" si="37"/>
        <v>2.5714412139999894</v>
      </c>
      <c r="W356" s="3"/>
      <c r="X356" s="3"/>
      <c r="Y356" s="3"/>
      <c r="Z356" s="67">
        <f t="shared" si="38"/>
        <v>66.777505586000004</v>
      </c>
      <c r="AA356" s="67">
        <f t="shared" si="39"/>
        <v>2.5714412139999894</v>
      </c>
      <c r="AB356" s="3"/>
      <c r="AC356" s="3"/>
      <c r="AD356" s="3"/>
      <c r="AE356" s="67">
        <f t="shared" si="40"/>
        <v>66.777505586000004</v>
      </c>
      <c r="AF356" s="67">
        <f t="shared" si="41"/>
        <v>2.5714412139999894</v>
      </c>
    </row>
    <row r="357" spans="1:32" ht="46.8">
      <c r="A357" s="41">
        <f t="shared" si="42"/>
        <v>355</v>
      </c>
      <c r="B357" s="41" t="s">
        <v>585</v>
      </c>
      <c r="C357" s="41" t="s">
        <v>876</v>
      </c>
      <c r="D357" s="34" t="s">
        <v>1016</v>
      </c>
      <c r="E357" s="41" t="s">
        <v>1402</v>
      </c>
      <c r="F357" s="43" t="s">
        <v>1022</v>
      </c>
      <c r="G357" s="41" t="s">
        <v>28</v>
      </c>
      <c r="H357" s="63">
        <v>4</v>
      </c>
      <c r="I357" s="64">
        <v>42369</v>
      </c>
      <c r="J357" s="64">
        <v>42369</v>
      </c>
      <c r="K357" s="64">
        <v>42734</v>
      </c>
      <c r="L357" s="66">
        <v>69.66</v>
      </c>
      <c r="M357" s="66">
        <v>69.66</v>
      </c>
      <c r="N357" s="41" t="s">
        <v>32</v>
      </c>
      <c r="O357" s="3">
        <v>67.819999999999993</v>
      </c>
      <c r="P357" s="3">
        <v>1.0041545000000001</v>
      </c>
      <c r="Q357" s="66">
        <v>-1.0041545000000001</v>
      </c>
      <c r="R357" s="69"/>
      <c r="S357" s="22"/>
      <c r="T357" s="3"/>
      <c r="U357" s="67">
        <f t="shared" si="36"/>
        <v>1.0041545000000001</v>
      </c>
      <c r="V357" s="67">
        <f t="shared" si="37"/>
        <v>-1.0041545000000001</v>
      </c>
      <c r="W357" s="3"/>
      <c r="X357" s="3"/>
      <c r="Y357" s="3"/>
      <c r="Z357" s="67">
        <f t="shared" si="38"/>
        <v>1.0041545000000001</v>
      </c>
      <c r="AA357" s="67">
        <f t="shared" si="39"/>
        <v>-1.0041545000000001</v>
      </c>
      <c r="AB357" s="3"/>
      <c r="AC357" s="3"/>
      <c r="AD357" s="3"/>
      <c r="AE357" s="67">
        <f t="shared" si="40"/>
        <v>1.0041545000000001</v>
      </c>
      <c r="AF357" s="67">
        <f t="shared" si="41"/>
        <v>-1.0041545000000001</v>
      </c>
    </row>
    <row r="358" spans="1:32" ht="124.8">
      <c r="A358" s="41">
        <f t="shared" si="42"/>
        <v>356</v>
      </c>
      <c r="B358" s="41" t="s">
        <v>588</v>
      </c>
      <c r="C358" s="34" t="s">
        <v>1002</v>
      </c>
      <c r="D358" s="34" t="s">
        <v>1019</v>
      </c>
      <c r="E358" s="41" t="s">
        <v>1403</v>
      </c>
      <c r="F358" s="43" t="s">
        <v>589</v>
      </c>
      <c r="G358" s="41"/>
      <c r="H358" s="41"/>
      <c r="I358" s="41"/>
      <c r="J358" s="41"/>
      <c r="K358" s="41"/>
      <c r="L358" s="3">
        <v>0</v>
      </c>
      <c r="M358" s="3">
        <v>0</v>
      </c>
      <c r="N358" s="41" t="s">
        <v>29</v>
      </c>
      <c r="O358" s="66">
        <v>43.52</v>
      </c>
      <c r="P358" s="66">
        <v>7.3185712999999994</v>
      </c>
      <c r="Q358" s="3">
        <v>0</v>
      </c>
      <c r="R358" s="25">
        <v>0.21936659999999999</v>
      </c>
      <c r="S358" s="22"/>
      <c r="T358" s="3"/>
      <c r="U358" s="67">
        <f t="shared" si="36"/>
        <v>7.3185712999999994</v>
      </c>
      <c r="V358" s="67">
        <f t="shared" si="37"/>
        <v>0.21936659999999999</v>
      </c>
      <c r="W358" s="69"/>
      <c r="X358" s="67"/>
      <c r="Y358" s="3"/>
      <c r="Z358" s="67">
        <f t="shared" si="38"/>
        <v>7.3185712999999994</v>
      </c>
      <c r="AA358" s="67">
        <f t="shared" si="39"/>
        <v>0.21936659999999999</v>
      </c>
      <c r="AB358" s="3"/>
      <c r="AC358" s="3"/>
      <c r="AD358" s="3"/>
      <c r="AE358" s="67">
        <f t="shared" si="40"/>
        <v>7.3185712999999994</v>
      </c>
      <c r="AF358" s="67">
        <f t="shared" si="41"/>
        <v>0.21936659999999999</v>
      </c>
    </row>
    <row r="359" spans="1:32" ht="46.8">
      <c r="A359" s="41">
        <f t="shared" si="42"/>
        <v>357</v>
      </c>
      <c r="B359" s="41" t="s">
        <v>590</v>
      </c>
      <c r="C359" s="41" t="s">
        <v>876</v>
      </c>
      <c r="D359" s="34" t="s">
        <v>1017</v>
      </c>
      <c r="E359" s="41" t="s">
        <v>1404</v>
      </c>
      <c r="F359" s="43" t="s">
        <v>591</v>
      </c>
      <c r="G359" s="41" t="s">
        <v>28</v>
      </c>
      <c r="H359" s="41"/>
      <c r="I359" s="41"/>
      <c r="J359" s="41"/>
      <c r="K359" s="41"/>
      <c r="L359" s="3"/>
      <c r="M359" s="66">
        <v>18.04</v>
      </c>
      <c r="N359" s="41" t="s">
        <v>32</v>
      </c>
      <c r="O359" s="66">
        <v>18.04</v>
      </c>
      <c r="P359" s="66">
        <v>19.367330599999999</v>
      </c>
      <c r="Q359" s="3">
        <v>0</v>
      </c>
      <c r="R359" s="69"/>
      <c r="S359" s="22"/>
      <c r="T359" s="3"/>
      <c r="U359" s="67">
        <f t="shared" si="36"/>
        <v>19.367330599999999</v>
      </c>
      <c r="V359" s="67">
        <f t="shared" si="37"/>
        <v>0</v>
      </c>
      <c r="W359" s="3"/>
      <c r="X359" s="3"/>
      <c r="Y359" s="3"/>
      <c r="Z359" s="67">
        <f t="shared" si="38"/>
        <v>19.367330599999999</v>
      </c>
      <c r="AA359" s="67">
        <f t="shared" si="39"/>
        <v>0</v>
      </c>
      <c r="AB359" s="3"/>
      <c r="AC359" s="3"/>
      <c r="AD359" s="3"/>
      <c r="AE359" s="67">
        <f t="shared" si="40"/>
        <v>19.367330599999999</v>
      </c>
      <c r="AF359" s="67">
        <f t="shared" si="41"/>
        <v>0</v>
      </c>
    </row>
    <row r="360" spans="1:32" ht="46.8">
      <c r="A360" s="41">
        <f t="shared" si="42"/>
        <v>358</v>
      </c>
      <c r="B360" s="41" t="s">
        <v>592</v>
      </c>
      <c r="C360" s="41" t="s">
        <v>1002</v>
      </c>
      <c r="D360" s="41" t="s">
        <v>1016</v>
      </c>
      <c r="E360" s="41" t="s">
        <v>1405</v>
      </c>
      <c r="F360" s="43" t="s">
        <v>593</v>
      </c>
      <c r="G360" s="41" t="s">
        <v>28</v>
      </c>
      <c r="H360" s="41">
        <v>1</v>
      </c>
      <c r="I360" s="41" t="s">
        <v>231</v>
      </c>
      <c r="J360" s="41" t="s">
        <v>231</v>
      </c>
      <c r="K360" s="41" t="s">
        <v>232</v>
      </c>
      <c r="L360" s="3">
        <v>16.940000000000001</v>
      </c>
      <c r="M360" s="3"/>
      <c r="N360" s="41" t="s">
        <v>29</v>
      </c>
      <c r="O360" s="66">
        <v>19.690000000000001</v>
      </c>
      <c r="P360" s="66">
        <v>19.749684199999997</v>
      </c>
      <c r="Q360" s="3">
        <v>0</v>
      </c>
      <c r="R360" s="25">
        <v>4.5181100000000002E-2</v>
      </c>
      <c r="S360" s="22"/>
      <c r="T360" s="3"/>
      <c r="U360" s="67">
        <f t="shared" si="36"/>
        <v>19.749684199999997</v>
      </c>
      <c r="V360" s="67">
        <f t="shared" si="37"/>
        <v>4.5181100000000002E-2</v>
      </c>
      <c r="W360" s="3"/>
      <c r="X360" s="3"/>
      <c r="Y360" s="3"/>
      <c r="Z360" s="67">
        <f t="shared" si="38"/>
        <v>19.749684199999997</v>
      </c>
      <c r="AA360" s="67">
        <f t="shared" si="39"/>
        <v>4.5181100000000002E-2</v>
      </c>
      <c r="AB360" s="3"/>
      <c r="AC360" s="3"/>
      <c r="AD360" s="3"/>
      <c r="AE360" s="67">
        <f t="shared" si="40"/>
        <v>19.749684199999997</v>
      </c>
      <c r="AF360" s="67">
        <f t="shared" si="41"/>
        <v>4.5181100000000002E-2</v>
      </c>
    </row>
    <row r="361" spans="1:32" ht="78">
      <c r="A361" s="41">
        <f t="shared" si="42"/>
        <v>359</v>
      </c>
      <c r="B361" s="41" t="s">
        <v>594</v>
      </c>
      <c r="C361" s="41" t="s">
        <v>1002</v>
      </c>
      <c r="D361" s="34" t="s">
        <v>1016</v>
      </c>
      <c r="E361" s="41" t="s">
        <v>1406</v>
      </c>
      <c r="F361" s="43" t="s">
        <v>595</v>
      </c>
      <c r="G361" s="41" t="s">
        <v>28</v>
      </c>
      <c r="H361" s="63">
        <v>2</v>
      </c>
      <c r="I361" s="64">
        <v>42084</v>
      </c>
      <c r="J361" s="64">
        <v>42084</v>
      </c>
      <c r="K361" s="64">
        <v>42449</v>
      </c>
      <c r="L361" s="66">
        <v>55.51</v>
      </c>
      <c r="M361" s="66">
        <v>55.51</v>
      </c>
      <c r="N361" s="41" t="s">
        <v>32</v>
      </c>
      <c r="O361" s="66">
        <v>59.61</v>
      </c>
      <c r="P361" s="66">
        <v>62.968961100000001</v>
      </c>
      <c r="Q361" s="3">
        <v>-2.6675020999999997</v>
      </c>
      <c r="R361" s="25">
        <v>0.66284299999999996</v>
      </c>
      <c r="S361" s="22"/>
      <c r="T361" s="3"/>
      <c r="U361" s="67">
        <f t="shared" si="36"/>
        <v>62.968961100000001</v>
      </c>
      <c r="V361" s="67">
        <f t="shared" si="37"/>
        <v>-2.0046590999999996</v>
      </c>
      <c r="W361" s="3"/>
      <c r="X361" s="3"/>
      <c r="Y361" s="3"/>
      <c r="Z361" s="67">
        <f t="shared" si="38"/>
        <v>62.968961100000001</v>
      </c>
      <c r="AA361" s="67">
        <f t="shared" si="39"/>
        <v>-2.0046590999999996</v>
      </c>
      <c r="AB361" s="3"/>
      <c r="AC361" s="3"/>
      <c r="AD361" s="3"/>
      <c r="AE361" s="67">
        <f t="shared" si="40"/>
        <v>62.968961100000001</v>
      </c>
      <c r="AF361" s="67">
        <f t="shared" si="41"/>
        <v>-2.0046590999999996</v>
      </c>
    </row>
    <row r="362" spans="1:32" ht="46.8">
      <c r="A362" s="41">
        <f t="shared" si="42"/>
        <v>360</v>
      </c>
      <c r="B362" s="41" t="s">
        <v>596</v>
      </c>
      <c r="C362" s="41"/>
      <c r="D362" s="41" t="s">
        <v>1017</v>
      </c>
      <c r="E362" s="41" t="s">
        <v>1407</v>
      </c>
      <c r="F362" s="43" t="s">
        <v>597</v>
      </c>
      <c r="G362" s="41" t="s">
        <v>28</v>
      </c>
      <c r="H362" s="41"/>
      <c r="I362" s="70" t="s">
        <v>598</v>
      </c>
      <c r="J362" s="41" t="s">
        <v>598</v>
      </c>
      <c r="K362" s="41" t="s">
        <v>599</v>
      </c>
      <c r="L362" s="3" t="s">
        <v>600</v>
      </c>
      <c r="M362" s="3">
        <v>668.72</v>
      </c>
      <c r="N362" s="41" t="s">
        <v>32</v>
      </c>
      <c r="O362" s="66">
        <v>88.7</v>
      </c>
      <c r="P362" s="3">
        <v>3.3708402</v>
      </c>
      <c r="Q362" s="3">
        <v>-3.3708402</v>
      </c>
      <c r="R362" s="3"/>
      <c r="S362" s="22"/>
      <c r="T362" s="3"/>
      <c r="U362" s="67">
        <f t="shared" si="36"/>
        <v>3.3708402</v>
      </c>
      <c r="V362" s="67">
        <f t="shared" si="37"/>
        <v>-3.3708402</v>
      </c>
      <c r="W362" s="3"/>
      <c r="X362" s="3"/>
      <c r="Y362" s="3"/>
      <c r="Z362" s="67">
        <f t="shared" si="38"/>
        <v>3.3708402</v>
      </c>
      <c r="AA362" s="67">
        <f t="shared" si="39"/>
        <v>-3.3708402</v>
      </c>
      <c r="AB362" s="3"/>
      <c r="AC362" s="3"/>
      <c r="AD362" s="3"/>
      <c r="AE362" s="67">
        <f t="shared" si="40"/>
        <v>3.3708402</v>
      </c>
      <c r="AF362" s="67">
        <f t="shared" si="41"/>
        <v>-3.3708402</v>
      </c>
    </row>
    <row r="363" spans="1:32" ht="46.8">
      <c r="A363" s="41">
        <f t="shared" si="42"/>
        <v>361</v>
      </c>
      <c r="B363" s="41" t="s">
        <v>601</v>
      </c>
      <c r="C363" s="34" t="s">
        <v>1002</v>
      </c>
      <c r="D363" s="42" t="s">
        <v>1017</v>
      </c>
      <c r="E363" s="41" t="s">
        <v>1408</v>
      </c>
      <c r="F363" s="43" t="s">
        <v>602</v>
      </c>
      <c r="G363" s="41" t="s">
        <v>28</v>
      </c>
      <c r="H363" s="41"/>
      <c r="I363" s="41"/>
      <c r="J363" s="41"/>
      <c r="K363" s="41"/>
      <c r="L363" s="3">
        <v>0</v>
      </c>
      <c r="M363" s="3">
        <v>0</v>
      </c>
      <c r="N363" s="41" t="s">
        <v>32</v>
      </c>
      <c r="O363" s="66">
        <v>6.22</v>
      </c>
      <c r="P363" s="66">
        <v>6.9997609000000001</v>
      </c>
      <c r="Q363" s="3">
        <v>0</v>
      </c>
      <c r="R363" s="25">
        <v>9.98478E-2</v>
      </c>
      <c r="S363" s="22">
        <v>0.1011678</v>
      </c>
      <c r="T363" s="3"/>
      <c r="U363" s="67">
        <f t="shared" si="36"/>
        <v>7.1009286999999999</v>
      </c>
      <c r="V363" s="67">
        <f t="shared" si="37"/>
        <v>-1.3200000000000017E-3</v>
      </c>
      <c r="W363" s="69"/>
      <c r="X363" s="3"/>
      <c r="Y363" s="3"/>
      <c r="Z363" s="67">
        <f t="shared" si="38"/>
        <v>7.1009286999999999</v>
      </c>
      <c r="AA363" s="67">
        <f t="shared" si="39"/>
        <v>-1.3200000000000017E-3</v>
      </c>
      <c r="AB363" s="3"/>
      <c r="AC363" s="3"/>
      <c r="AD363" s="3"/>
      <c r="AE363" s="67">
        <f t="shared" si="40"/>
        <v>7.1009286999999999</v>
      </c>
      <c r="AF363" s="67">
        <f t="shared" si="41"/>
        <v>-1.3200000000000017E-3</v>
      </c>
    </row>
    <row r="364" spans="1:32" ht="46.8">
      <c r="A364" s="41">
        <f t="shared" si="42"/>
        <v>362</v>
      </c>
      <c r="B364" s="41" t="s">
        <v>603</v>
      </c>
      <c r="C364" s="41" t="s">
        <v>1002</v>
      </c>
      <c r="D364" s="34" t="s">
        <v>1016</v>
      </c>
      <c r="E364" s="41" t="s">
        <v>1409</v>
      </c>
      <c r="F364" s="43" t="s">
        <v>604</v>
      </c>
      <c r="G364" s="41"/>
      <c r="H364" s="41"/>
      <c r="I364" s="41"/>
      <c r="J364" s="41"/>
      <c r="K364" s="41"/>
      <c r="L364" s="3"/>
      <c r="M364" s="3"/>
      <c r="N364" s="41" t="s">
        <v>29</v>
      </c>
      <c r="O364" s="66">
        <v>67.23</v>
      </c>
      <c r="P364" s="66">
        <v>72.457999300000012</v>
      </c>
      <c r="Q364" s="3">
        <v>-1.04128E-2</v>
      </c>
      <c r="R364" s="69"/>
      <c r="S364" s="22"/>
      <c r="T364" s="3"/>
      <c r="U364" s="67">
        <f t="shared" si="36"/>
        <v>72.457999300000012</v>
      </c>
      <c r="V364" s="67">
        <f t="shared" si="37"/>
        <v>-1.04128E-2</v>
      </c>
      <c r="W364" s="3"/>
      <c r="X364" s="3"/>
      <c r="Y364" s="3"/>
      <c r="Z364" s="67">
        <f t="shared" si="38"/>
        <v>72.457999300000012</v>
      </c>
      <c r="AA364" s="67">
        <f t="shared" si="39"/>
        <v>-1.04128E-2</v>
      </c>
      <c r="AB364" s="3"/>
      <c r="AC364" s="3"/>
      <c r="AD364" s="3"/>
      <c r="AE364" s="67">
        <f t="shared" si="40"/>
        <v>72.457999300000012</v>
      </c>
      <c r="AF364" s="67">
        <f t="shared" si="41"/>
        <v>-1.04128E-2</v>
      </c>
    </row>
    <row r="365" spans="1:32" ht="46.8">
      <c r="A365" s="41">
        <f t="shared" si="42"/>
        <v>363</v>
      </c>
      <c r="B365" s="41" t="s">
        <v>605</v>
      </c>
      <c r="C365" s="41" t="s">
        <v>1002</v>
      </c>
      <c r="D365" s="41" t="s">
        <v>1017</v>
      </c>
      <c r="E365" s="41" t="s">
        <v>1410</v>
      </c>
      <c r="F365" s="43" t="s">
        <v>606</v>
      </c>
      <c r="G365" s="41" t="s">
        <v>28</v>
      </c>
      <c r="H365" s="41"/>
      <c r="I365" s="41" t="s">
        <v>202</v>
      </c>
      <c r="J365" s="41" t="s">
        <v>202</v>
      </c>
      <c r="K365" s="41" t="s">
        <v>607</v>
      </c>
      <c r="L365" s="3" t="s">
        <v>608</v>
      </c>
      <c r="M365" s="66">
        <v>1370.02</v>
      </c>
      <c r="N365" s="41" t="s">
        <v>29</v>
      </c>
      <c r="O365" s="66">
        <v>6.06</v>
      </c>
      <c r="P365" s="66">
        <v>0.52758939999999999</v>
      </c>
      <c r="Q365" s="3">
        <v>0.19641500000000001</v>
      </c>
      <c r="R365" s="69"/>
      <c r="S365" s="22"/>
      <c r="T365" s="3"/>
      <c r="U365" s="67">
        <f t="shared" si="36"/>
        <v>0.52758939999999999</v>
      </c>
      <c r="V365" s="67">
        <f t="shared" si="37"/>
        <v>0.19641500000000001</v>
      </c>
      <c r="W365" s="3"/>
      <c r="X365" s="3"/>
      <c r="Y365" s="3"/>
      <c r="Z365" s="67">
        <f t="shared" si="38"/>
        <v>0.52758939999999999</v>
      </c>
      <c r="AA365" s="67">
        <f t="shared" si="39"/>
        <v>0.19641500000000001</v>
      </c>
      <c r="AB365" s="3"/>
      <c r="AC365" s="3"/>
      <c r="AD365" s="3"/>
      <c r="AE365" s="67">
        <f t="shared" si="40"/>
        <v>0.52758939999999999</v>
      </c>
      <c r="AF365" s="67">
        <f t="shared" si="41"/>
        <v>0.19641500000000001</v>
      </c>
    </row>
    <row r="366" spans="1:32" ht="46.8">
      <c r="A366" s="41">
        <f t="shared" si="42"/>
        <v>364</v>
      </c>
      <c r="B366" s="41" t="s">
        <v>609</v>
      </c>
      <c r="C366" s="41" t="s">
        <v>1002</v>
      </c>
      <c r="D366" s="34" t="s">
        <v>1019</v>
      </c>
      <c r="E366" s="41" t="s">
        <v>1411</v>
      </c>
      <c r="F366" s="43" t="s">
        <v>610</v>
      </c>
      <c r="G366" s="41" t="s">
        <v>28</v>
      </c>
      <c r="H366" s="41">
        <v>4</v>
      </c>
      <c r="I366" s="64">
        <v>43486</v>
      </c>
      <c r="J366" s="64">
        <v>43486</v>
      </c>
      <c r="K366" s="41" t="s">
        <v>462</v>
      </c>
      <c r="L366" s="66">
        <v>69.569999999999993</v>
      </c>
      <c r="M366" s="66">
        <v>67.08</v>
      </c>
      <c r="N366" s="41" t="s">
        <v>32</v>
      </c>
      <c r="O366" s="66">
        <v>69.569999999999993</v>
      </c>
      <c r="P366" s="3">
        <v>29.677890425000001</v>
      </c>
      <c r="Q366" s="66">
        <v>-0.44080872500000401</v>
      </c>
      <c r="R366" s="69"/>
      <c r="S366" s="22"/>
      <c r="T366" s="22"/>
      <c r="U366" s="67">
        <f t="shared" si="36"/>
        <v>29.677890425000001</v>
      </c>
      <c r="V366" s="67">
        <f t="shared" si="37"/>
        <v>-0.44080872500000401</v>
      </c>
      <c r="W366" s="3"/>
      <c r="X366" s="3"/>
      <c r="Y366" s="3"/>
      <c r="Z366" s="67">
        <f t="shared" si="38"/>
        <v>29.677890425000001</v>
      </c>
      <c r="AA366" s="67">
        <f t="shared" si="39"/>
        <v>-0.44080872500000401</v>
      </c>
      <c r="AB366" s="3"/>
      <c r="AC366" s="3"/>
      <c r="AD366" s="3"/>
      <c r="AE366" s="67">
        <f t="shared" si="40"/>
        <v>29.677890425000001</v>
      </c>
      <c r="AF366" s="67">
        <f t="shared" si="41"/>
        <v>-0.44080872500000401</v>
      </c>
    </row>
    <row r="367" spans="1:32" ht="46.8">
      <c r="A367" s="41">
        <f t="shared" si="42"/>
        <v>365</v>
      </c>
      <c r="B367" s="41" t="s">
        <v>611</v>
      </c>
      <c r="C367" s="41"/>
      <c r="D367" s="34" t="s">
        <v>1017</v>
      </c>
      <c r="E367" s="41" t="s">
        <v>1412</v>
      </c>
      <c r="F367" s="43" t="s">
        <v>612</v>
      </c>
      <c r="G367" s="41" t="s">
        <v>28</v>
      </c>
      <c r="H367" s="41"/>
      <c r="I367" s="41"/>
      <c r="J367" s="41"/>
      <c r="K367" s="41"/>
      <c r="L367" s="3"/>
      <c r="M367" s="3"/>
      <c r="N367" s="41" t="s">
        <v>32</v>
      </c>
      <c r="O367" s="3">
        <v>0</v>
      </c>
      <c r="P367" s="3">
        <v>4.4035900000000003E-2</v>
      </c>
      <c r="Q367" s="66">
        <v>1.2659641000000001</v>
      </c>
      <c r="R367" s="3"/>
      <c r="S367" s="22"/>
      <c r="T367" s="3"/>
      <c r="U367" s="67">
        <f t="shared" si="36"/>
        <v>4.4035900000000003E-2</v>
      </c>
      <c r="V367" s="67">
        <f t="shared" si="37"/>
        <v>1.2659641000000001</v>
      </c>
      <c r="W367" s="3"/>
      <c r="X367" s="3"/>
      <c r="Y367" s="3"/>
      <c r="Z367" s="67">
        <f t="shared" si="38"/>
        <v>4.4035900000000003E-2</v>
      </c>
      <c r="AA367" s="67">
        <f t="shared" si="39"/>
        <v>1.2659641000000001</v>
      </c>
      <c r="AB367" s="3"/>
      <c r="AC367" s="3"/>
      <c r="AD367" s="3"/>
      <c r="AE367" s="67">
        <f t="shared" si="40"/>
        <v>4.4035900000000003E-2</v>
      </c>
      <c r="AF367" s="67">
        <f t="shared" si="41"/>
        <v>1.2659641000000001</v>
      </c>
    </row>
    <row r="368" spans="1:32" ht="78">
      <c r="A368" s="41">
        <f t="shared" si="42"/>
        <v>366</v>
      </c>
      <c r="B368" s="41" t="s">
        <v>613</v>
      </c>
      <c r="C368" s="41" t="s">
        <v>1002</v>
      </c>
      <c r="D368" s="34" t="s">
        <v>1016</v>
      </c>
      <c r="E368" s="41" t="s">
        <v>1413</v>
      </c>
      <c r="F368" s="43" t="s">
        <v>614</v>
      </c>
      <c r="G368" s="41" t="s">
        <v>28</v>
      </c>
      <c r="H368" s="63">
        <v>3</v>
      </c>
      <c r="I368" s="64">
        <v>42431</v>
      </c>
      <c r="J368" s="64">
        <v>42431</v>
      </c>
      <c r="K368" s="64">
        <v>42614</v>
      </c>
      <c r="L368" s="66">
        <v>11.41</v>
      </c>
      <c r="M368" s="66">
        <v>12.58</v>
      </c>
      <c r="N368" s="41" t="s">
        <v>32</v>
      </c>
      <c r="O368" s="66">
        <v>11.93</v>
      </c>
      <c r="P368" s="66">
        <v>12.8689693</v>
      </c>
      <c r="Q368" s="3">
        <v>0</v>
      </c>
      <c r="R368" s="69"/>
      <c r="S368" s="22"/>
      <c r="T368" s="3"/>
      <c r="U368" s="67">
        <f t="shared" si="36"/>
        <v>12.8689693</v>
      </c>
      <c r="V368" s="67">
        <f t="shared" si="37"/>
        <v>0</v>
      </c>
      <c r="W368" s="3"/>
      <c r="X368" s="3"/>
      <c r="Y368" s="3"/>
      <c r="Z368" s="67">
        <f t="shared" si="38"/>
        <v>12.8689693</v>
      </c>
      <c r="AA368" s="67">
        <f t="shared" si="39"/>
        <v>0</v>
      </c>
      <c r="AB368" s="3"/>
      <c r="AC368" s="3"/>
      <c r="AD368" s="3"/>
      <c r="AE368" s="67">
        <f t="shared" si="40"/>
        <v>12.8689693</v>
      </c>
      <c r="AF368" s="67">
        <f t="shared" si="41"/>
        <v>0</v>
      </c>
    </row>
    <row r="369" spans="1:32" ht="46.8">
      <c r="A369" s="41">
        <f t="shared" si="42"/>
        <v>367</v>
      </c>
      <c r="B369" s="41" t="s">
        <v>615</v>
      </c>
      <c r="C369" s="41" t="s">
        <v>1002</v>
      </c>
      <c r="D369" s="41" t="s">
        <v>1016</v>
      </c>
      <c r="E369" s="41" t="s">
        <v>1414</v>
      </c>
      <c r="F369" s="43" t="s">
        <v>616</v>
      </c>
      <c r="G369" s="41" t="s">
        <v>28</v>
      </c>
      <c r="H369" s="63">
        <v>2</v>
      </c>
      <c r="I369" s="64">
        <v>42084</v>
      </c>
      <c r="J369" s="64">
        <v>42084</v>
      </c>
      <c r="K369" s="64">
        <v>42449</v>
      </c>
      <c r="L369" s="66">
        <v>80.599999999999994</v>
      </c>
      <c r="M369" s="66">
        <v>67.03</v>
      </c>
      <c r="N369" s="41" t="s">
        <v>32</v>
      </c>
      <c r="O369" s="66">
        <v>63.2</v>
      </c>
      <c r="P369" s="66">
        <v>69.60138289999999</v>
      </c>
      <c r="Q369" s="3">
        <v>0</v>
      </c>
      <c r="R369" s="69"/>
      <c r="S369" s="22"/>
      <c r="T369" s="3"/>
      <c r="U369" s="67">
        <f t="shared" si="36"/>
        <v>69.60138289999999</v>
      </c>
      <c r="V369" s="67">
        <f t="shared" si="37"/>
        <v>0</v>
      </c>
      <c r="W369" s="3"/>
      <c r="X369" s="3"/>
      <c r="Y369" s="3"/>
      <c r="Z369" s="67">
        <f t="shared" si="38"/>
        <v>69.60138289999999</v>
      </c>
      <c r="AA369" s="67">
        <f t="shared" si="39"/>
        <v>0</v>
      </c>
      <c r="AB369" s="3"/>
      <c r="AC369" s="3"/>
      <c r="AD369" s="3"/>
      <c r="AE369" s="67">
        <f t="shared" si="40"/>
        <v>69.60138289999999</v>
      </c>
      <c r="AF369" s="67">
        <f t="shared" si="41"/>
        <v>0</v>
      </c>
    </row>
    <row r="370" spans="1:32" ht="46.8">
      <c r="A370" s="41">
        <f t="shared" si="42"/>
        <v>368</v>
      </c>
      <c r="B370" s="41" t="s">
        <v>617</v>
      </c>
      <c r="C370" s="41" t="s">
        <v>876</v>
      </c>
      <c r="D370" s="41" t="s">
        <v>1016</v>
      </c>
      <c r="E370" s="41" t="s">
        <v>1158</v>
      </c>
      <c r="F370" s="43" t="s">
        <v>618</v>
      </c>
      <c r="G370" s="41"/>
      <c r="H370" s="41"/>
      <c r="I370" s="41"/>
      <c r="J370" s="41"/>
      <c r="K370" s="41"/>
      <c r="L370" s="3"/>
      <c r="M370" s="3"/>
      <c r="N370" s="41" t="s">
        <v>32</v>
      </c>
      <c r="O370" s="3">
        <v>0</v>
      </c>
      <c r="P370" s="3">
        <v>2.5267000000000001E-2</v>
      </c>
      <c r="Q370" s="3">
        <v>0</v>
      </c>
      <c r="R370" s="69"/>
      <c r="S370" s="22"/>
      <c r="T370" s="3"/>
      <c r="U370" s="67">
        <f t="shared" si="36"/>
        <v>2.5267000000000001E-2</v>
      </c>
      <c r="V370" s="67">
        <f t="shared" si="37"/>
        <v>0</v>
      </c>
      <c r="W370" s="3"/>
      <c r="X370" s="3"/>
      <c r="Y370" s="3"/>
      <c r="Z370" s="67">
        <f t="shared" si="38"/>
        <v>2.5267000000000001E-2</v>
      </c>
      <c r="AA370" s="67">
        <f t="shared" si="39"/>
        <v>0</v>
      </c>
      <c r="AB370" s="3"/>
      <c r="AC370" s="3"/>
      <c r="AD370" s="3"/>
      <c r="AE370" s="67">
        <f t="shared" si="40"/>
        <v>2.5267000000000001E-2</v>
      </c>
      <c r="AF370" s="67">
        <f t="shared" si="41"/>
        <v>0</v>
      </c>
    </row>
    <row r="371" spans="1:32" ht="46.8">
      <c r="A371" s="41">
        <f t="shared" si="42"/>
        <v>369</v>
      </c>
      <c r="B371" s="41" t="s">
        <v>619</v>
      </c>
      <c r="C371" s="41" t="s">
        <v>1002</v>
      </c>
      <c r="D371" s="34" t="s">
        <v>1016</v>
      </c>
      <c r="E371" s="41" t="s">
        <v>1415</v>
      </c>
      <c r="F371" s="43" t="s">
        <v>620</v>
      </c>
      <c r="G371" s="41" t="s">
        <v>28</v>
      </c>
      <c r="H371" s="63">
        <v>6</v>
      </c>
      <c r="I371" s="64">
        <v>43143</v>
      </c>
      <c r="J371" s="64">
        <v>43143</v>
      </c>
      <c r="K371" s="64">
        <v>43507</v>
      </c>
      <c r="L371" s="66">
        <v>31.69</v>
      </c>
      <c r="M371" s="66">
        <v>31.69</v>
      </c>
      <c r="N371" s="41" t="s">
        <v>32</v>
      </c>
      <c r="O371" s="66">
        <v>31.69</v>
      </c>
      <c r="P371" s="66">
        <v>30.902835400000001</v>
      </c>
      <c r="Q371" s="3">
        <v>0</v>
      </c>
      <c r="R371" s="69"/>
      <c r="S371" s="22"/>
      <c r="T371" s="3"/>
      <c r="U371" s="67">
        <f t="shared" si="36"/>
        <v>30.902835400000001</v>
      </c>
      <c r="V371" s="67">
        <f t="shared" si="37"/>
        <v>0</v>
      </c>
      <c r="W371" s="3"/>
      <c r="X371" s="3"/>
      <c r="Y371" s="3"/>
      <c r="Z371" s="67">
        <f t="shared" si="38"/>
        <v>30.902835400000001</v>
      </c>
      <c r="AA371" s="67">
        <f t="shared" si="39"/>
        <v>0</v>
      </c>
      <c r="AB371" s="3"/>
      <c r="AC371" s="3"/>
      <c r="AD371" s="3"/>
      <c r="AE371" s="67">
        <f t="shared" si="40"/>
        <v>30.902835400000001</v>
      </c>
      <c r="AF371" s="67">
        <f t="shared" si="41"/>
        <v>0</v>
      </c>
    </row>
    <row r="372" spans="1:32" ht="46.8">
      <c r="A372" s="41">
        <f t="shared" si="42"/>
        <v>370</v>
      </c>
      <c r="B372" s="41" t="s">
        <v>621</v>
      </c>
      <c r="C372" s="41" t="s">
        <v>1002</v>
      </c>
      <c r="D372" s="41" t="s">
        <v>1017</v>
      </c>
      <c r="E372" s="41" t="s">
        <v>1416</v>
      </c>
      <c r="F372" s="43" t="s">
        <v>622</v>
      </c>
      <c r="G372" s="41" t="s">
        <v>28</v>
      </c>
      <c r="H372" s="41"/>
      <c r="I372" s="41"/>
      <c r="J372" s="41"/>
      <c r="K372" s="41"/>
      <c r="L372" s="3"/>
      <c r="M372" s="3"/>
      <c r="N372" s="41" t="s">
        <v>32</v>
      </c>
      <c r="O372" s="3">
        <v>0</v>
      </c>
      <c r="P372" s="66">
        <v>0.2363391</v>
      </c>
      <c r="Q372" s="3">
        <v>0</v>
      </c>
      <c r="R372" s="69"/>
      <c r="S372" s="22"/>
      <c r="T372" s="3"/>
      <c r="U372" s="67">
        <f t="shared" si="36"/>
        <v>0.2363391</v>
      </c>
      <c r="V372" s="67">
        <f t="shared" si="37"/>
        <v>0</v>
      </c>
      <c r="W372" s="3"/>
      <c r="X372" s="3"/>
      <c r="Y372" s="3"/>
      <c r="Z372" s="67">
        <f t="shared" si="38"/>
        <v>0.2363391</v>
      </c>
      <c r="AA372" s="67">
        <f t="shared" si="39"/>
        <v>0</v>
      </c>
      <c r="AB372" s="3"/>
      <c r="AC372" s="3"/>
      <c r="AD372" s="3"/>
      <c r="AE372" s="67">
        <f t="shared" si="40"/>
        <v>0.2363391</v>
      </c>
      <c r="AF372" s="67">
        <f t="shared" si="41"/>
        <v>0</v>
      </c>
    </row>
    <row r="373" spans="1:32" ht="62.4">
      <c r="A373" s="41">
        <f t="shared" si="42"/>
        <v>371</v>
      </c>
      <c r="B373" s="41" t="s">
        <v>623</v>
      </c>
      <c r="C373" s="41" t="s">
        <v>876</v>
      </c>
      <c r="D373" s="41" t="s">
        <v>1019</v>
      </c>
      <c r="E373" s="41" t="s">
        <v>1417</v>
      </c>
      <c r="F373" s="43" t="s">
        <v>624</v>
      </c>
      <c r="G373" s="41" t="s">
        <v>28</v>
      </c>
      <c r="H373" s="41">
        <v>3</v>
      </c>
      <c r="I373" s="64">
        <v>43480</v>
      </c>
      <c r="J373" s="64">
        <v>43480</v>
      </c>
      <c r="K373" s="41" t="s">
        <v>475</v>
      </c>
      <c r="L373" s="66">
        <v>12.04</v>
      </c>
      <c r="M373" s="66">
        <v>13.21</v>
      </c>
      <c r="N373" s="41" t="s">
        <v>32</v>
      </c>
      <c r="O373" s="3">
        <v>11.34</v>
      </c>
      <c r="P373" s="3">
        <v>11.679869386</v>
      </c>
      <c r="Q373" s="66">
        <v>-0.60986938599999962</v>
      </c>
      <c r="R373" s="25">
        <v>0.72354289999999999</v>
      </c>
      <c r="S373" s="22">
        <f>0.505035+0.1414995+0.0770084</f>
        <v>0.72354289999999999</v>
      </c>
      <c r="T373" s="73"/>
      <c r="U373" s="67">
        <f t="shared" si="36"/>
        <v>12.403412286</v>
      </c>
      <c r="V373" s="67">
        <f t="shared" si="37"/>
        <v>-0.60986938599999962</v>
      </c>
      <c r="W373" s="69"/>
      <c r="X373" s="3"/>
      <c r="Y373" s="3"/>
      <c r="Z373" s="67">
        <f t="shared" si="38"/>
        <v>12.403412286</v>
      </c>
      <c r="AA373" s="67">
        <f t="shared" si="39"/>
        <v>-0.60986938599999962</v>
      </c>
      <c r="AB373" s="3"/>
      <c r="AC373" s="3"/>
      <c r="AD373" s="3"/>
      <c r="AE373" s="67">
        <f t="shared" si="40"/>
        <v>12.403412286</v>
      </c>
      <c r="AF373" s="67">
        <f t="shared" si="41"/>
        <v>-0.60986938599999962</v>
      </c>
    </row>
    <row r="374" spans="1:32" ht="46.8">
      <c r="A374" s="41">
        <f t="shared" si="42"/>
        <v>372</v>
      </c>
      <c r="B374" s="41" t="s">
        <v>625</v>
      </c>
      <c r="C374" s="41" t="s">
        <v>876</v>
      </c>
      <c r="D374" s="41" t="s">
        <v>1016</v>
      </c>
      <c r="E374" s="41" t="s">
        <v>1418</v>
      </c>
      <c r="F374" s="43" t="s">
        <v>626</v>
      </c>
      <c r="G374" s="41" t="s">
        <v>28</v>
      </c>
      <c r="H374" s="63">
        <v>4</v>
      </c>
      <c r="I374" s="64">
        <v>42404</v>
      </c>
      <c r="J374" s="64">
        <v>42404</v>
      </c>
      <c r="K374" s="64">
        <v>42769</v>
      </c>
      <c r="L374" s="66">
        <v>64.959999999999994</v>
      </c>
      <c r="M374" s="66">
        <v>64.97</v>
      </c>
      <c r="N374" s="41" t="s">
        <v>32</v>
      </c>
      <c r="O374" s="66">
        <v>65.37</v>
      </c>
      <c r="P374" s="66">
        <v>68.554541999999998</v>
      </c>
      <c r="Q374" s="3">
        <v>0</v>
      </c>
      <c r="R374" s="69"/>
      <c r="S374" s="22"/>
      <c r="T374" s="3"/>
      <c r="U374" s="67">
        <f t="shared" si="36"/>
        <v>68.554541999999998</v>
      </c>
      <c r="V374" s="67">
        <f t="shared" si="37"/>
        <v>0</v>
      </c>
      <c r="W374" s="3"/>
      <c r="X374" s="3"/>
      <c r="Y374" s="3"/>
      <c r="Z374" s="67">
        <f t="shared" si="38"/>
        <v>68.554541999999998</v>
      </c>
      <c r="AA374" s="67">
        <f t="shared" si="39"/>
        <v>0</v>
      </c>
      <c r="AB374" s="3"/>
      <c r="AC374" s="3"/>
      <c r="AD374" s="3"/>
      <c r="AE374" s="67">
        <f t="shared" si="40"/>
        <v>68.554541999999998</v>
      </c>
      <c r="AF374" s="67">
        <f t="shared" si="41"/>
        <v>0</v>
      </c>
    </row>
    <row r="375" spans="1:32" ht="78">
      <c r="A375" s="41">
        <f t="shared" si="42"/>
        <v>373</v>
      </c>
      <c r="B375" s="41" t="s">
        <v>627</v>
      </c>
      <c r="C375" s="41" t="s">
        <v>876</v>
      </c>
      <c r="D375" s="34" t="s">
        <v>1016</v>
      </c>
      <c r="E375" s="41" t="s">
        <v>1419</v>
      </c>
      <c r="F375" s="43" t="s">
        <v>628</v>
      </c>
      <c r="G375" s="41" t="s">
        <v>28</v>
      </c>
      <c r="H375" s="63">
        <v>2</v>
      </c>
      <c r="I375" s="64">
        <v>42072</v>
      </c>
      <c r="J375" s="64">
        <v>42072</v>
      </c>
      <c r="K375" s="64">
        <v>42346</v>
      </c>
      <c r="L375" s="66">
        <v>20.83</v>
      </c>
      <c r="M375" s="66">
        <v>11.42</v>
      </c>
      <c r="N375" s="41" t="s">
        <v>29</v>
      </c>
      <c r="O375" s="66">
        <v>24.34</v>
      </c>
      <c r="P375" s="66">
        <v>22.562918200000002</v>
      </c>
      <c r="Q375" s="66">
        <v>1.6000000000000003</v>
      </c>
      <c r="R375" s="69"/>
      <c r="S375" s="22"/>
      <c r="T375" s="3"/>
      <c r="U375" s="67">
        <f t="shared" si="36"/>
        <v>22.562918200000002</v>
      </c>
      <c r="V375" s="67">
        <f t="shared" si="37"/>
        <v>1.6000000000000003</v>
      </c>
      <c r="W375" s="3"/>
      <c r="X375" s="3"/>
      <c r="Y375" s="3"/>
      <c r="Z375" s="67">
        <f t="shared" si="38"/>
        <v>22.562918200000002</v>
      </c>
      <c r="AA375" s="67">
        <f t="shared" si="39"/>
        <v>1.6000000000000003</v>
      </c>
      <c r="AB375" s="3"/>
      <c r="AC375" s="3"/>
      <c r="AD375" s="3"/>
      <c r="AE375" s="67">
        <f t="shared" si="40"/>
        <v>22.562918200000002</v>
      </c>
      <c r="AF375" s="67">
        <f t="shared" si="41"/>
        <v>1.6000000000000003</v>
      </c>
    </row>
    <row r="376" spans="1:32" ht="46.8">
      <c r="A376" s="41">
        <f t="shared" si="42"/>
        <v>374</v>
      </c>
      <c r="B376" s="41" t="s">
        <v>629</v>
      </c>
      <c r="C376" s="41" t="s">
        <v>1002</v>
      </c>
      <c r="D376" s="41" t="s">
        <v>1019</v>
      </c>
      <c r="E376" s="41" t="s">
        <v>1420</v>
      </c>
      <c r="F376" s="43" t="s">
        <v>630</v>
      </c>
      <c r="G376" s="41" t="s">
        <v>28</v>
      </c>
      <c r="H376" s="41">
        <v>7</v>
      </c>
      <c r="I376" s="64">
        <v>43521</v>
      </c>
      <c r="J376" s="64">
        <v>43521</v>
      </c>
      <c r="K376" s="64" t="s">
        <v>495</v>
      </c>
      <c r="L376" s="66">
        <v>10.53</v>
      </c>
      <c r="M376" s="3">
        <v>13.32</v>
      </c>
      <c r="N376" s="41" t="s">
        <v>32</v>
      </c>
      <c r="O376" s="66">
        <v>10.18</v>
      </c>
      <c r="P376" s="3">
        <v>10.266452436</v>
      </c>
      <c r="Q376" s="66">
        <v>-9.6924636000001257E-2</v>
      </c>
      <c r="R376" s="69"/>
      <c r="S376" s="22"/>
      <c r="T376" s="22"/>
      <c r="U376" s="67">
        <f t="shared" si="36"/>
        <v>10.266452436</v>
      </c>
      <c r="V376" s="67">
        <f t="shared" si="37"/>
        <v>-9.6924636000001257E-2</v>
      </c>
      <c r="W376" s="3"/>
      <c r="X376" s="3"/>
      <c r="Y376" s="3"/>
      <c r="Z376" s="67">
        <f t="shared" si="38"/>
        <v>10.266452436</v>
      </c>
      <c r="AA376" s="67">
        <f t="shared" si="39"/>
        <v>-9.6924636000001257E-2</v>
      </c>
      <c r="AB376" s="3"/>
      <c r="AC376" s="3"/>
      <c r="AD376" s="3"/>
      <c r="AE376" s="67">
        <f t="shared" si="40"/>
        <v>10.266452436</v>
      </c>
      <c r="AF376" s="67">
        <f t="shared" si="41"/>
        <v>-9.6924636000001257E-2</v>
      </c>
    </row>
    <row r="377" spans="1:32" ht="62.4">
      <c r="A377" s="41">
        <f t="shared" si="42"/>
        <v>375</v>
      </c>
      <c r="B377" s="41" t="s">
        <v>631</v>
      </c>
      <c r="C377" s="41" t="s">
        <v>876</v>
      </c>
      <c r="D377" s="41" t="s">
        <v>1016</v>
      </c>
      <c r="E377" s="41" t="s">
        <v>1406</v>
      </c>
      <c r="F377" s="43" t="s">
        <v>632</v>
      </c>
      <c r="G377" s="41" t="s">
        <v>28</v>
      </c>
      <c r="H377" s="63">
        <v>4</v>
      </c>
      <c r="I377" s="64">
        <v>41512</v>
      </c>
      <c r="J377" s="64">
        <v>41512</v>
      </c>
      <c r="K377" s="64">
        <v>41876</v>
      </c>
      <c r="L377" s="66">
        <v>59.15</v>
      </c>
      <c r="M377" s="66">
        <v>59.15</v>
      </c>
      <c r="N377" s="41" t="s">
        <v>32</v>
      </c>
      <c r="O377" s="66">
        <v>63.91</v>
      </c>
      <c r="P377" s="66">
        <v>67.2884229</v>
      </c>
      <c r="Q377" s="66">
        <v>-2.0048999999997541E-3</v>
      </c>
      <c r="R377" s="69"/>
      <c r="S377" s="22"/>
      <c r="T377" s="3"/>
      <c r="U377" s="67">
        <f t="shared" si="36"/>
        <v>67.2884229</v>
      </c>
      <c r="V377" s="67">
        <f t="shared" si="37"/>
        <v>-2.0048999999997541E-3</v>
      </c>
      <c r="W377" s="3"/>
      <c r="X377" s="3"/>
      <c r="Y377" s="3"/>
      <c r="Z377" s="67">
        <f t="shared" si="38"/>
        <v>67.2884229</v>
      </c>
      <c r="AA377" s="67">
        <f t="shared" si="39"/>
        <v>-2.0048999999997541E-3</v>
      </c>
      <c r="AB377" s="3"/>
      <c r="AC377" s="3"/>
      <c r="AD377" s="3"/>
      <c r="AE377" s="67">
        <f t="shared" si="40"/>
        <v>67.2884229</v>
      </c>
      <c r="AF377" s="67">
        <f t="shared" si="41"/>
        <v>-2.0048999999997541E-3</v>
      </c>
    </row>
    <row r="378" spans="1:32" ht="78">
      <c r="A378" s="41">
        <f t="shared" si="42"/>
        <v>376</v>
      </c>
      <c r="B378" s="41" t="s">
        <v>633</v>
      </c>
      <c r="C378" s="41" t="s">
        <v>876</v>
      </c>
      <c r="D378" s="34" t="s">
        <v>1016</v>
      </c>
      <c r="E378" s="41" t="s">
        <v>1421</v>
      </c>
      <c r="F378" s="43" t="s">
        <v>634</v>
      </c>
      <c r="G378" s="41" t="s">
        <v>28</v>
      </c>
      <c r="H378" s="63">
        <v>4</v>
      </c>
      <c r="I378" s="64">
        <v>42431</v>
      </c>
      <c r="J378" s="64">
        <v>42431</v>
      </c>
      <c r="K378" s="64">
        <v>42705</v>
      </c>
      <c r="L378" s="66">
        <v>20.34</v>
      </c>
      <c r="M378" s="66">
        <v>20.34</v>
      </c>
      <c r="N378" s="41" t="s">
        <v>32</v>
      </c>
      <c r="O378" s="66">
        <v>20.34</v>
      </c>
      <c r="P378" s="66">
        <v>4.0760104000000004</v>
      </c>
      <c r="Q378" s="3">
        <v>0</v>
      </c>
      <c r="R378" s="69"/>
      <c r="S378" s="22">
        <v>9.0137200000000001E-2</v>
      </c>
      <c r="T378" s="3"/>
      <c r="U378" s="67">
        <f t="shared" si="36"/>
        <v>4.1661476000000004</v>
      </c>
      <c r="V378" s="67">
        <f t="shared" si="37"/>
        <v>-9.0137200000000001E-2</v>
      </c>
      <c r="W378" s="3"/>
      <c r="X378" s="3"/>
      <c r="Y378" s="3"/>
      <c r="Z378" s="67">
        <f t="shared" si="38"/>
        <v>4.1661476000000004</v>
      </c>
      <c r="AA378" s="67">
        <f t="shared" si="39"/>
        <v>-9.0137200000000001E-2</v>
      </c>
      <c r="AB378" s="3"/>
      <c r="AC378" s="3"/>
      <c r="AD378" s="3"/>
      <c r="AE378" s="67">
        <f t="shared" si="40"/>
        <v>4.1661476000000004</v>
      </c>
      <c r="AF378" s="67">
        <f t="shared" si="41"/>
        <v>-9.0137200000000001E-2</v>
      </c>
    </row>
    <row r="379" spans="1:32" ht="46.8">
      <c r="A379" s="41">
        <f t="shared" si="42"/>
        <v>377</v>
      </c>
      <c r="B379" s="41" t="s">
        <v>635</v>
      </c>
      <c r="C379" s="41" t="s">
        <v>1002</v>
      </c>
      <c r="D379" s="41" t="s">
        <v>1019</v>
      </c>
      <c r="E379" s="41" t="s">
        <v>1422</v>
      </c>
      <c r="F379" s="43" t="s">
        <v>636</v>
      </c>
      <c r="G379" s="41" t="s">
        <v>28</v>
      </c>
      <c r="H379" s="41">
        <v>6</v>
      </c>
      <c r="I379" s="64">
        <v>43521</v>
      </c>
      <c r="J379" s="64">
        <v>43521</v>
      </c>
      <c r="K379" s="64" t="s">
        <v>498</v>
      </c>
      <c r="L379" s="66">
        <v>20.49</v>
      </c>
      <c r="M379" s="3">
        <v>22.05</v>
      </c>
      <c r="N379" s="41" t="s">
        <v>32</v>
      </c>
      <c r="O379" s="66">
        <v>19.22</v>
      </c>
      <c r="P379" s="66">
        <v>19.261458300000001</v>
      </c>
      <c r="Q379" s="3">
        <v>0</v>
      </c>
      <c r="R379" s="25">
        <v>1.8386799999999998E-2</v>
      </c>
      <c r="S379" s="22">
        <v>1.8386799999999998E-2</v>
      </c>
      <c r="T379" s="3"/>
      <c r="U379" s="67">
        <f t="shared" si="36"/>
        <v>19.279845099999999</v>
      </c>
      <c r="V379" s="67">
        <f t="shared" si="37"/>
        <v>0</v>
      </c>
      <c r="W379" s="3"/>
      <c r="X379" s="3"/>
      <c r="Y379" s="3"/>
      <c r="Z379" s="67">
        <f t="shared" si="38"/>
        <v>19.279845099999999</v>
      </c>
      <c r="AA379" s="67">
        <f t="shared" si="39"/>
        <v>0</v>
      </c>
      <c r="AB379" s="3"/>
      <c r="AC379" s="3"/>
      <c r="AD379" s="3"/>
      <c r="AE379" s="67">
        <f t="shared" si="40"/>
        <v>19.279845099999999</v>
      </c>
      <c r="AF379" s="67">
        <f t="shared" si="41"/>
        <v>0</v>
      </c>
    </row>
    <row r="380" spans="1:32" ht="62.4">
      <c r="A380" s="41">
        <f t="shared" si="42"/>
        <v>378</v>
      </c>
      <c r="B380" s="41" t="s">
        <v>638</v>
      </c>
      <c r="C380" s="34" t="s">
        <v>1002</v>
      </c>
      <c r="D380" s="41" t="s">
        <v>1019</v>
      </c>
      <c r="E380" s="41" t="s">
        <v>1423</v>
      </c>
      <c r="F380" s="43" t="s">
        <v>639</v>
      </c>
      <c r="G380" s="41" t="s">
        <v>28</v>
      </c>
      <c r="H380" s="41">
        <v>5</v>
      </c>
      <c r="I380" s="64">
        <v>43521</v>
      </c>
      <c r="J380" s="64">
        <v>43521</v>
      </c>
      <c r="K380" s="64" t="s">
        <v>498</v>
      </c>
      <c r="L380" s="66">
        <v>22.01</v>
      </c>
      <c r="M380" s="3">
        <v>22.05</v>
      </c>
      <c r="N380" s="41" t="s">
        <v>32</v>
      </c>
      <c r="O380" s="66">
        <v>20.84</v>
      </c>
      <c r="P380" s="66">
        <v>20.86204</v>
      </c>
      <c r="Q380" s="3">
        <v>0</v>
      </c>
      <c r="R380" s="25">
        <f>0.05782+0.03068</f>
        <v>8.8499999999999995E-2</v>
      </c>
      <c r="S380" s="22">
        <f>0.05782+0.03068</f>
        <v>8.8499999999999995E-2</v>
      </c>
      <c r="T380" s="3"/>
      <c r="U380" s="67">
        <f t="shared" si="36"/>
        <v>20.95054</v>
      </c>
      <c r="V380" s="67">
        <f t="shared" si="37"/>
        <v>0</v>
      </c>
      <c r="W380" s="69"/>
      <c r="X380" s="3"/>
      <c r="Y380" s="3"/>
      <c r="Z380" s="67">
        <f t="shared" si="38"/>
        <v>20.95054</v>
      </c>
      <c r="AA380" s="67">
        <f t="shared" si="39"/>
        <v>0</v>
      </c>
      <c r="AB380" s="3"/>
      <c r="AC380" s="3"/>
      <c r="AD380" s="3"/>
      <c r="AE380" s="67">
        <f t="shared" si="40"/>
        <v>20.95054</v>
      </c>
      <c r="AF380" s="67">
        <f t="shared" si="41"/>
        <v>0</v>
      </c>
    </row>
    <row r="381" spans="1:32" ht="46.8">
      <c r="A381" s="41">
        <f t="shared" si="42"/>
        <v>379</v>
      </c>
      <c r="B381" s="41" t="s">
        <v>640</v>
      </c>
      <c r="C381" s="41" t="s">
        <v>1002</v>
      </c>
      <c r="D381" s="42" t="s">
        <v>1017</v>
      </c>
      <c r="E381" s="41" t="s">
        <v>1424</v>
      </c>
      <c r="F381" s="43" t="s">
        <v>641</v>
      </c>
      <c r="G381" s="41"/>
      <c r="H381" s="41"/>
      <c r="I381" s="41"/>
      <c r="J381" s="41"/>
      <c r="K381" s="41"/>
      <c r="L381" s="3"/>
      <c r="M381" s="66">
        <v>1370.02</v>
      </c>
      <c r="N381" s="41" t="s">
        <v>29</v>
      </c>
      <c r="O381" s="66">
        <v>4.96</v>
      </c>
      <c r="P381" s="66">
        <v>4.5626033000000001</v>
      </c>
      <c r="Q381" s="3">
        <v>0</v>
      </c>
      <c r="R381" s="69"/>
      <c r="S381" s="22"/>
      <c r="T381" s="3"/>
      <c r="U381" s="67">
        <f t="shared" si="36"/>
        <v>4.5626033000000001</v>
      </c>
      <c r="V381" s="67">
        <f t="shared" si="37"/>
        <v>0</v>
      </c>
      <c r="W381" s="3"/>
      <c r="X381" s="3"/>
      <c r="Y381" s="3"/>
      <c r="Z381" s="67">
        <f t="shared" si="38"/>
        <v>4.5626033000000001</v>
      </c>
      <c r="AA381" s="67">
        <f t="shared" si="39"/>
        <v>0</v>
      </c>
      <c r="AB381" s="3"/>
      <c r="AC381" s="3"/>
      <c r="AD381" s="3"/>
      <c r="AE381" s="67">
        <f t="shared" si="40"/>
        <v>4.5626033000000001</v>
      </c>
      <c r="AF381" s="67">
        <f t="shared" si="41"/>
        <v>0</v>
      </c>
    </row>
    <row r="382" spans="1:32" ht="46.8">
      <c r="A382" s="41">
        <f t="shared" si="42"/>
        <v>380</v>
      </c>
      <c r="B382" s="41" t="s">
        <v>642</v>
      </c>
      <c r="C382" s="34" t="s">
        <v>1002</v>
      </c>
      <c r="D382" s="34" t="s">
        <v>1019</v>
      </c>
      <c r="E382" s="41" t="s">
        <v>1425</v>
      </c>
      <c r="F382" s="43" t="s">
        <v>643</v>
      </c>
      <c r="G382" s="41" t="s">
        <v>28</v>
      </c>
      <c r="H382" s="41">
        <v>6</v>
      </c>
      <c r="I382" s="64">
        <v>43481</v>
      </c>
      <c r="J382" s="64">
        <v>43481</v>
      </c>
      <c r="K382" s="41" t="s">
        <v>644</v>
      </c>
      <c r="L382" s="66">
        <v>26.31</v>
      </c>
      <c r="M382" s="66">
        <v>38.19</v>
      </c>
      <c r="N382" s="41" t="s">
        <v>32</v>
      </c>
      <c r="O382" s="66">
        <v>26.31</v>
      </c>
      <c r="P382" s="3">
        <v>14.741130901</v>
      </c>
      <c r="Q382" s="66">
        <v>-0.23881250099999932</v>
      </c>
      <c r="R382" s="25">
        <v>5.7018852999999998</v>
      </c>
      <c r="S382" s="22">
        <f>2.2833278+1.3154852+0.538808+0.9598946+0.2753247+0.329045</f>
        <v>5.7018852999999989</v>
      </c>
      <c r="T382" s="73"/>
      <c r="U382" s="67">
        <f>P382+S382+T382</f>
        <v>20.443016200999999</v>
      </c>
      <c r="V382" s="67">
        <f t="shared" si="37"/>
        <v>-0.23881250099999818</v>
      </c>
      <c r="W382" s="69"/>
      <c r="X382" s="3"/>
      <c r="Y382" s="3"/>
      <c r="Z382" s="67">
        <f t="shared" si="38"/>
        <v>20.443016200999999</v>
      </c>
      <c r="AA382" s="67">
        <f t="shared" si="39"/>
        <v>-0.23881250099999818</v>
      </c>
      <c r="AB382" s="67">
        <f>O382-Z382-AA382</f>
        <v>6.105796299999998</v>
      </c>
      <c r="AC382" s="67">
        <f>AA382+AB382</f>
        <v>5.8669837989999998</v>
      </c>
      <c r="AD382" s="3"/>
      <c r="AE382" s="67">
        <f t="shared" si="40"/>
        <v>26.31</v>
      </c>
      <c r="AF382" s="67">
        <f t="shared" si="41"/>
        <v>0</v>
      </c>
    </row>
    <row r="383" spans="1:32" ht="46.8">
      <c r="A383" s="41">
        <f t="shared" si="42"/>
        <v>381</v>
      </c>
      <c r="B383" s="41" t="s">
        <v>645</v>
      </c>
      <c r="C383" s="41" t="s">
        <v>1002</v>
      </c>
      <c r="D383" s="34" t="s">
        <v>1016</v>
      </c>
      <c r="E383" s="41" t="s">
        <v>1426</v>
      </c>
      <c r="F383" s="43" t="s">
        <v>646</v>
      </c>
      <c r="G383" s="41" t="s">
        <v>28</v>
      </c>
      <c r="H383" s="41"/>
      <c r="I383" s="64">
        <v>42051</v>
      </c>
      <c r="J383" s="64">
        <v>42051</v>
      </c>
      <c r="K383" s="64">
        <v>42325</v>
      </c>
      <c r="L383" s="66">
        <v>69.540000000000006</v>
      </c>
      <c r="M383" s="66">
        <v>75.42</v>
      </c>
      <c r="N383" s="41" t="s">
        <v>29</v>
      </c>
      <c r="O383" s="66">
        <v>77.59</v>
      </c>
      <c r="P383" s="66">
        <v>80.548856599999993</v>
      </c>
      <c r="Q383" s="3">
        <v>0</v>
      </c>
      <c r="R383" s="69"/>
      <c r="S383" s="22"/>
      <c r="T383" s="3"/>
      <c r="U383" s="67">
        <f t="shared" si="36"/>
        <v>80.548856599999993</v>
      </c>
      <c r="V383" s="67">
        <f t="shared" si="37"/>
        <v>0</v>
      </c>
      <c r="W383" s="3"/>
      <c r="X383" s="3"/>
      <c r="Y383" s="3"/>
      <c r="Z383" s="67">
        <f t="shared" si="38"/>
        <v>80.548856599999993</v>
      </c>
      <c r="AA383" s="67">
        <f t="shared" si="39"/>
        <v>0</v>
      </c>
      <c r="AB383" s="3"/>
      <c r="AC383" s="3"/>
      <c r="AD383" s="3"/>
      <c r="AE383" s="67">
        <f t="shared" si="40"/>
        <v>80.548856599999993</v>
      </c>
      <c r="AF383" s="67">
        <f t="shared" si="41"/>
        <v>0</v>
      </c>
    </row>
    <row r="384" spans="1:32" ht="93.6">
      <c r="A384" s="41">
        <f t="shared" si="42"/>
        <v>382</v>
      </c>
      <c r="B384" s="41" t="s">
        <v>647</v>
      </c>
      <c r="C384" s="34" t="s">
        <v>1002</v>
      </c>
      <c r="D384" s="34" t="s">
        <v>1019</v>
      </c>
      <c r="E384" s="41" t="s">
        <v>1427</v>
      </c>
      <c r="F384" s="43" t="s">
        <v>648</v>
      </c>
      <c r="G384" s="41" t="s">
        <v>28</v>
      </c>
      <c r="H384" s="41">
        <v>3</v>
      </c>
      <c r="I384" s="41" t="s">
        <v>450</v>
      </c>
      <c r="J384" s="41" t="s">
        <v>450</v>
      </c>
      <c r="K384" s="41" t="s">
        <v>471</v>
      </c>
      <c r="L384" s="161">
        <v>13.92</v>
      </c>
      <c r="M384" s="66">
        <v>14.83</v>
      </c>
      <c r="N384" s="41" t="s">
        <v>32</v>
      </c>
      <c r="O384" s="66">
        <v>13.07</v>
      </c>
      <c r="P384" s="3">
        <v>11.915419182999999</v>
      </c>
      <c r="Q384" s="66">
        <v>-0.62393948299999968</v>
      </c>
      <c r="R384" s="25">
        <v>0.45992309999999997</v>
      </c>
      <c r="S384" s="22">
        <f>0.0347859+0.0999053+0.1061824+0.0640032+0.1550463</f>
        <v>0.45992310000000003</v>
      </c>
      <c r="T384" s="73"/>
      <c r="U384" s="67">
        <f t="shared" si="36"/>
        <v>12.375342282999998</v>
      </c>
      <c r="V384" s="67">
        <f t="shared" si="37"/>
        <v>-0.62393948299999979</v>
      </c>
      <c r="W384" s="154">
        <v>0.74437869999999995</v>
      </c>
      <c r="X384" s="22"/>
      <c r="Y384" s="3"/>
      <c r="Z384" s="67">
        <f t="shared" si="38"/>
        <v>12.375342282999998</v>
      </c>
      <c r="AA384" s="67">
        <f t="shared" si="39"/>
        <v>0.12043921700000015</v>
      </c>
      <c r="AB384" s="3"/>
      <c r="AC384" s="3"/>
      <c r="AD384" s="3"/>
      <c r="AE384" s="67">
        <f t="shared" si="40"/>
        <v>12.375342282999998</v>
      </c>
      <c r="AF384" s="67">
        <f t="shared" si="41"/>
        <v>0.12043921700000015</v>
      </c>
    </row>
    <row r="385" spans="1:32" ht="46.8">
      <c r="A385" s="41">
        <f t="shared" si="42"/>
        <v>383</v>
      </c>
      <c r="B385" s="41" t="s">
        <v>649</v>
      </c>
      <c r="C385" s="41" t="s">
        <v>1002</v>
      </c>
      <c r="D385" s="41" t="s">
        <v>1016</v>
      </c>
      <c r="E385" s="41" t="s">
        <v>1428</v>
      </c>
      <c r="F385" s="43" t="s">
        <v>650</v>
      </c>
      <c r="G385" s="41"/>
      <c r="H385" s="41"/>
      <c r="I385" s="41"/>
      <c r="J385" s="41"/>
      <c r="K385" s="41"/>
      <c r="L385" s="3"/>
      <c r="M385" s="3"/>
      <c r="N385" s="41" t="s">
        <v>29</v>
      </c>
      <c r="O385" s="3">
        <v>0</v>
      </c>
      <c r="P385" s="3">
        <v>1.9148399999999999E-2</v>
      </c>
      <c r="Q385" s="3">
        <v>0</v>
      </c>
      <c r="R385" s="69"/>
      <c r="S385" s="22"/>
      <c r="T385" s="3"/>
      <c r="U385" s="67">
        <f t="shared" si="36"/>
        <v>1.9148399999999999E-2</v>
      </c>
      <c r="V385" s="67">
        <f t="shared" si="37"/>
        <v>0</v>
      </c>
      <c r="W385" s="3"/>
      <c r="X385" s="3"/>
      <c r="Y385" s="3"/>
      <c r="Z385" s="67">
        <f t="shared" si="38"/>
        <v>1.9148399999999999E-2</v>
      </c>
      <c r="AA385" s="67">
        <f t="shared" si="39"/>
        <v>0</v>
      </c>
      <c r="AB385" s="3"/>
      <c r="AC385" s="3"/>
      <c r="AD385" s="3"/>
      <c r="AE385" s="67">
        <f t="shared" si="40"/>
        <v>1.9148399999999999E-2</v>
      </c>
      <c r="AF385" s="67">
        <f t="shared" si="41"/>
        <v>0</v>
      </c>
    </row>
    <row r="386" spans="1:32" ht="62.4">
      <c r="A386" s="41">
        <f t="shared" si="42"/>
        <v>384</v>
      </c>
      <c r="B386" s="41" t="s">
        <v>651</v>
      </c>
      <c r="C386" s="41" t="s">
        <v>1002</v>
      </c>
      <c r="D386" s="34" t="s">
        <v>1017</v>
      </c>
      <c r="E386" s="41" t="s">
        <v>1429</v>
      </c>
      <c r="F386" s="43" t="s">
        <v>652</v>
      </c>
      <c r="G386" s="41" t="s">
        <v>28</v>
      </c>
      <c r="H386" s="41"/>
      <c r="I386" s="41"/>
      <c r="J386" s="41"/>
      <c r="K386" s="41"/>
      <c r="L386" s="3"/>
      <c r="M386" s="3"/>
      <c r="N386" s="41" t="s">
        <v>32</v>
      </c>
      <c r="O386" s="66">
        <v>32.86</v>
      </c>
      <c r="P386" s="66">
        <v>34.899459900000004</v>
      </c>
      <c r="Q386" s="3">
        <v>0</v>
      </c>
      <c r="R386" s="69"/>
      <c r="S386" s="22"/>
      <c r="T386" s="3"/>
      <c r="U386" s="67">
        <f t="shared" si="36"/>
        <v>34.899459900000004</v>
      </c>
      <c r="V386" s="67">
        <f t="shared" si="37"/>
        <v>0</v>
      </c>
      <c r="W386" s="3"/>
      <c r="X386" s="3"/>
      <c r="Y386" s="3"/>
      <c r="Z386" s="67">
        <f t="shared" si="38"/>
        <v>34.899459900000004</v>
      </c>
      <c r="AA386" s="67">
        <f t="shared" si="39"/>
        <v>0</v>
      </c>
      <c r="AB386" s="3"/>
      <c r="AC386" s="3"/>
      <c r="AD386" s="3"/>
      <c r="AE386" s="67">
        <f t="shared" si="40"/>
        <v>34.899459900000004</v>
      </c>
      <c r="AF386" s="67">
        <f t="shared" si="41"/>
        <v>0</v>
      </c>
    </row>
    <row r="387" spans="1:32" ht="46.8">
      <c r="A387" s="41">
        <f t="shared" si="42"/>
        <v>385</v>
      </c>
      <c r="B387" s="41" t="s">
        <v>653</v>
      </c>
      <c r="C387" s="41" t="s">
        <v>1002</v>
      </c>
      <c r="D387" s="41" t="s">
        <v>1016</v>
      </c>
      <c r="E387" s="41" t="s">
        <v>1430</v>
      </c>
      <c r="F387" s="43" t="s">
        <v>654</v>
      </c>
      <c r="G387" s="41" t="s">
        <v>28</v>
      </c>
      <c r="H387" s="63">
        <v>3</v>
      </c>
      <c r="I387" s="64">
        <v>42046</v>
      </c>
      <c r="J387" s="64">
        <v>42046</v>
      </c>
      <c r="K387" s="64">
        <v>42411</v>
      </c>
      <c r="L387" s="66">
        <v>54.4</v>
      </c>
      <c r="M387" s="66">
        <v>64.239999999999995</v>
      </c>
      <c r="N387" s="41" t="s">
        <v>32</v>
      </c>
      <c r="O387" s="66">
        <v>59.96</v>
      </c>
      <c r="P387" s="66">
        <v>62.330551700000001</v>
      </c>
      <c r="Q387" s="3">
        <v>0</v>
      </c>
      <c r="R387" s="69"/>
      <c r="S387" s="22"/>
      <c r="T387" s="3"/>
      <c r="U387" s="67">
        <f t="shared" si="36"/>
        <v>62.330551700000001</v>
      </c>
      <c r="V387" s="67">
        <f t="shared" si="37"/>
        <v>0</v>
      </c>
      <c r="W387" s="3"/>
      <c r="X387" s="3"/>
      <c r="Y387" s="3"/>
      <c r="Z387" s="67">
        <f t="shared" si="38"/>
        <v>62.330551700000001</v>
      </c>
      <c r="AA387" s="67">
        <f t="shared" si="39"/>
        <v>0</v>
      </c>
      <c r="AB387" s="3"/>
      <c r="AC387" s="3"/>
      <c r="AD387" s="3"/>
      <c r="AE387" s="67">
        <f t="shared" si="40"/>
        <v>62.330551700000001</v>
      </c>
      <c r="AF387" s="67">
        <f t="shared" si="41"/>
        <v>0</v>
      </c>
    </row>
    <row r="388" spans="1:32" ht="109.2">
      <c r="A388" s="41">
        <f t="shared" si="42"/>
        <v>386</v>
      </c>
      <c r="B388" s="41" t="s">
        <v>655</v>
      </c>
      <c r="C388" s="34" t="s">
        <v>1002</v>
      </c>
      <c r="D388" s="42" t="s">
        <v>1017</v>
      </c>
      <c r="E388" s="41" t="s">
        <v>1431</v>
      </c>
      <c r="F388" s="43" t="s">
        <v>656</v>
      </c>
      <c r="G388" s="41" t="s">
        <v>28</v>
      </c>
      <c r="H388" s="41"/>
      <c r="I388" s="41"/>
      <c r="J388" s="41"/>
      <c r="K388" s="41"/>
      <c r="L388" s="3">
        <v>0</v>
      </c>
      <c r="M388" s="66">
        <v>371.98</v>
      </c>
      <c r="N388" s="41" t="s">
        <v>29</v>
      </c>
      <c r="O388" s="66">
        <v>20.5</v>
      </c>
      <c r="P388" s="66">
        <v>21.608662899999999</v>
      </c>
      <c r="Q388" s="3">
        <v>7.0632E-2</v>
      </c>
      <c r="R388" s="25">
        <v>0.08</v>
      </c>
      <c r="S388" s="22"/>
      <c r="T388" s="3"/>
      <c r="U388" s="67">
        <f t="shared" ref="U388:U450" si="43">P388+S388+T388</f>
        <v>21.608662899999999</v>
      </c>
      <c r="V388" s="67">
        <f t="shared" ref="V388:V450" si="44">Q388+R388-S388-T388</f>
        <v>0.15063199999999999</v>
      </c>
      <c r="W388" s="69"/>
      <c r="X388" s="3"/>
      <c r="Y388" s="3"/>
      <c r="Z388" s="67">
        <f t="shared" ref="Z388:Z450" si="45">U388+X388+Y388</f>
        <v>21.608662899999999</v>
      </c>
      <c r="AA388" s="67">
        <f t="shared" ref="AA388:AA450" si="46">V388+W388-X388-Y388</f>
        <v>0.15063199999999999</v>
      </c>
      <c r="AB388" s="3"/>
      <c r="AC388" s="3"/>
      <c r="AD388" s="3"/>
      <c r="AE388" s="67">
        <f t="shared" ref="AE388:AE450" si="47">Z388+AC388+AD388</f>
        <v>21.608662899999999</v>
      </c>
      <c r="AF388" s="67">
        <f t="shared" ref="AF388:AF450" si="48">AA388+AB388-AC388-AD388</f>
        <v>0.15063199999999999</v>
      </c>
    </row>
    <row r="389" spans="1:32" ht="46.8">
      <c r="A389" s="41">
        <f t="shared" ref="A389:A452" si="49">A388+1</f>
        <v>387</v>
      </c>
      <c r="B389" s="41" t="s">
        <v>657</v>
      </c>
      <c r="C389" s="41" t="s">
        <v>1002</v>
      </c>
      <c r="D389" s="41" t="s">
        <v>1016</v>
      </c>
      <c r="E389" s="41" t="s">
        <v>1432</v>
      </c>
      <c r="F389" s="43" t="s">
        <v>658</v>
      </c>
      <c r="G389" s="41" t="s">
        <v>28</v>
      </c>
      <c r="H389" s="41">
        <v>2</v>
      </c>
      <c r="I389" s="41" t="s">
        <v>659</v>
      </c>
      <c r="J389" s="41" t="s">
        <v>659</v>
      </c>
      <c r="K389" s="70" t="s">
        <v>660</v>
      </c>
      <c r="L389" s="3">
        <v>7.25</v>
      </c>
      <c r="M389" s="3"/>
      <c r="N389" s="41" t="s">
        <v>32</v>
      </c>
      <c r="O389" s="66">
        <v>7.39</v>
      </c>
      <c r="P389" s="66">
        <v>8.1355069000000011</v>
      </c>
      <c r="Q389" s="3">
        <v>0</v>
      </c>
      <c r="R389" s="69"/>
      <c r="S389" s="22"/>
      <c r="T389" s="3"/>
      <c r="U389" s="67">
        <f t="shared" si="43"/>
        <v>8.1355069000000011</v>
      </c>
      <c r="V389" s="67">
        <f t="shared" si="44"/>
        <v>0</v>
      </c>
      <c r="W389" s="3"/>
      <c r="X389" s="3"/>
      <c r="Y389" s="3"/>
      <c r="Z389" s="67">
        <f t="shared" si="45"/>
        <v>8.1355069000000011</v>
      </c>
      <c r="AA389" s="67">
        <f t="shared" si="46"/>
        <v>0</v>
      </c>
      <c r="AB389" s="3"/>
      <c r="AC389" s="3"/>
      <c r="AD389" s="3"/>
      <c r="AE389" s="67">
        <f t="shared" si="47"/>
        <v>8.1355069000000011</v>
      </c>
      <c r="AF389" s="67">
        <f t="shared" si="48"/>
        <v>0</v>
      </c>
    </row>
    <row r="390" spans="1:32" ht="46.8">
      <c r="A390" s="41">
        <f t="shared" si="49"/>
        <v>388</v>
      </c>
      <c r="B390" s="41" t="s">
        <v>666</v>
      </c>
      <c r="C390" s="34" t="s">
        <v>1002</v>
      </c>
      <c r="D390" s="34" t="s">
        <v>1019</v>
      </c>
      <c r="E390" s="41" t="s">
        <v>1433</v>
      </c>
      <c r="F390" s="43" t="s">
        <v>667</v>
      </c>
      <c r="G390" s="41" t="s">
        <v>28</v>
      </c>
      <c r="H390" s="41"/>
      <c r="I390" s="64">
        <v>43486</v>
      </c>
      <c r="J390" s="64">
        <v>43486</v>
      </c>
      <c r="K390" s="41"/>
      <c r="L390" s="66">
        <v>39.799999999999997</v>
      </c>
      <c r="M390" s="66">
        <v>39.799999999999997</v>
      </c>
      <c r="N390" s="41" t="s">
        <v>32</v>
      </c>
      <c r="O390" s="66">
        <v>35.99</v>
      </c>
      <c r="P390" s="3">
        <v>25.247722779</v>
      </c>
      <c r="Q390" s="66">
        <v>-0.59626557900000166</v>
      </c>
      <c r="R390" s="25">
        <v>6.8284374999999997</v>
      </c>
      <c r="S390" s="22"/>
      <c r="T390" s="162"/>
      <c r="U390" s="67">
        <f t="shared" si="43"/>
        <v>25.247722779</v>
      </c>
      <c r="V390" s="67">
        <f t="shared" si="44"/>
        <v>6.2321719209999982</v>
      </c>
      <c r="W390" s="154">
        <f>O390-U390-V390</f>
        <v>4.5101053000000038</v>
      </c>
      <c r="X390" s="22">
        <f>V390+W390</f>
        <v>10.742277221000002</v>
      </c>
      <c r="Y390" s="3"/>
      <c r="Z390" s="67">
        <f t="shared" si="45"/>
        <v>35.99</v>
      </c>
      <c r="AA390" s="67">
        <f t="shared" si="46"/>
        <v>0</v>
      </c>
      <c r="AB390" s="3"/>
      <c r="AC390" s="3"/>
      <c r="AD390" s="3"/>
      <c r="AE390" s="67">
        <f t="shared" si="47"/>
        <v>35.99</v>
      </c>
      <c r="AF390" s="67">
        <f t="shared" si="48"/>
        <v>0</v>
      </c>
    </row>
    <row r="391" spans="1:32" ht="78">
      <c r="A391" s="41">
        <f t="shared" si="49"/>
        <v>389</v>
      </c>
      <c r="B391" s="41" t="s">
        <v>668</v>
      </c>
      <c r="C391" s="41" t="s">
        <v>1002</v>
      </c>
      <c r="D391" s="34" t="s">
        <v>1019</v>
      </c>
      <c r="E391" s="41" t="s">
        <v>1434</v>
      </c>
      <c r="F391" s="43" t="s">
        <v>669</v>
      </c>
      <c r="G391" s="41" t="s">
        <v>28</v>
      </c>
      <c r="H391" s="41"/>
      <c r="I391" s="64">
        <v>43486</v>
      </c>
      <c r="J391" s="64">
        <v>43486</v>
      </c>
      <c r="K391" s="41"/>
      <c r="L391" s="66">
        <v>71.930000000000007</v>
      </c>
      <c r="M391" s="66">
        <v>63.09</v>
      </c>
      <c r="N391" s="41" t="s">
        <v>32</v>
      </c>
      <c r="O391" s="66">
        <v>71.3</v>
      </c>
      <c r="P391" s="3">
        <v>12.539823691</v>
      </c>
      <c r="Q391" s="66">
        <v>-0.25343129099999989</v>
      </c>
      <c r="R391" s="69"/>
      <c r="S391" s="22"/>
      <c r="T391" s="73"/>
      <c r="U391" s="67">
        <f t="shared" si="43"/>
        <v>12.539823691</v>
      </c>
      <c r="V391" s="67">
        <f t="shared" si="44"/>
        <v>-0.25343129099999989</v>
      </c>
      <c r="W391" s="3"/>
      <c r="X391" s="3"/>
      <c r="Y391" s="3"/>
      <c r="Z391" s="67">
        <f t="shared" si="45"/>
        <v>12.539823691</v>
      </c>
      <c r="AA391" s="67">
        <f t="shared" si="46"/>
        <v>-0.25343129099999989</v>
      </c>
      <c r="AB391" s="3"/>
      <c r="AC391" s="3"/>
      <c r="AD391" s="3"/>
      <c r="AE391" s="67">
        <f t="shared" si="47"/>
        <v>12.539823691</v>
      </c>
      <c r="AF391" s="67">
        <f t="shared" si="48"/>
        <v>-0.25343129099999989</v>
      </c>
    </row>
    <row r="392" spans="1:32" ht="46.8">
      <c r="A392" s="41">
        <f t="shared" si="49"/>
        <v>390</v>
      </c>
      <c r="B392" s="41" t="s">
        <v>670</v>
      </c>
      <c r="C392" s="34" t="s">
        <v>1002</v>
      </c>
      <c r="D392" s="34" t="s">
        <v>1019</v>
      </c>
      <c r="E392" s="41" t="s">
        <v>1435</v>
      </c>
      <c r="F392" s="43" t="s">
        <v>671</v>
      </c>
      <c r="G392" s="41" t="s">
        <v>28</v>
      </c>
      <c r="H392" s="63">
        <v>2</v>
      </c>
      <c r="I392" s="64">
        <v>42403</v>
      </c>
      <c r="J392" s="64">
        <v>42403</v>
      </c>
      <c r="K392" s="64">
        <v>42769</v>
      </c>
      <c r="L392" s="66">
        <v>23.51</v>
      </c>
      <c r="M392" s="66">
        <v>23.51</v>
      </c>
      <c r="N392" s="41" t="s">
        <v>32</v>
      </c>
      <c r="O392" s="66">
        <v>26.35</v>
      </c>
      <c r="P392" s="66">
        <v>25.908471499999997</v>
      </c>
      <c r="Q392" s="3">
        <v>0</v>
      </c>
      <c r="R392" s="25">
        <v>0.27193000000000001</v>
      </c>
      <c r="S392" s="22">
        <v>0.27193000000000001</v>
      </c>
      <c r="T392" s="3"/>
      <c r="U392" s="67">
        <f t="shared" si="43"/>
        <v>26.180401499999999</v>
      </c>
      <c r="V392" s="67">
        <f t="shared" si="44"/>
        <v>0</v>
      </c>
      <c r="W392" s="154">
        <v>0.16785749999999999</v>
      </c>
      <c r="X392" s="67"/>
      <c r="Y392" s="3"/>
      <c r="Z392" s="67">
        <f t="shared" si="45"/>
        <v>26.180401499999999</v>
      </c>
      <c r="AA392" s="67">
        <f t="shared" si="46"/>
        <v>0.16785749999999999</v>
      </c>
      <c r="AB392" s="3"/>
      <c r="AC392" s="3"/>
      <c r="AD392" s="3"/>
      <c r="AE392" s="67">
        <f t="shared" si="47"/>
        <v>26.180401499999999</v>
      </c>
      <c r="AF392" s="67">
        <f t="shared" si="48"/>
        <v>0.16785749999999999</v>
      </c>
    </row>
    <row r="393" spans="1:32" ht="46.8">
      <c r="A393" s="41">
        <f t="shared" si="49"/>
        <v>391</v>
      </c>
      <c r="B393" s="41" t="s">
        <v>672</v>
      </c>
      <c r="C393" s="41" t="s">
        <v>1002</v>
      </c>
      <c r="D393" s="42" t="s">
        <v>1017</v>
      </c>
      <c r="E393" s="41" t="s">
        <v>1436</v>
      </c>
      <c r="F393" s="43" t="s">
        <v>673</v>
      </c>
      <c r="G393" s="41"/>
      <c r="H393" s="41"/>
      <c r="I393" s="41"/>
      <c r="J393" s="41"/>
      <c r="K393" s="41"/>
      <c r="L393" s="3"/>
      <c r="M393" s="3"/>
      <c r="N393" s="41" t="s">
        <v>674</v>
      </c>
      <c r="O393" s="3">
        <v>0</v>
      </c>
      <c r="P393" s="66">
        <v>20.773789799999999</v>
      </c>
      <c r="Q393" s="66">
        <v>-3.7898000000000098E-3</v>
      </c>
      <c r="R393" s="3"/>
      <c r="S393" s="22"/>
      <c r="T393" s="3"/>
      <c r="U393" s="67">
        <f t="shared" si="43"/>
        <v>20.773789799999999</v>
      </c>
      <c r="V393" s="67">
        <f t="shared" si="44"/>
        <v>-3.7898000000000098E-3</v>
      </c>
      <c r="W393" s="3"/>
      <c r="X393" s="3"/>
      <c r="Y393" s="3"/>
      <c r="Z393" s="67">
        <f t="shared" si="45"/>
        <v>20.773789799999999</v>
      </c>
      <c r="AA393" s="67">
        <f t="shared" si="46"/>
        <v>-3.7898000000000098E-3</v>
      </c>
      <c r="AB393" s="3"/>
      <c r="AC393" s="3"/>
      <c r="AD393" s="3"/>
      <c r="AE393" s="67">
        <f t="shared" si="47"/>
        <v>20.773789799999999</v>
      </c>
      <c r="AF393" s="67">
        <f t="shared" si="48"/>
        <v>-3.7898000000000098E-3</v>
      </c>
    </row>
    <row r="394" spans="1:32" ht="46.8">
      <c r="A394" s="41">
        <f t="shared" si="49"/>
        <v>392</v>
      </c>
      <c r="B394" s="41" t="s">
        <v>675</v>
      </c>
      <c r="C394" s="34" t="s">
        <v>1002</v>
      </c>
      <c r="D394" s="42" t="s">
        <v>1017</v>
      </c>
      <c r="E394" s="41" t="s">
        <v>1437</v>
      </c>
      <c r="F394" s="43" t="s">
        <v>676</v>
      </c>
      <c r="G394" s="41" t="s">
        <v>28</v>
      </c>
      <c r="H394" s="41"/>
      <c r="I394" s="41"/>
      <c r="J394" s="41"/>
      <c r="K394" s="41"/>
      <c r="L394" s="3">
        <v>0</v>
      </c>
      <c r="M394" s="3">
        <v>0</v>
      </c>
      <c r="N394" s="41" t="s">
        <v>32</v>
      </c>
      <c r="O394" s="66">
        <v>8.16</v>
      </c>
      <c r="P394" s="66">
        <v>8.0947000000000013</v>
      </c>
      <c r="Q394" s="3">
        <v>0</v>
      </c>
      <c r="R394" s="25">
        <f>0.07992+0.03492</f>
        <v>0.11484</v>
      </c>
      <c r="S394" s="22">
        <f>0.09672+0.0168</f>
        <v>0.11352</v>
      </c>
      <c r="T394" s="3"/>
      <c r="U394" s="67">
        <f t="shared" si="43"/>
        <v>8.2082200000000007</v>
      </c>
      <c r="V394" s="67">
        <f t="shared" si="44"/>
        <v>1.3200000000000017E-3</v>
      </c>
      <c r="W394" s="69"/>
      <c r="X394" s="3"/>
      <c r="Y394" s="3"/>
      <c r="Z394" s="67">
        <f t="shared" si="45"/>
        <v>8.2082200000000007</v>
      </c>
      <c r="AA394" s="67">
        <f t="shared" si="46"/>
        <v>1.3200000000000017E-3</v>
      </c>
      <c r="AB394" s="3"/>
      <c r="AC394" s="3"/>
      <c r="AD394" s="3"/>
      <c r="AE394" s="67">
        <f t="shared" si="47"/>
        <v>8.2082200000000007</v>
      </c>
      <c r="AF394" s="67">
        <f t="shared" si="48"/>
        <v>1.3200000000000017E-3</v>
      </c>
    </row>
    <row r="395" spans="1:32" ht="93.6">
      <c r="A395" s="41">
        <f t="shared" si="49"/>
        <v>393</v>
      </c>
      <c r="B395" s="41" t="s">
        <v>677</v>
      </c>
      <c r="C395" s="41" t="s">
        <v>876</v>
      </c>
      <c r="D395" s="41" t="s">
        <v>1019</v>
      </c>
      <c r="E395" s="41" t="s">
        <v>1438</v>
      </c>
      <c r="F395" s="43" t="s">
        <v>678</v>
      </c>
      <c r="G395" s="41" t="s">
        <v>28</v>
      </c>
      <c r="H395" s="41">
        <v>3</v>
      </c>
      <c r="I395" s="70" t="s">
        <v>679</v>
      </c>
      <c r="J395" s="70" t="s">
        <v>679</v>
      </c>
      <c r="K395" s="70" t="s">
        <v>680</v>
      </c>
      <c r="L395" s="3">
        <v>20.85</v>
      </c>
      <c r="M395" s="66">
        <v>19.43</v>
      </c>
      <c r="N395" s="41" t="s">
        <v>32</v>
      </c>
      <c r="O395" s="3">
        <v>16.739999999999998</v>
      </c>
      <c r="P395" s="3">
        <v>21.909844130000003</v>
      </c>
      <c r="Q395" s="66">
        <v>-3.0287615299999988</v>
      </c>
      <c r="R395" s="25">
        <v>0.15728900000000001</v>
      </c>
      <c r="S395" s="22"/>
      <c r="T395" s="73"/>
      <c r="U395" s="67">
        <f t="shared" si="43"/>
        <v>21.909844130000003</v>
      </c>
      <c r="V395" s="67">
        <f t="shared" si="44"/>
        <v>-2.8714725299999988</v>
      </c>
      <c r="W395" s="69"/>
      <c r="X395" s="3"/>
      <c r="Y395" s="3"/>
      <c r="Z395" s="67">
        <f t="shared" si="45"/>
        <v>21.909844130000003</v>
      </c>
      <c r="AA395" s="67">
        <f t="shared" si="46"/>
        <v>-2.8714725299999988</v>
      </c>
      <c r="AB395" s="3"/>
      <c r="AC395" s="3"/>
      <c r="AD395" s="3"/>
      <c r="AE395" s="67">
        <f t="shared" si="47"/>
        <v>21.909844130000003</v>
      </c>
      <c r="AF395" s="67">
        <f t="shared" si="48"/>
        <v>-2.8714725299999988</v>
      </c>
    </row>
    <row r="396" spans="1:32" s="45" customFormat="1" ht="46.8">
      <c r="A396" s="41">
        <f t="shared" si="49"/>
        <v>394</v>
      </c>
      <c r="B396" s="36" t="s">
        <v>681</v>
      </c>
      <c r="C396" s="36" t="s">
        <v>877</v>
      </c>
      <c r="D396" s="34" t="s">
        <v>1017</v>
      </c>
      <c r="E396" s="41" t="s">
        <v>1439</v>
      </c>
      <c r="F396" s="44" t="s">
        <v>682</v>
      </c>
      <c r="G396" s="36" t="s">
        <v>28</v>
      </c>
      <c r="H396" s="36"/>
      <c r="I396" s="173" t="s">
        <v>683</v>
      </c>
      <c r="J396" s="173"/>
      <c r="K396" s="173"/>
      <c r="L396" s="173"/>
      <c r="M396" s="173"/>
      <c r="N396" s="41" t="s">
        <v>32</v>
      </c>
      <c r="O396" s="3">
        <v>0</v>
      </c>
      <c r="P396" s="74">
        <v>2.3640458999999998</v>
      </c>
      <c r="Q396" s="74">
        <v>-8.4045900000000007E-2</v>
      </c>
      <c r="R396" s="3"/>
      <c r="S396" s="75"/>
      <c r="T396" s="3"/>
      <c r="U396" s="67">
        <f t="shared" si="43"/>
        <v>2.3640458999999998</v>
      </c>
      <c r="V396" s="67">
        <f t="shared" si="44"/>
        <v>-8.4045900000000007E-2</v>
      </c>
      <c r="W396" s="3"/>
      <c r="X396" s="3"/>
      <c r="Y396" s="3"/>
      <c r="Z396" s="67">
        <f t="shared" si="45"/>
        <v>2.3640458999999998</v>
      </c>
      <c r="AA396" s="67">
        <f t="shared" si="46"/>
        <v>-8.4045900000000007E-2</v>
      </c>
      <c r="AB396" s="3"/>
      <c r="AC396" s="3"/>
      <c r="AD396" s="3"/>
      <c r="AE396" s="67">
        <f t="shared" si="47"/>
        <v>2.3640458999999998</v>
      </c>
      <c r="AF396" s="67">
        <f t="shared" si="48"/>
        <v>-8.4045900000000007E-2</v>
      </c>
    </row>
    <row r="397" spans="1:32" ht="62.4">
      <c r="A397" s="41">
        <f t="shared" si="49"/>
        <v>395</v>
      </c>
      <c r="B397" s="41" t="s">
        <v>684</v>
      </c>
      <c r="C397" s="41" t="s">
        <v>877</v>
      </c>
      <c r="D397" s="42" t="s">
        <v>1017</v>
      </c>
      <c r="E397" s="41" t="s">
        <v>1440</v>
      </c>
      <c r="F397" s="43" t="s">
        <v>685</v>
      </c>
      <c r="G397" s="41" t="s">
        <v>28</v>
      </c>
      <c r="H397" s="41"/>
      <c r="I397" s="41"/>
      <c r="J397" s="41"/>
      <c r="K397" s="41"/>
      <c r="L397" s="41"/>
      <c r="M397" s="41"/>
      <c r="N397" s="41" t="s">
        <v>29</v>
      </c>
      <c r="O397" s="3">
        <v>0</v>
      </c>
      <c r="P397" s="66">
        <v>6.3714066000000003</v>
      </c>
      <c r="Q397" s="3">
        <v>-0.14140659999999999</v>
      </c>
      <c r="R397" s="3"/>
      <c r="S397" s="22"/>
      <c r="T397" s="3"/>
      <c r="U397" s="67">
        <f t="shared" si="43"/>
        <v>6.3714066000000003</v>
      </c>
      <c r="V397" s="67">
        <f t="shared" si="44"/>
        <v>-0.14140659999999999</v>
      </c>
      <c r="W397" s="3"/>
      <c r="X397" s="3"/>
      <c r="Y397" s="3"/>
      <c r="Z397" s="67">
        <f t="shared" si="45"/>
        <v>6.3714066000000003</v>
      </c>
      <c r="AA397" s="67">
        <f t="shared" si="46"/>
        <v>-0.14140659999999999</v>
      </c>
      <c r="AB397" s="3"/>
      <c r="AC397" s="3"/>
      <c r="AD397" s="3"/>
      <c r="AE397" s="67">
        <f t="shared" si="47"/>
        <v>6.3714066000000003</v>
      </c>
      <c r="AF397" s="67">
        <f t="shared" si="48"/>
        <v>-0.14140659999999999</v>
      </c>
    </row>
    <row r="398" spans="1:32" ht="62.4">
      <c r="A398" s="41">
        <f t="shared" si="49"/>
        <v>396</v>
      </c>
      <c r="B398" s="41" t="s">
        <v>686</v>
      </c>
      <c r="C398" s="41" t="s">
        <v>877</v>
      </c>
      <c r="D398" s="42" t="s">
        <v>1019</v>
      </c>
      <c r="E398" s="41" t="s">
        <v>1439</v>
      </c>
      <c r="F398" s="43" t="s">
        <v>687</v>
      </c>
      <c r="G398" s="41"/>
      <c r="H398" s="41"/>
      <c r="I398" s="41"/>
      <c r="J398" s="41"/>
      <c r="K398" s="41"/>
      <c r="L398" s="3"/>
      <c r="M398" s="3"/>
      <c r="N398" s="41" t="s">
        <v>67</v>
      </c>
      <c r="O398" s="3">
        <v>0</v>
      </c>
      <c r="P398" s="3">
        <v>1.2452143</v>
      </c>
      <c r="Q398" s="3">
        <v>0</v>
      </c>
      <c r="R398" s="25">
        <v>0.80571660000000001</v>
      </c>
      <c r="S398" s="22"/>
      <c r="T398" s="3"/>
      <c r="U398" s="67">
        <f t="shared" si="43"/>
        <v>1.2452143</v>
      </c>
      <c r="V398" s="67">
        <f t="shared" si="44"/>
        <v>0.80571660000000001</v>
      </c>
      <c r="W398" s="3"/>
      <c r="X398" s="3"/>
      <c r="Y398" s="3"/>
      <c r="Z398" s="67">
        <f t="shared" si="45"/>
        <v>1.2452143</v>
      </c>
      <c r="AA398" s="67">
        <f t="shared" si="46"/>
        <v>0.80571660000000001</v>
      </c>
      <c r="AB398" s="3"/>
      <c r="AC398" s="3"/>
      <c r="AD398" s="3"/>
      <c r="AE398" s="67">
        <f t="shared" si="47"/>
        <v>1.2452143</v>
      </c>
      <c r="AF398" s="67">
        <f t="shared" si="48"/>
        <v>0.80571660000000001</v>
      </c>
    </row>
    <row r="399" spans="1:32" ht="46.8">
      <c r="A399" s="41">
        <f t="shared" si="49"/>
        <v>397</v>
      </c>
      <c r="B399" s="41" t="s">
        <v>688</v>
      </c>
      <c r="C399" s="34" t="s">
        <v>1002</v>
      </c>
      <c r="D399" s="34" t="s">
        <v>1019</v>
      </c>
      <c r="E399" s="41" t="s">
        <v>1441</v>
      </c>
      <c r="F399" s="43" t="s">
        <v>689</v>
      </c>
      <c r="G399" s="41"/>
      <c r="H399" s="41"/>
      <c r="I399" s="41" t="s">
        <v>690</v>
      </c>
      <c r="J399" s="41"/>
      <c r="K399" s="41" t="s">
        <v>691</v>
      </c>
      <c r="L399" s="3">
        <v>0</v>
      </c>
      <c r="M399" s="3">
        <v>0</v>
      </c>
      <c r="N399" s="41" t="s">
        <v>32</v>
      </c>
      <c r="O399" s="3">
        <v>0</v>
      </c>
      <c r="P399" s="3">
        <v>0</v>
      </c>
      <c r="Q399" s="3">
        <v>3.3075842999999998</v>
      </c>
      <c r="R399" s="25">
        <v>3.1051039999999999</v>
      </c>
      <c r="S399" s="3"/>
      <c r="T399" s="3"/>
      <c r="U399" s="67">
        <f t="shared" si="43"/>
        <v>0</v>
      </c>
      <c r="V399" s="67">
        <f t="shared" si="44"/>
        <v>6.4126882999999992</v>
      </c>
      <c r="W399" s="69"/>
      <c r="X399" s="67"/>
      <c r="Y399" s="3"/>
      <c r="Z399" s="67">
        <f t="shared" si="45"/>
        <v>0</v>
      </c>
      <c r="AA399" s="67">
        <f t="shared" si="46"/>
        <v>6.4126882999999992</v>
      </c>
      <c r="AB399" s="3"/>
      <c r="AC399" s="3"/>
      <c r="AD399" s="3"/>
      <c r="AE399" s="67">
        <f t="shared" si="47"/>
        <v>0</v>
      </c>
      <c r="AF399" s="67">
        <f t="shared" si="48"/>
        <v>6.4126882999999992</v>
      </c>
    </row>
    <row r="400" spans="1:32" ht="78">
      <c r="A400" s="41">
        <f t="shared" si="49"/>
        <v>398</v>
      </c>
      <c r="B400" s="41" t="s">
        <v>693</v>
      </c>
      <c r="C400" s="41" t="s">
        <v>876</v>
      </c>
      <c r="D400" s="41" t="s">
        <v>1019</v>
      </c>
      <c r="E400" s="41" t="s">
        <v>1442</v>
      </c>
      <c r="F400" s="43" t="s">
        <v>694</v>
      </c>
      <c r="G400" s="41" t="s">
        <v>28</v>
      </c>
      <c r="H400" s="41">
        <v>2</v>
      </c>
      <c r="I400" s="64" t="s">
        <v>519</v>
      </c>
      <c r="J400" s="64" t="s">
        <v>519</v>
      </c>
      <c r="K400" s="41" t="s">
        <v>520</v>
      </c>
      <c r="L400" s="3">
        <v>19.29</v>
      </c>
      <c r="M400" s="3">
        <v>0</v>
      </c>
      <c r="N400" s="41" t="s">
        <v>516</v>
      </c>
      <c r="O400" s="3">
        <v>18.760000000000002</v>
      </c>
      <c r="P400" s="3">
        <v>0</v>
      </c>
      <c r="Q400" s="3">
        <v>18.532845500000001</v>
      </c>
      <c r="R400" s="25">
        <v>0.22550049999999999</v>
      </c>
      <c r="S400" s="3">
        <f>18.5328455+0.2250545</f>
        <v>18.757899999999999</v>
      </c>
      <c r="T400" s="3"/>
      <c r="U400" s="67">
        <f t="shared" si="43"/>
        <v>18.757899999999999</v>
      </c>
      <c r="V400" s="67">
        <f t="shared" si="44"/>
        <v>4.4600000000016848E-4</v>
      </c>
      <c r="W400" s="154">
        <f>0.002347+0.0030331</f>
        <v>5.3801000000000005E-3</v>
      </c>
      <c r="X400" s="67">
        <f>W400+V400</f>
        <v>5.826100000000169E-3</v>
      </c>
      <c r="Y400" s="3"/>
      <c r="Z400" s="67">
        <f t="shared" si="45"/>
        <v>18.7637261</v>
      </c>
      <c r="AA400" s="67">
        <f t="shared" si="46"/>
        <v>0</v>
      </c>
      <c r="AB400" s="3"/>
      <c r="AC400" s="3"/>
      <c r="AD400" s="3"/>
      <c r="AE400" s="67">
        <f t="shared" si="47"/>
        <v>18.7637261</v>
      </c>
      <c r="AF400" s="67">
        <f t="shared" si="48"/>
        <v>0</v>
      </c>
    </row>
    <row r="401" spans="1:32" ht="46.8">
      <c r="A401" s="41">
        <f t="shared" si="49"/>
        <v>399</v>
      </c>
      <c r="B401" s="41" t="s">
        <v>696</v>
      </c>
      <c r="C401" s="41" t="s">
        <v>876</v>
      </c>
      <c r="D401" s="41" t="s">
        <v>1019</v>
      </c>
      <c r="E401" s="41" t="s">
        <v>1443</v>
      </c>
      <c r="F401" s="43" t="s">
        <v>697</v>
      </c>
      <c r="G401" s="41"/>
      <c r="H401" s="41"/>
      <c r="I401" s="31" t="s">
        <v>690</v>
      </c>
      <c r="J401" s="31" t="s">
        <v>690</v>
      </c>
      <c r="K401" s="31" t="s">
        <v>1035</v>
      </c>
      <c r="L401" s="156">
        <v>8.35</v>
      </c>
      <c r="M401" s="3">
        <v>0</v>
      </c>
      <c r="N401" s="41" t="s">
        <v>32</v>
      </c>
      <c r="O401" s="3">
        <v>8.35</v>
      </c>
      <c r="P401" s="3">
        <v>0</v>
      </c>
      <c r="Q401" s="3">
        <v>2.5164680000000001</v>
      </c>
      <c r="R401" s="25">
        <v>3.4263306</v>
      </c>
      <c r="S401" s="3"/>
      <c r="T401" s="3"/>
      <c r="U401" s="67">
        <f t="shared" si="43"/>
        <v>0</v>
      </c>
      <c r="V401" s="67">
        <f t="shared" si="44"/>
        <v>5.9427985999999997</v>
      </c>
      <c r="W401" s="154">
        <f>O401-V401</f>
        <v>2.4072013999999999</v>
      </c>
      <c r="X401" s="3">
        <f>V401+W401</f>
        <v>8.35</v>
      </c>
      <c r="Y401" s="3"/>
      <c r="Z401" s="67">
        <f t="shared" si="45"/>
        <v>8.35</v>
      </c>
      <c r="AA401" s="67">
        <f t="shared" si="46"/>
        <v>0</v>
      </c>
      <c r="AB401" s="3"/>
      <c r="AC401" s="3"/>
      <c r="AD401" s="3"/>
      <c r="AE401" s="67">
        <f t="shared" si="47"/>
        <v>8.35</v>
      </c>
      <c r="AF401" s="67">
        <f t="shared" si="48"/>
        <v>0</v>
      </c>
    </row>
    <row r="402" spans="1:32" ht="93.6">
      <c r="A402" s="41">
        <f t="shared" si="49"/>
        <v>400</v>
      </c>
      <c r="B402" s="41" t="s">
        <v>700</v>
      </c>
      <c r="C402" s="34" t="s">
        <v>1002</v>
      </c>
      <c r="D402" s="42" t="s">
        <v>1019</v>
      </c>
      <c r="E402" s="41" t="s">
        <v>1226</v>
      </c>
      <c r="F402" s="43" t="s">
        <v>701</v>
      </c>
      <c r="G402" s="41"/>
      <c r="H402" s="41">
        <v>3</v>
      </c>
      <c r="I402" s="41" t="s">
        <v>702</v>
      </c>
      <c r="J402" s="41" t="s">
        <v>702</v>
      </c>
      <c r="K402" s="41" t="s">
        <v>703</v>
      </c>
      <c r="L402" s="3">
        <v>10.51</v>
      </c>
      <c r="M402" s="3">
        <v>0</v>
      </c>
      <c r="N402" s="41" t="s">
        <v>516</v>
      </c>
      <c r="O402" s="3">
        <v>18.82</v>
      </c>
      <c r="P402" s="3">
        <v>0</v>
      </c>
      <c r="Q402" s="3">
        <v>0.31789200000000001</v>
      </c>
      <c r="R402" s="25">
        <v>6.8319662000000001</v>
      </c>
      <c r="S402" s="3"/>
      <c r="T402" s="3"/>
      <c r="U402" s="67">
        <f t="shared" si="43"/>
        <v>0</v>
      </c>
      <c r="V402" s="67">
        <f t="shared" si="44"/>
        <v>7.1498581999999997</v>
      </c>
      <c r="W402" s="154">
        <f>(O402-U402-V402)</f>
        <v>11.6701418</v>
      </c>
      <c r="X402" s="67">
        <f>V402+W402</f>
        <v>18.82</v>
      </c>
      <c r="Y402" s="3"/>
      <c r="Z402" s="67">
        <f>U402+X402+Y402</f>
        <v>18.82</v>
      </c>
      <c r="AA402" s="67">
        <f t="shared" si="46"/>
        <v>0</v>
      </c>
      <c r="AB402" s="3"/>
      <c r="AC402" s="3"/>
      <c r="AD402" s="3"/>
      <c r="AE402" s="67">
        <f t="shared" si="47"/>
        <v>18.82</v>
      </c>
      <c r="AF402" s="67">
        <f t="shared" si="48"/>
        <v>0</v>
      </c>
    </row>
    <row r="403" spans="1:32" ht="62.4">
      <c r="A403" s="41">
        <f t="shared" si="49"/>
        <v>401</v>
      </c>
      <c r="B403" s="41" t="s">
        <v>704</v>
      </c>
      <c r="C403" s="34" t="s">
        <v>1002</v>
      </c>
      <c r="D403" s="34" t="s">
        <v>1019</v>
      </c>
      <c r="E403" s="41" t="s">
        <v>1444</v>
      </c>
      <c r="F403" s="43" t="s">
        <v>705</v>
      </c>
      <c r="G403" s="41"/>
      <c r="H403" s="41"/>
      <c r="I403" s="41" t="s">
        <v>706</v>
      </c>
      <c r="J403" s="41"/>
      <c r="K403" s="41" t="s">
        <v>707</v>
      </c>
      <c r="L403" s="3">
        <v>2.71</v>
      </c>
      <c r="M403" s="3">
        <v>0</v>
      </c>
      <c r="N403" s="41" t="s">
        <v>516</v>
      </c>
      <c r="O403" s="3">
        <v>0</v>
      </c>
      <c r="P403" s="3">
        <v>0</v>
      </c>
      <c r="Q403" s="3">
        <v>0.72487710000000005</v>
      </c>
      <c r="R403" s="25">
        <v>1.2112993000000001</v>
      </c>
      <c r="S403" s="3"/>
      <c r="T403" s="3"/>
      <c r="U403" s="67">
        <f t="shared" si="43"/>
        <v>0</v>
      </c>
      <c r="V403" s="67">
        <f t="shared" si="44"/>
        <v>1.9361764000000001</v>
      </c>
      <c r="W403" s="154">
        <f>L403-V403</f>
        <v>0.77382359999999983</v>
      </c>
      <c r="X403" s="67">
        <f>V403+W403</f>
        <v>2.71</v>
      </c>
      <c r="Y403" s="3"/>
      <c r="Z403" s="67">
        <f t="shared" si="45"/>
        <v>2.71</v>
      </c>
      <c r="AA403" s="67">
        <f t="shared" si="46"/>
        <v>0</v>
      </c>
      <c r="AB403" s="3"/>
      <c r="AC403" s="3"/>
      <c r="AD403" s="3"/>
      <c r="AE403" s="67">
        <f t="shared" si="47"/>
        <v>2.71</v>
      </c>
      <c r="AF403" s="67">
        <f t="shared" si="48"/>
        <v>0</v>
      </c>
    </row>
    <row r="404" spans="1:32" ht="46.8">
      <c r="A404" s="41">
        <f t="shared" si="49"/>
        <v>402</v>
      </c>
      <c r="B404" s="41" t="s">
        <v>709</v>
      </c>
      <c r="C404" s="41" t="s">
        <v>877</v>
      </c>
      <c r="D404" s="42" t="s">
        <v>1019</v>
      </c>
      <c r="E404" s="41" t="s">
        <v>1442</v>
      </c>
      <c r="F404" s="43" t="s">
        <v>710</v>
      </c>
      <c r="G404" s="41"/>
      <c r="H404" s="41"/>
      <c r="I404" s="41"/>
      <c r="J404" s="41"/>
      <c r="K404" s="41"/>
      <c r="L404" s="3"/>
      <c r="M404" s="3"/>
      <c r="N404" s="41" t="s">
        <v>67</v>
      </c>
      <c r="O404" s="3">
        <v>0</v>
      </c>
      <c r="P404" s="3">
        <v>0</v>
      </c>
      <c r="Q404" s="3">
        <v>0.79472480000000001</v>
      </c>
      <c r="R404" s="69"/>
      <c r="S404" s="3"/>
      <c r="T404" s="3"/>
      <c r="U404" s="67">
        <f t="shared" si="43"/>
        <v>0</v>
      </c>
      <c r="V404" s="67">
        <f t="shared" si="44"/>
        <v>0.79472480000000001</v>
      </c>
      <c r="W404" s="3"/>
      <c r="X404" s="3"/>
      <c r="Y404" s="3"/>
      <c r="Z404" s="67">
        <f t="shared" si="45"/>
        <v>0</v>
      </c>
      <c r="AA404" s="67">
        <f t="shared" si="46"/>
        <v>0.79472480000000001</v>
      </c>
      <c r="AB404" s="3"/>
      <c r="AC404" s="3"/>
      <c r="AD404" s="3"/>
      <c r="AE404" s="67">
        <f t="shared" si="47"/>
        <v>0</v>
      </c>
      <c r="AF404" s="67">
        <f t="shared" si="48"/>
        <v>0.79472480000000001</v>
      </c>
    </row>
    <row r="405" spans="1:32" ht="46.8">
      <c r="A405" s="41">
        <f t="shared" si="49"/>
        <v>403</v>
      </c>
      <c r="B405" s="41" t="s">
        <v>711</v>
      </c>
      <c r="C405" s="41" t="s">
        <v>877</v>
      </c>
      <c r="D405" s="42" t="s">
        <v>1019</v>
      </c>
      <c r="E405" s="41" t="s">
        <v>1445</v>
      </c>
      <c r="F405" s="43" t="s">
        <v>712</v>
      </c>
      <c r="G405" s="41"/>
      <c r="H405" s="41"/>
      <c r="I405" s="41"/>
      <c r="J405" s="41"/>
      <c r="K405" s="41"/>
      <c r="L405" s="3"/>
      <c r="M405" s="3"/>
      <c r="N405" s="41" t="s">
        <v>67</v>
      </c>
      <c r="O405" s="3">
        <v>0</v>
      </c>
      <c r="P405" s="3">
        <v>0</v>
      </c>
      <c r="Q405" s="3">
        <v>0.47857119999999997</v>
      </c>
      <c r="R405" s="69"/>
      <c r="S405" s="3">
        <v>0.47857119999999997</v>
      </c>
      <c r="T405" s="3"/>
      <c r="U405" s="67">
        <f t="shared" si="43"/>
        <v>0.47857119999999997</v>
      </c>
      <c r="V405" s="67">
        <f t="shared" si="44"/>
        <v>0</v>
      </c>
      <c r="W405" s="3"/>
      <c r="X405" s="3"/>
      <c r="Y405" s="3"/>
      <c r="Z405" s="67">
        <f t="shared" si="45"/>
        <v>0.47857119999999997</v>
      </c>
      <c r="AA405" s="67">
        <f t="shared" si="46"/>
        <v>0</v>
      </c>
      <c r="AB405" s="3"/>
      <c r="AC405" s="3"/>
      <c r="AD405" s="3"/>
      <c r="AE405" s="67">
        <f t="shared" si="47"/>
        <v>0.47857119999999997</v>
      </c>
      <c r="AF405" s="67">
        <f t="shared" si="48"/>
        <v>0</v>
      </c>
    </row>
    <row r="406" spans="1:32" ht="46.8">
      <c r="A406" s="41">
        <f t="shared" si="49"/>
        <v>404</v>
      </c>
      <c r="B406" s="41" t="s">
        <v>713</v>
      </c>
      <c r="C406" s="34" t="s">
        <v>1002</v>
      </c>
      <c r="D406" s="34" t="s">
        <v>1016</v>
      </c>
      <c r="E406" s="41" t="s">
        <v>1446</v>
      </c>
      <c r="F406" s="43" t="s">
        <v>714</v>
      </c>
      <c r="G406" s="41" t="s">
        <v>28</v>
      </c>
      <c r="H406" s="41">
        <v>3</v>
      </c>
      <c r="I406" s="41">
        <v>42432</v>
      </c>
      <c r="J406" s="41">
        <v>42432</v>
      </c>
      <c r="K406" s="41">
        <v>42797</v>
      </c>
      <c r="L406" s="3">
        <v>26.49</v>
      </c>
      <c r="M406" s="3">
        <v>57.04</v>
      </c>
      <c r="N406" s="41" t="s">
        <v>32</v>
      </c>
      <c r="O406" s="3">
        <v>55.63</v>
      </c>
      <c r="P406" s="3">
        <v>0</v>
      </c>
      <c r="Q406" s="3">
        <v>27.011084499999999</v>
      </c>
      <c r="R406" s="25">
        <v>0.27023819999999998</v>
      </c>
      <c r="S406" s="3"/>
      <c r="T406" s="3"/>
      <c r="U406" s="67">
        <f t="shared" si="43"/>
        <v>0</v>
      </c>
      <c r="V406" s="67">
        <f t="shared" si="44"/>
        <v>27.2813227</v>
      </c>
      <c r="W406" s="154">
        <v>0.37961430000000002</v>
      </c>
      <c r="X406" s="67"/>
      <c r="Y406" s="3"/>
      <c r="Z406" s="67">
        <f t="shared" si="45"/>
        <v>0</v>
      </c>
      <c r="AA406" s="67">
        <f t="shared" si="46"/>
        <v>27.660937000000001</v>
      </c>
      <c r="AB406" s="3"/>
      <c r="AC406" s="3"/>
      <c r="AD406" s="3"/>
      <c r="AE406" s="67">
        <f t="shared" si="47"/>
        <v>0</v>
      </c>
      <c r="AF406" s="67">
        <f t="shared" si="48"/>
        <v>27.660937000000001</v>
      </c>
    </row>
    <row r="407" spans="1:32" ht="62.4">
      <c r="A407" s="41">
        <f t="shared" si="49"/>
        <v>405</v>
      </c>
      <c r="B407" s="41" t="s">
        <v>716</v>
      </c>
      <c r="C407" s="41" t="s">
        <v>876</v>
      </c>
      <c r="D407" s="41" t="s">
        <v>1019</v>
      </c>
      <c r="E407" s="41" t="s">
        <v>1447</v>
      </c>
      <c r="F407" s="43" t="s">
        <v>717</v>
      </c>
      <c r="G407" s="41"/>
      <c r="H407" s="41"/>
      <c r="I407" s="31" t="s">
        <v>718</v>
      </c>
      <c r="J407" s="31" t="s">
        <v>718</v>
      </c>
      <c r="K407" s="31" t="s">
        <v>719</v>
      </c>
      <c r="L407" s="156">
        <v>19.25</v>
      </c>
      <c r="M407" s="3">
        <v>0</v>
      </c>
      <c r="N407" s="41" t="s">
        <v>32</v>
      </c>
      <c r="O407" s="3">
        <v>19.25</v>
      </c>
      <c r="P407" s="3">
        <v>0</v>
      </c>
      <c r="Q407" s="3">
        <v>1.0253228000000001</v>
      </c>
      <c r="R407" s="25">
        <f>12.1520112+1.8391628</f>
        <v>13.991174000000001</v>
      </c>
      <c r="S407" s="3"/>
      <c r="T407" s="3"/>
      <c r="U407" s="67">
        <f t="shared" si="43"/>
        <v>0</v>
      </c>
      <c r="V407" s="67">
        <f t="shared" si="44"/>
        <v>15.016496800000001</v>
      </c>
      <c r="W407" s="154">
        <f>1.0502+0.6195887+2.32549+0.859512+0.69443+0.9935157+0.5294283+5.115606+0.5230401+1.2233296+0.5723</f>
        <v>14.506440399999999</v>
      </c>
      <c r="X407" s="3">
        <f>V407+W407</f>
        <v>29.522937200000001</v>
      </c>
      <c r="Y407" s="3"/>
      <c r="Z407" s="67">
        <f t="shared" si="45"/>
        <v>29.522937200000001</v>
      </c>
      <c r="AA407" s="67">
        <f t="shared" si="46"/>
        <v>0</v>
      </c>
      <c r="AB407" s="3"/>
      <c r="AC407" s="67"/>
      <c r="AD407" s="3"/>
      <c r="AE407" s="67">
        <f t="shared" si="47"/>
        <v>29.522937200000001</v>
      </c>
      <c r="AF407" s="67">
        <f t="shared" si="48"/>
        <v>0</v>
      </c>
    </row>
    <row r="408" spans="1:32" ht="46.8">
      <c r="A408" s="41">
        <f t="shared" si="49"/>
        <v>406</v>
      </c>
      <c r="B408" s="34" t="s">
        <v>722</v>
      </c>
      <c r="C408" s="34" t="s">
        <v>1002</v>
      </c>
      <c r="D408" s="41" t="s">
        <v>1019</v>
      </c>
      <c r="E408" s="41" t="s">
        <v>1448</v>
      </c>
      <c r="F408" s="43" t="s">
        <v>507</v>
      </c>
      <c r="G408" s="41" t="s">
        <v>28</v>
      </c>
      <c r="H408" s="41">
        <v>4</v>
      </c>
      <c r="I408" s="41" t="s">
        <v>508</v>
      </c>
      <c r="J408" s="41" t="s">
        <v>508</v>
      </c>
      <c r="K408" s="41" t="s">
        <v>509</v>
      </c>
      <c r="L408" s="65">
        <v>42.79</v>
      </c>
      <c r="M408" s="65">
        <v>42.69</v>
      </c>
      <c r="N408" s="41" t="s">
        <v>32</v>
      </c>
      <c r="O408" s="65">
        <v>35.479999999999997</v>
      </c>
      <c r="P408" s="3">
        <v>0</v>
      </c>
      <c r="Q408" s="66">
        <v>32.254007399999999</v>
      </c>
      <c r="R408" s="25">
        <v>2.1211223000000001</v>
      </c>
      <c r="S408" s="3"/>
      <c r="T408" s="3"/>
      <c r="U408" s="67">
        <f t="shared" si="43"/>
        <v>0</v>
      </c>
      <c r="V408" s="67">
        <f t="shared" si="44"/>
        <v>34.375129700000002</v>
      </c>
      <c r="W408" s="3">
        <f>O408-V408</f>
        <v>1.1048702999999946</v>
      </c>
      <c r="X408" s="3">
        <f>V408+W408</f>
        <v>35.479999999999997</v>
      </c>
      <c r="Y408" s="3"/>
      <c r="Z408" s="67">
        <f t="shared" si="45"/>
        <v>35.479999999999997</v>
      </c>
      <c r="AA408" s="67">
        <f t="shared" si="46"/>
        <v>0</v>
      </c>
      <c r="AB408" s="3"/>
      <c r="AC408" s="3"/>
      <c r="AD408" s="3"/>
      <c r="AE408" s="67">
        <f t="shared" si="47"/>
        <v>35.479999999999997</v>
      </c>
      <c r="AF408" s="67">
        <f t="shared" si="48"/>
        <v>0</v>
      </c>
    </row>
    <row r="409" spans="1:32" ht="93.6">
      <c r="A409" s="41">
        <f t="shared" si="49"/>
        <v>407</v>
      </c>
      <c r="B409" s="34" t="s">
        <v>723</v>
      </c>
      <c r="C409" s="34" t="s">
        <v>1002</v>
      </c>
      <c r="D409" s="41" t="s">
        <v>1019</v>
      </c>
      <c r="E409" s="41" t="s">
        <v>1449</v>
      </c>
      <c r="F409" s="43" t="s">
        <v>479</v>
      </c>
      <c r="G409" s="41" t="s">
        <v>28</v>
      </c>
      <c r="H409" s="41">
        <v>4</v>
      </c>
      <c r="I409" s="41" t="s">
        <v>480</v>
      </c>
      <c r="J409" s="41" t="s">
        <v>481</v>
      </c>
      <c r="K409" s="41" t="s">
        <v>481</v>
      </c>
      <c r="L409" s="65">
        <v>21.13</v>
      </c>
      <c r="M409" s="65">
        <v>31.04</v>
      </c>
      <c r="N409" s="41" t="s">
        <v>32</v>
      </c>
      <c r="O409" s="65">
        <v>33.450000000000003</v>
      </c>
      <c r="P409" s="3">
        <v>0</v>
      </c>
      <c r="Q409" s="66">
        <v>20.0986756</v>
      </c>
      <c r="R409" s="25">
        <v>0.96779789999999999</v>
      </c>
      <c r="S409" s="3"/>
      <c r="T409" s="3"/>
      <c r="U409" s="67">
        <f t="shared" si="43"/>
        <v>0</v>
      </c>
      <c r="V409" s="67">
        <f t="shared" si="44"/>
        <v>21.066473500000001</v>
      </c>
      <c r="W409" s="154">
        <f>(O409-V409)*35%</f>
        <v>4.334234275</v>
      </c>
      <c r="X409" s="3">
        <v>0</v>
      </c>
      <c r="Y409" s="3"/>
      <c r="Z409" s="67">
        <f t="shared" si="45"/>
        <v>0</v>
      </c>
      <c r="AA409" s="67">
        <f t="shared" si="46"/>
        <v>25.400707775000001</v>
      </c>
      <c r="AB409" s="3">
        <f>O409-AA409</f>
        <v>8.0492922250000021</v>
      </c>
      <c r="AC409" s="3">
        <f>AA409+AB409</f>
        <v>33.450000000000003</v>
      </c>
      <c r="AD409" s="3"/>
      <c r="AE409" s="67">
        <f t="shared" si="47"/>
        <v>33.450000000000003</v>
      </c>
      <c r="AF409" s="67">
        <f t="shared" si="48"/>
        <v>0</v>
      </c>
    </row>
    <row r="410" spans="1:32" ht="93.6">
      <c r="A410" s="41">
        <f t="shared" si="49"/>
        <v>408</v>
      </c>
      <c r="B410" s="41" t="s">
        <v>731</v>
      </c>
      <c r="C410" s="41" t="s">
        <v>876</v>
      </c>
      <c r="D410" s="41" t="s">
        <v>1019</v>
      </c>
      <c r="E410" s="41" t="s">
        <v>1450</v>
      </c>
      <c r="F410" s="43" t="s">
        <v>732</v>
      </c>
      <c r="G410" s="41"/>
      <c r="H410" s="41"/>
      <c r="I410" s="31" t="s">
        <v>1036</v>
      </c>
      <c r="J410" s="31" t="s">
        <v>1036</v>
      </c>
      <c r="K410" s="31" t="s">
        <v>1037</v>
      </c>
      <c r="L410" s="156">
        <v>6.2</v>
      </c>
      <c r="M410" s="3">
        <v>0</v>
      </c>
      <c r="N410" s="41" t="s">
        <v>516</v>
      </c>
      <c r="O410" s="3">
        <v>4.55</v>
      </c>
      <c r="P410" s="3">
        <v>0</v>
      </c>
      <c r="Q410" s="3">
        <v>1.7841035000000001</v>
      </c>
      <c r="R410" s="25">
        <v>1.5986400000000001</v>
      </c>
      <c r="S410" s="3">
        <f>4.4511981+0.1003236</f>
        <v>4.5515217000000003</v>
      </c>
      <c r="T410" s="3"/>
      <c r="U410" s="67">
        <f t="shared" si="43"/>
        <v>4.5515217000000003</v>
      </c>
      <c r="V410" s="67">
        <f t="shared" si="44"/>
        <v>-1.1687782000000002</v>
      </c>
      <c r="W410" s="69"/>
      <c r="X410" s="22"/>
      <c r="Y410" s="3"/>
      <c r="Z410" s="67">
        <f t="shared" si="45"/>
        <v>4.5515217000000003</v>
      </c>
      <c r="AA410" s="67">
        <f t="shared" si="46"/>
        <v>-1.1687782000000002</v>
      </c>
      <c r="AB410" s="3"/>
      <c r="AC410" s="3"/>
      <c r="AD410" s="3"/>
      <c r="AE410" s="67">
        <f t="shared" si="47"/>
        <v>4.5515217000000003</v>
      </c>
      <c r="AF410" s="67">
        <f t="shared" si="48"/>
        <v>-1.1687782000000002</v>
      </c>
    </row>
    <row r="411" spans="1:32" ht="62.4">
      <c r="A411" s="41">
        <f t="shared" si="49"/>
        <v>409</v>
      </c>
      <c r="B411" s="41" t="s">
        <v>736</v>
      </c>
      <c r="C411" s="34" t="s">
        <v>1002</v>
      </c>
      <c r="D411" s="34" t="s">
        <v>1019</v>
      </c>
      <c r="E411" s="41" t="s">
        <v>1451</v>
      </c>
      <c r="F411" s="43" t="s">
        <v>737</v>
      </c>
      <c r="G411" s="41"/>
      <c r="H411" s="41"/>
      <c r="I411" s="41" t="s">
        <v>738</v>
      </c>
      <c r="J411" s="41"/>
      <c r="K411" s="41"/>
      <c r="L411" s="3">
        <v>42.63</v>
      </c>
      <c r="M411" s="3">
        <v>0</v>
      </c>
      <c r="N411" s="41" t="s">
        <v>32</v>
      </c>
      <c r="O411" s="3">
        <v>40.04</v>
      </c>
      <c r="P411" s="3">
        <v>0</v>
      </c>
      <c r="Q411" s="3">
        <v>38.046617699999999</v>
      </c>
      <c r="R411" s="25">
        <v>2.0025680000000001</v>
      </c>
      <c r="S411" s="3"/>
      <c r="T411" s="3"/>
      <c r="U411" s="67">
        <f t="shared" si="43"/>
        <v>0</v>
      </c>
      <c r="V411" s="67">
        <f t="shared" si="44"/>
        <v>40.049185699999995</v>
      </c>
      <c r="W411" s="154">
        <v>0.1329034</v>
      </c>
      <c r="X411" s="67">
        <f t="shared" ref="X411:X416" si="50">V411+W411</f>
        <v>40.182089099999999</v>
      </c>
      <c r="Y411" s="3"/>
      <c r="Z411" s="67">
        <f t="shared" si="45"/>
        <v>40.182089099999999</v>
      </c>
      <c r="AA411" s="67">
        <f t="shared" si="46"/>
        <v>0</v>
      </c>
      <c r="AB411" s="3"/>
      <c r="AC411" s="3"/>
      <c r="AD411" s="3"/>
      <c r="AE411" s="67">
        <f t="shared" si="47"/>
        <v>40.182089099999999</v>
      </c>
      <c r="AF411" s="67">
        <f t="shared" si="48"/>
        <v>0</v>
      </c>
    </row>
    <row r="412" spans="1:32" ht="62.4">
      <c r="A412" s="41">
        <f t="shared" si="49"/>
        <v>410</v>
      </c>
      <c r="B412" s="41" t="s">
        <v>741</v>
      </c>
      <c r="C412" s="34" t="s">
        <v>1002</v>
      </c>
      <c r="D412" s="34" t="s">
        <v>1019</v>
      </c>
      <c r="E412" s="41" t="s">
        <v>1452</v>
      </c>
      <c r="F412" s="43" t="s">
        <v>742</v>
      </c>
      <c r="G412" s="41"/>
      <c r="H412" s="41"/>
      <c r="I412" s="41" t="s">
        <v>743</v>
      </c>
      <c r="J412" s="41"/>
      <c r="K412" s="41" t="s">
        <v>744</v>
      </c>
      <c r="L412" s="3">
        <v>12.869376000000001</v>
      </c>
      <c r="M412" s="3">
        <v>0</v>
      </c>
      <c r="N412" s="41" t="s">
        <v>32</v>
      </c>
      <c r="O412" s="3">
        <v>0</v>
      </c>
      <c r="P412" s="3">
        <v>0</v>
      </c>
      <c r="Q412" s="3">
        <v>10.175425000000001</v>
      </c>
      <c r="R412" s="25">
        <v>1.1920396</v>
      </c>
      <c r="S412" s="3"/>
      <c r="T412" s="3"/>
      <c r="U412" s="67">
        <f t="shared" si="43"/>
        <v>0</v>
      </c>
      <c r="V412" s="67">
        <f t="shared" si="44"/>
        <v>11.3674646</v>
      </c>
      <c r="W412" s="69">
        <f>L412-V412</f>
        <v>1.5019114000000009</v>
      </c>
      <c r="X412" s="67">
        <f t="shared" si="50"/>
        <v>12.869376000000001</v>
      </c>
      <c r="Y412" s="3"/>
      <c r="Z412" s="67">
        <f t="shared" si="45"/>
        <v>12.869376000000001</v>
      </c>
      <c r="AA412" s="67">
        <f t="shared" si="46"/>
        <v>0</v>
      </c>
      <c r="AB412" s="3"/>
      <c r="AC412" s="3"/>
      <c r="AD412" s="3"/>
      <c r="AE412" s="67">
        <f t="shared" si="47"/>
        <v>12.869376000000001</v>
      </c>
      <c r="AF412" s="67">
        <f t="shared" si="48"/>
        <v>0</v>
      </c>
    </row>
    <row r="413" spans="1:32" ht="46.8">
      <c r="A413" s="41">
        <f t="shared" si="49"/>
        <v>411</v>
      </c>
      <c r="B413" s="41" t="s">
        <v>747</v>
      </c>
      <c r="C413" s="41" t="s">
        <v>876</v>
      </c>
      <c r="D413" s="41" t="s">
        <v>1019</v>
      </c>
      <c r="E413" s="41" t="s">
        <v>1453</v>
      </c>
      <c r="F413" s="43" t="s">
        <v>748</v>
      </c>
      <c r="G413" s="41"/>
      <c r="H413" s="41"/>
      <c r="I413" s="31" t="s">
        <v>698</v>
      </c>
      <c r="J413" s="31" t="s">
        <v>698</v>
      </c>
      <c r="K413" s="31" t="s">
        <v>699</v>
      </c>
      <c r="L413" s="156">
        <v>6.82</v>
      </c>
      <c r="M413" s="3">
        <v>0</v>
      </c>
      <c r="N413" s="41" t="s">
        <v>32</v>
      </c>
      <c r="O413" s="3">
        <v>6.82</v>
      </c>
      <c r="P413" s="3">
        <v>0</v>
      </c>
      <c r="Q413" s="3">
        <v>0.14939330000000001</v>
      </c>
      <c r="R413" s="25">
        <v>5.3993086999999997</v>
      </c>
      <c r="S413" s="3"/>
      <c r="T413" s="3"/>
      <c r="U413" s="67">
        <f t="shared" si="43"/>
        <v>0</v>
      </c>
      <c r="V413" s="67">
        <f t="shared" si="44"/>
        <v>5.5487019999999996</v>
      </c>
      <c r="W413" s="154">
        <v>0.80429539999999999</v>
      </c>
      <c r="X413" s="67">
        <f t="shared" si="50"/>
        <v>6.3529973999999996</v>
      </c>
      <c r="Y413" s="3"/>
      <c r="Z413" s="67">
        <f t="shared" si="45"/>
        <v>6.3529973999999996</v>
      </c>
      <c r="AA413" s="67">
        <f t="shared" si="46"/>
        <v>0</v>
      </c>
      <c r="AB413" s="3"/>
      <c r="AC413" s="3"/>
      <c r="AD413" s="3"/>
      <c r="AE413" s="67">
        <f t="shared" si="47"/>
        <v>6.3529973999999996</v>
      </c>
      <c r="AF413" s="67">
        <f t="shared" si="48"/>
        <v>0</v>
      </c>
    </row>
    <row r="414" spans="1:32" ht="156">
      <c r="A414" s="41">
        <f t="shared" si="49"/>
        <v>412</v>
      </c>
      <c r="B414" s="41" t="s">
        <v>749</v>
      </c>
      <c r="C414" s="41" t="s">
        <v>876</v>
      </c>
      <c r="D414" s="41" t="s">
        <v>1019</v>
      </c>
      <c r="E414" s="41" t="s">
        <v>1454</v>
      </c>
      <c r="F414" s="43" t="s">
        <v>750</v>
      </c>
      <c r="G414" s="41"/>
      <c r="H414" s="41"/>
      <c r="I414" s="163" t="s">
        <v>831</v>
      </c>
      <c r="J414" s="163" t="s">
        <v>831</v>
      </c>
      <c r="K414" s="163" t="s">
        <v>873</v>
      </c>
      <c r="L414" s="164">
        <v>529.54999999999995</v>
      </c>
      <c r="M414" s="3">
        <v>0</v>
      </c>
      <c r="N414" s="41" t="s">
        <v>32</v>
      </c>
      <c r="O414" s="3">
        <v>416.52</v>
      </c>
      <c r="P414" s="3">
        <v>0</v>
      </c>
      <c r="Q414" s="3">
        <v>107.3932417</v>
      </c>
      <c r="R414" s="69">
        <f>67.4271517+199.0251417</f>
        <v>266.45229340000003</v>
      </c>
      <c r="S414" s="3"/>
      <c r="T414" s="3"/>
      <c r="U414" s="67">
        <f t="shared" si="43"/>
        <v>0</v>
      </c>
      <c r="V414" s="67">
        <f t="shared" si="44"/>
        <v>373.84553510000001</v>
      </c>
      <c r="W414" s="154">
        <f>O414-V414</f>
        <v>42.674464899999975</v>
      </c>
      <c r="X414" s="67">
        <f t="shared" si="50"/>
        <v>416.52</v>
      </c>
      <c r="Y414" s="3"/>
      <c r="Z414" s="67">
        <f t="shared" si="45"/>
        <v>416.52</v>
      </c>
      <c r="AA414" s="67">
        <f t="shared" si="46"/>
        <v>0</v>
      </c>
      <c r="AB414" s="3"/>
      <c r="AC414" s="3"/>
      <c r="AD414" s="3"/>
      <c r="AE414" s="67">
        <f t="shared" si="47"/>
        <v>416.52</v>
      </c>
      <c r="AF414" s="67">
        <f t="shared" si="48"/>
        <v>0</v>
      </c>
    </row>
    <row r="415" spans="1:32" ht="62.4">
      <c r="A415" s="41">
        <f t="shared" si="49"/>
        <v>413</v>
      </c>
      <c r="B415" s="41" t="s">
        <v>752</v>
      </c>
      <c r="C415" s="34" t="s">
        <v>1002</v>
      </c>
      <c r="D415" s="41" t="s">
        <v>1019</v>
      </c>
      <c r="E415" s="41" t="s">
        <v>1455</v>
      </c>
      <c r="F415" s="43" t="s">
        <v>753</v>
      </c>
      <c r="G415" s="41"/>
      <c r="H415" s="41"/>
      <c r="I415" s="41" t="s">
        <v>754</v>
      </c>
      <c r="J415" s="41"/>
      <c r="K415" s="41" t="s">
        <v>755</v>
      </c>
      <c r="L415" s="3">
        <v>12.92</v>
      </c>
      <c r="M415" s="3">
        <v>0</v>
      </c>
      <c r="N415" s="41" t="s">
        <v>516</v>
      </c>
      <c r="O415" s="3">
        <v>0</v>
      </c>
      <c r="P415" s="3">
        <v>0</v>
      </c>
      <c r="Q415" s="3">
        <v>3.3060071</v>
      </c>
      <c r="R415" s="25">
        <v>4.4653771999999998</v>
      </c>
      <c r="S415" s="3"/>
      <c r="T415" s="3"/>
      <c r="U415" s="67">
        <f t="shared" si="43"/>
        <v>0</v>
      </c>
      <c r="V415" s="67">
        <f t="shared" si="44"/>
        <v>7.7713842999999994</v>
      </c>
      <c r="W415" s="154">
        <f>L415-V415</f>
        <v>5.1486157000000006</v>
      </c>
      <c r="X415" s="67">
        <f t="shared" si="50"/>
        <v>12.92</v>
      </c>
      <c r="Y415" s="3"/>
      <c r="Z415" s="67">
        <f t="shared" si="45"/>
        <v>12.92</v>
      </c>
      <c r="AA415" s="67">
        <f t="shared" si="46"/>
        <v>0</v>
      </c>
      <c r="AB415" s="3"/>
      <c r="AC415" s="3"/>
      <c r="AD415" s="3"/>
      <c r="AE415" s="67">
        <f t="shared" si="47"/>
        <v>12.92</v>
      </c>
      <c r="AF415" s="67">
        <f t="shared" si="48"/>
        <v>0</v>
      </c>
    </row>
    <row r="416" spans="1:32" ht="46.8">
      <c r="A416" s="41">
        <f t="shared" si="49"/>
        <v>414</v>
      </c>
      <c r="B416" s="31" t="s">
        <v>756</v>
      </c>
      <c r="C416" s="31" t="s">
        <v>876</v>
      </c>
      <c r="D416" s="41" t="s">
        <v>1019</v>
      </c>
      <c r="E416" s="41" t="s">
        <v>1456</v>
      </c>
      <c r="F416" s="43" t="s">
        <v>757</v>
      </c>
      <c r="G416" s="41"/>
      <c r="H416" s="41"/>
      <c r="I416" s="31" t="s">
        <v>758</v>
      </c>
      <c r="J416" s="31" t="s">
        <v>758</v>
      </c>
      <c r="K416" s="31" t="s">
        <v>759</v>
      </c>
      <c r="L416" s="31">
        <v>124.68</v>
      </c>
      <c r="M416" s="3">
        <v>0</v>
      </c>
      <c r="N416" s="41" t="s">
        <v>32</v>
      </c>
      <c r="O416" s="3">
        <v>124.68</v>
      </c>
      <c r="P416" s="3">
        <v>0</v>
      </c>
      <c r="Q416" s="3">
        <v>1.5636000999999999</v>
      </c>
      <c r="R416" s="25">
        <v>81.873068700000005</v>
      </c>
      <c r="S416" s="3"/>
      <c r="T416" s="3"/>
      <c r="U416" s="67">
        <f t="shared" si="43"/>
        <v>0</v>
      </c>
      <c r="V416" s="67">
        <f t="shared" si="44"/>
        <v>83.436668800000007</v>
      </c>
      <c r="W416" s="154">
        <f>O416-V416</f>
        <v>41.2433312</v>
      </c>
      <c r="X416" s="67">
        <f t="shared" si="50"/>
        <v>124.68</v>
      </c>
      <c r="Y416" s="3"/>
      <c r="Z416" s="67">
        <f t="shared" si="45"/>
        <v>124.68</v>
      </c>
      <c r="AA416" s="67">
        <f t="shared" si="46"/>
        <v>0</v>
      </c>
      <c r="AB416" s="3"/>
      <c r="AC416" s="3"/>
      <c r="AD416" s="3"/>
      <c r="AE416" s="67">
        <f t="shared" si="47"/>
        <v>124.68</v>
      </c>
      <c r="AF416" s="67">
        <f t="shared" si="48"/>
        <v>0</v>
      </c>
    </row>
    <row r="417" spans="1:32" ht="46.8">
      <c r="A417" s="41">
        <f t="shared" si="49"/>
        <v>415</v>
      </c>
      <c r="B417" s="41" t="s">
        <v>761</v>
      </c>
      <c r="C417" s="41" t="s">
        <v>876</v>
      </c>
      <c r="D417" s="41" t="s">
        <v>1019</v>
      </c>
      <c r="E417" s="41" t="s">
        <v>1457</v>
      </c>
      <c r="F417" s="43" t="s">
        <v>762</v>
      </c>
      <c r="G417" s="41"/>
      <c r="H417" s="41"/>
      <c r="I417" s="31" t="s">
        <v>763</v>
      </c>
      <c r="J417" s="31" t="s">
        <v>763</v>
      </c>
      <c r="K417" s="31" t="s">
        <v>764</v>
      </c>
      <c r="L417" s="156">
        <v>8.11</v>
      </c>
      <c r="M417" s="3">
        <v>0</v>
      </c>
      <c r="N417" s="41" t="s">
        <v>32</v>
      </c>
      <c r="O417" s="3">
        <v>8.11</v>
      </c>
      <c r="P417" s="3">
        <v>0</v>
      </c>
      <c r="Q417" s="3">
        <v>1.0620000000000001</v>
      </c>
      <c r="R417" s="25">
        <v>3.9764241999999999</v>
      </c>
      <c r="S417" s="3"/>
      <c r="T417" s="3"/>
      <c r="U417" s="67">
        <f t="shared" si="43"/>
        <v>0</v>
      </c>
      <c r="V417" s="67">
        <f t="shared" si="44"/>
        <v>5.0384241999999997</v>
      </c>
      <c r="W417" s="154">
        <v>1.2742298000000001</v>
      </c>
      <c r="X417" s="67">
        <v>0</v>
      </c>
      <c r="Y417" s="3"/>
      <c r="Z417" s="67">
        <f t="shared" si="45"/>
        <v>0</v>
      </c>
      <c r="AA417" s="67">
        <f t="shared" si="46"/>
        <v>6.3126540000000002</v>
      </c>
      <c r="AB417" s="3">
        <f>O417-AA417</f>
        <v>1.7973459999999992</v>
      </c>
      <c r="AC417" s="3">
        <f>AA417+AB417</f>
        <v>8.11</v>
      </c>
      <c r="AD417" s="3"/>
      <c r="AE417" s="67">
        <f t="shared" si="47"/>
        <v>8.11</v>
      </c>
      <c r="AF417" s="67">
        <f t="shared" si="48"/>
        <v>0</v>
      </c>
    </row>
    <row r="418" spans="1:32" ht="109.2">
      <c r="A418" s="41">
        <f t="shared" si="49"/>
        <v>416</v>
      </c>
      <c r="B418" s="41" t="s">
        <v>766</v>
      </c>
      <c r="C418" s="41" t="s">
        <v>885</v>
      </c>
      <c r="D418" s="41"/>
      <c r="E418" s="41" t="s">
        <v>30</v>
      </c>
      <c r="F418" s="43" t="s">
        <v>767</v>
      </c>
      <c r="G418" s="41"/>
      <c r="H418" s="41"/>
      <c r="I418" s="41"/>
      <c r="J418" s="41"/>
      <c r="K418" s="41"/>
      <c r="L418" s="3"/>
      <c r="M418" s="3"/>
      <c r="N418" s="41" t="s">
        <v>67</v>
      </c>
      <c r="O418" s="3">
        <v>0</v>
      </c>
      <c r="P418" s="3">
        <v>0</v>
      </c>
      <c r="Q418" s="3">
        <v>2.9499999999999998E-2</v>
      </c>
      <c r="R418" s="69"/>
      <c r="S418" s="3"/>
      <c r="T418" s="3"/>
      <c r="U418" s="67">
        <f t="shared" si="43"/>
        <v>0</v>
      </c>
      <c r="V418" s="67">
        <f t="shared" si="44"/>
        <v>2.9499999999999998E-2</v>
      </c>
      <c r="W418" s="3"/>
      <c r="X418" s="3"/>
      <c r="Y418" s="3"/>
      <c r="Z418" s="67">
        <f t="shared" si="45"/>
        <v>0</v>
      </c>
      <c r="AA418" s="67">
        <f t="shared" si="46"/>
        <v>2.9499999999999998E-2</v>
      </c>
      <c r="AB418" s="3"/>
      <c r="AC418" s="3"/>
      <c r="AD418" s="3"/>
      <c r="AE418" s="67">
        <f t="shared" si="47"/>
        <v>0</v>
      </c>
      <c r="AF418" s="67">
        <f t="shared" si="48"/>
        <v>2.9499999999999998E-2</v>
      </c>
    </row>
    <row r="419" spans="1:32" ht="78">
      <c r="A419" s="41">
        <f t="shared" si="49"/>
        <v>417</v>
      </c>
      <c r="B419" s="41" t="s">
        <v>768</v>
      </c>
      <c r="C419" s="41" t="s">
        <v>885</v>
      </c>
      <c r="D419" s="42" t="s">
        <v>1019</v>
      </c>
      <c r="E419" s="41" t="s">
        <v>1458</v>
      </c>
      <c r="F419" s="43" t="s">
        <v>769</v>
      </c>
      <c r="G419" s="41"/>
      <c r="H419" s="41"/>
      <c r="I419" s="41"/>
      <c r="J419" s="41"/>
      <c r="K419" s="41"/>
      <c r="L419" s="3">
        <v>0</v>
      </c>
      <c r="M419" s="3">
        <v>0</v>
      </c>
      <c r="N419" s="41" t="s">
        <v>516</v>
      </c>
      <c r="O419" s="3">
        <v>0</v>
      </c>
      <c r="P419" s="3">
        <v>0</v>
      </c>
      <c r="Q419" s="3">
        <v>1.7064865</v>
      </c>
      <c r="R419" s="25">
        <v>8.1382399999999994E-2</v>
      </c>
      <c r="S419" s="3">
        <f>1.7038001+0.0813824</f>
        <v>1.7851825000000001</v>
      </c>
      <c r="T419" s="3"/>
      <c r="U419" s="67">
        <f t="shared" si="43"/>
        <v>1.7851825000000001</v>
      </c>
      <c r="V419" s="67">
        <f t="shared" si="44"/>
        <v>2.6863999999999777E-3</v>
      </c>
      <c r="W419" s="69"/>
      <c r="X419" s="67"/>
      <c r="Y419" s="3"/>
      <c r="Z419" s="67">
        <f t="shared" si="45"/>
        <v>1.7851825000000001</v>
      </c>
      <c r="AA419" s="67">
        <f t="shared" si="46"/>
        <v>2.6863999999999777E-3</v>
      </c>
      <c r="AB419" s="3"/>
      <c r="AC419" s="3"/>
      <c r="AD419" s="3"/>
      <c r="AE419" s="67">
        <f t="shared" si="47"/>
        <v>1.7851825000000001</v>
      </c>
      <c r="AF419" s="67">
        <f t="shared" si="48"/>
        <v>2.6863999999999777E-3</v>
      </c>
    </row>
    <row r="420" spans="1:32" ht="93.6">
      <c r="A420" s="41">
        <f t="shared" si="49"/>
        <v>418</v>
      </c>
      <c r="B420" s="41" t="s">
        <v>770</v>
      </c>
      <c r="C420" s="41" t="s">
        <v>876</v>
      </c>
      <c r="D420" s="41" t="s">
        <v>1019</v>
      </c>
      <c r="E420" s="41" t="s">
        <v>1459</v>
      </c>
      <c r="F420" s="43" t="s">
        <v>771</v>
      </c>
      <c r="G420" s="41"/>
      <c r="H420" s="41"/>
      <c r="I420" s="31" t="s">
        <v>772</v>
      </c>
      <c r="J420" s="31" t="s">
        <v>772</v>
      </c>
      <c r="K420" s="31" t="s">
        <v>773</v>
      </c>
      <c r="L420" s="156">
        <v>33.909999999999997</v>
      </c>
      <c r="M420" s="3">
        <v>0</v>
      </c>
      <c r="N420" s="41" t="s">
        <v>32</v>
      </c>
      <c r="O420" s="3">
        <v>33.909999999999997</v>
      </c>
      <c r="P420" s="3">
        <v>0</v>
      </c>
      <c r="Q420" s="3">
        <v>30.042192199999999</v>
      </c>
      <c r="R420" s="69"/>
      <c r="S420" s="3">
        <f>16.3077643+13.7344279+0.445909909864459+0.273129516007824-0.718962163640826</f>
        <v>30.042269462231456</v>
      </c>
      <c r="T420" s="3">
        <v>0.71896216364082599</v>
      </c>
      <c r="U420" s="67">
        <f t="shared" si="43"/>
        <v>30.761231625872281</v>
      </c>
      <c r="V420" s="67">
        <f t="shared" si="44"/>
        <v>-0.71903942587228309</v>
      </c>
      <c r="W420" s="154">
        <f>O420-U420-V420</f>
        <v>3.8678077999999991</v>
      </c>
      <c r="X420" s="67">
        <f>V420+W420</f>
        <v>3.1487683741277159</v>
      </c>
      <c r="Y420" s="3"/>
      <c r="Z420" s="67">
        <f t="shared" si="45"/>
        <v>33.909999999999997</v>
      </c>
      <c r="AA420" s="67">
        <f t="shared" si="46"/>
        <v>0</v>
      </c>
      <c r="AB420" s="3"/>
      <c r="AC420" s="3"/>
      <c r="AD420" s="3"/>
      <c r="AE420" s="67">
        <f t="shared" si="47"/>
        <v>33.909999999999997</v>
      </c>
      <c r="AF420" s="67">
        <f t="shared" si="48"/>
        <v>0</v>
      </c>
    </row>
    <row r="421" spans="1:32" ht="78">
      <c r="A421" s="41">
        <f t="shared" si="49"/>
        <v>419</v>
      </c>
      <c r="B421" s="41" t="s">
        <v>776</v>
      </c>
      <c r="C421" s="41" t="s">
        <v>876</v>
      </c>
      <c r="D421" s="41" t="s">
        <v>1019</v>
      </c>
      <c r="E421" s="41" t="s">
        <v>1460</v>
      </c>
      <c r="F421" s="43" t="s">
        <v>777</v>
      </c>
      <c r="G421" s="41"/>
      <c r="H421" s="41"/>
      <c r="I421" s="31" t="s">
        <v>1038</v>
      </c>
      <c r="J421" s="31" t="s">
        <v>1038</v>
      </c>
      <c r="K421" s="31" t="s">
        <v>1039</v>
      </c>
      <c r="L421" s="156">
        <v>7.32</v>
      </c>
      <c r="M421" s="3">
        <v>0</v>
      </c>
      <c r="N421" s="41" t="s">
        <v>516</v>
      </c>
      <c r="O421" s="3">
        <v>8.94</v>
      </c>
      <c r="P421" s="3">
        <v>0</v>
      </c>
      <c r="Q421" s="3">
        <v>7.1806482000000003</v>
      </c>
      <c r="R421" s="25">
        <v>0.70727490000000004</v>
      </c>
      <c r="S421" s="3"/>
      <c r="T421" s="3"/>
      <c r="U421" s="67">
        <f t="shared" si="43"/>
        <v>0</v>
      </c>
      <c r="V421" s="67">
        <f t="shared" si="44"/>
        <v>7.8879231000000001</v>
      </c>
      <c r="W421" s="69">
        <f>O421-V421</f>
        <v>1.0520768999999994</v>
      </c>
      <c r="X421" s="3">
        <f>V421+W421</f>
        <v>8.94</v>
      </c>
      <c r="Y421" s="3"/>
      <c r="Z421" s="67">
        <f t="shared" si="45"/>
        <v>8.94</v>
      </c>
      <c r="AA421" s="67">
        <f t="shared" si="46"/>
        <v>0</v>
      </c>
      <c r="AB421" s="3"/>
      <c r="AC421" s="3"/>
      <c r="AD421" s="3"/>
      <c r="AE421" s="67">
        <f t="shared" si="47"/>
        <v>8.94</v>
      </c>
      <c r="AF421" s="67">
        <f t="shared" si="48"/>
        <v>0</v>
      </c>
    </row>
    <row r="422" spans="1:32" ht="78">
      <c r="A422" s="41">
        <f t="shared" si="49"/>
        <v>420</v>
      </c>
      <c r="B422" s="41" t="s">
        <v>1021</v>
      </c>
      <c r="C422" s="41" t="s">
        <v>885</v>
      </c>
      <c r="D422" s="41"/>
      <c r="E422" s="41" t="s">
        <v>30</v>
      </c>
      <c r="F422" s="43" t="s">
        <v>778</v>
      </c>
      <c r="G422" s="41"/>
      <c r="H422" s="41"/>
      <c r="I422" s="41"/>
      <c r="J422" s="41"/>
      <c r="K422" s="41"/>
      <c r="L422" s="3"/>
      <c r="M422" s="3"/>
      <c r="N422" s="41" t="s">
        <v>67</v>
      </c>
      <c r="O422" s="3">
        <v>0</v>
      </c>
      <c r="P422" s="3">
        <v>0</v>
      </c>
      <c r="Q422" s="3">
        <v>2.3599999999999999E-2</v>
      </c>
      <c r="R422" s="69"/>
      <c r="S422" s="3"/>
      <c r="T422" s="3"/>
      <c r="U422" s="67">
        <f t="shared" si="43"/>
        <v>0</v>
      </c>
      <c r="V422" s="67">
        <f t="shared" si="44"/>
        <v>2.3599999999999999E-2</v>
      </c>
      <c r="W422" s="3"/>
      <c r="X422" s="3"/>
      <c r="Y422" s="3"/>
      <c r="Z422" s="67">
        <f t="shared" si="45"/>
        <v>0</v>
      </c>
      <c r="AA422" s="67">
        <f t="shared" si="46"/>
        <v>2.3599999999999999E-2</v>
      </c>
      <c r="AB422" s="3"/>
      <c r="AC422" s="3"/>
      <c r="AD422" s="3"/>
      <c r="AE422" s="67">
        <f t="shared" si="47"/>
        <v>0</v>
      </c>
      <c r="AF422" s="67">
        <f t="shared" si="48"/>
        <v>2.3599999999999999E-2</v>
      </c>
    </row>
    <row r="423" spans="1:32" ht="46.8">
      <c r="A423" s="41">
        <f t="shared" si="49"/>
        <v>421</v>
      </c>
      <c r="B423" s="41" t="s">
        <v>825</v>
      </c>
      <c r="C423" s="34" t="s">
        <v>1002</v>
      </c>
      <c r="D423" s="41" t="s">
        <v>1019</v>
      </c>
      <c r="E423" s="41" t="s">
        <v>1461</v>
      </c>
      <c r="F423" s="43" t="s">
        <v>883</v>
      </c>
      <c r="G423" s="41"/>
      <c r="H423" s="41"/>
      <c r="I423" s="41" t="s">
        <v>781</v>
      </c>
      <c r="J423" s="41"/>
      <c r="K423" s="41"/>
      <c r="L423" s="3">
        <v>30.13</v>
      </c>
      <c r="M423" s="3">
        <v>0</v>
      </c>
      <c r="N423" s="41" t="s">
        <v>67</v>
      </c>
      <c r="O423" s="3">
        <v>33.9</v>
      </c>
      <c r="P423" s="3">
        <v>0</v>
      </c>
      <c r="Q423" s="3">
        <v>10.772880199999999</v>
      </c>
      <c r="R423" s="69">
        <v>18.946118999999999</v>
      </c>
      <c r="S423" s="3"/>
      <c r="T423" s="3"/>
      <c r="U423" s="67">
        <f t="shared" si="43"/>
        <v>0</v>
      </c>
      <c r="V423" s="67">
        <f t="shared" si="44"/>
        <v>29.718999199999999</v>
      </c>
      <c r="W423" s="69">
        <f>O423-V423</f>
        <v>4.1810007999999996</v>
      </c>
      <c r="X423" s="67">
        <f>V423+W423</f>
        <v>33.9</v>
      </c>
      <c r="Y423" s="3"/>
      <c r="Z423" s="67">
        <f t="shared" si="45"/>
        <v>33.9</v>
      </c>
      <c r="AA423" s="67">
        <f t="shared" si="46"/>
        <v>0</v>
      </c>
      <c r="AB423" s="3"/>
      <c r="AC423" s="3"/>
      <c r="AD423" s="3"/>
      <c r="AE423" s="67">
        <f t="shared" si="47"/>
        <v>33.9</v>
      </c>
      <c r="AF423" s="67">
        <f t="shared" si="48"/>
        <v>0</v>
      </c>
    </row>
    <row r="424" spans="1:32" ht="78">
      <c r="A424" s="41">
        <f t="shared" si="49"/>
        <v>422</v>
      </c>
      <c r="B424" s="41" t="s">
        <v>784</v>
      </c>
      <c r="C424" s="41" t="s">
        <v>885</v>
      </c>
      <c r="D424" s="41"/>
      <c r="E424" s="41"/>
      <c r="F424" s="43" t="s">
        <v>785</v>
      </c>
      <c r="G424" s="41"/>
      <c r="H424" s="41"/>
      <c r="I424" s="41"/>
      <c r="J424" s="41"/>
      <c r="K424" s="41"/>
      <c r="L424" s="3"/>
      <c r="M424" s="3"/>
      <c r="N424" s="41" t="s">
        <v>67</v>
      </c>
      <c r="O424" s="3">
        <v>0</v>
      </c>
      <c r="P424" s="3">
        <v>0</v>
      </c>
      <c r="Q424" s="3">
        <v>1.06752</v>
      </c>
      <c r="R424" s="69"/>
      <c r="S424" s="3"/>
      <c r="T424" s="3"/>
      <c r="U424" s="67">
        <f t="shared" si="43"/>
        <v>0</v>
      </c>
      <c r="V424" s="67">
        <f t="shared" si="44"/>
        <v>1.06752</v>
      </c>
      <c r="W424" s="3"/>
      <c r="X424" s="3"/>
      <c r="Y424" s="3"/>
      <c r="Z424" s="67">
        <f t="shared" si="45"/>
        <v>0</v>
      </c>
      <c r="AA424" s="67">
        <f t="shared" si="46"/>
        <v>1.06752</v>
      </c>
      <c r="AB424" s="3"/>
      <c r="AC424" s="3"/>
      <c r="AD424" s="3"/>
      <c r="AE424" s="67">
        <f t="shared" si="47"/>
        <v>0</v>
      </c>
      <c r="AF424" s="67">
        <f t="shared" si="48"/>
        <v>1.06752</v>
      </c>
    </row>
    <row r="425" spans="1:32" ht="62.4">
      <c r="A425" s="41">
        <f t="shared" si="49"/>
        <v>423</v>
      </c>
      <c r="B425" s="41" t="s">
        <v>787</v>
      </c>
      <c r="C425" s="41" t="s">
        <v>885</v>
      </c>
      <c r="D425" s="41"/>
      <c r="E425" s="41" t="s">
        <v>30</v>
      </c>
      <c r="F425" s="43" t="s">
        <v>788</v>
      </c>
      <c r="G425" s="41"/>
      <c r="H425" s="41"/>
      <c r="I425" s="41"/>
      <c r="J425" s="41"/>
      <c r="K425" s="41"/>
      <c r="L425" s="3"/>
      <c r="M425" s="3"/>
      <c r="N425" s="41" t="s">
        <v>67</v>
      </c>
      <c r="O425" s="3">
        <v>0</v>
      </c>
      <c r="P425" s="3">
        <v>0</v>
      </c>
      <c r="Q425" s="3">
        <v>0.46462500000000001</v>
      </c>
      <c r="R425" s="69"/>
      <c r="S425" s="3"/>
      <c r="T425" s="3"/>
      <c r="U425" s="67">
        <f t="shared" si="43"/>
        <v>0</v>
      </c>
      <c r="V425" s="67">
        <f t="shared" si="44"/>
        <v>0.46462500000000001</v>
      </c>
      <c r="W425" s="3"/>
      <c r="X425" s="3"/>
      <c r="Y425" s="3"/>
      <c r="Z425" s="67">
        <f t="shared" si="45"/>
        <v>0</v>
      </c>
      <c r="AA425" s="67">
        <f t="shared" si="46"/>
        <v>0.46462500000000001</v>
      </c>
      <c r="AB425" s="3"/>
      <c r="AC425" s="3"/>
      <c r="AD425" s="3"/>
      <c r="AE425" s="67">
        <f t="shared" si="47"/>
        <v>0</v>
      </c>
      <c r="AF425" s="67">
        <f t="shared" si="48"/>
        <v>0.46462500000000001</v>
      </c>
    </row>
    <row r="426" spans="1:32" ht="62.4">
      <c r="A426" s="41">
        <f t="shared" si="49"/>
        <v>424</v>
      </c>
      <c r="B426" s="41" t="s">
        <v>810</v>
      </c>
      <c r="C426" s="41" t="s">
        <v>876</v>
      </c>
      <c r="D426" s="34" t="s">
        <v>1016</v>
      </c>
      <c r="E426" s="41" t="s">
        <v>1462</v>
      </c>
      <c r="F426" s="43" t="s">
        <v>811</v>
      </c>
      <c r="G426" s="41" t="s">
        <v>81</v>
      </c>
      <c r="H426" s="63">
        <v>3</v>
      </c>
      <c r="I426" s="64">
        <v>42674</v>
      </c>
      <c r="J426" s="64">
        <v>42674</v>
      </c>
      <c r="K426" s="64">
        <v>43131</v>
      </c>
      <c r="L426" s="65">
        <v>44</v>
      </c>
      <c r="M426" s="65">
        <v>44</v>
      </c>
      <c r="N426" s="41" t="s">
        <v>82</v>
      </c>
      <c r="O426" s="65">
        <v>44.39</v>
      </c>
      <c r="P426" s="66">
        <v>45.73</v>
      </c>
      <c r="Q426" s="66">
        <v>4.0500895000000003</v>
      </c>
      <c r="R426" s="69"/>
      <c r="S426" s="3"/>
      <c r="T426" s="3"/>
      <c r="U426" s="67">
        <f t="shared" si="43"/>
        <v>45.73</v>
      </c>
      <c r="V426" s="67">
        <f t="shared" si="44"/>
        <v>4.0500895000000003</v>
      </c>
      <c r="W426" s="3"/>
      <c r="X426" s="3">
        <f>V426</f>
        <v>4.0500895000000003</v>
      </c>
      <c r="Y426" s="3"/>
      <c r="Z426" s="67">
        <f t="shared" si="45"/>
        <v>49.780089499999995</v>
      </c>
      <c r="AA426" s="67">
        <f t="shared" si="46"/>
        <v>0</v>
      </c>
      <c r="AB426" s="3"/>
      <c r="AC426" s="3"/>
      <c r="AD426" s="3"/>
      <c r="AE426" s="67">
        <f t="shared" si="47"/>
        <v>49.780089499999995</v>
      </c>
      <c r="AF426" s="67">
        <f t="shared" si="48"/>
        <v>0</v>
      </c>
    </row>
    <row r="427" spans="1:32" ht="62.4">
      <c r="A427" s="41">
        <f t="shared" si="49"/>
        <v>425</v>
      </c>
      <c r="B427" s="41" t="s">
        <v>812</v>
      </c>
      <c r="C427" s="41" t="s">
        <v>876</v>
      </c>
      <c r="D427" s="41"/>
      <c r="E427" s="41" t="s">
        <v>30</v>
      </c>
      <c r="F427" s="43" t="s">
        <v>813</v>
      </c>
      <c r="G427" s="41"/>
      <c r="H427" s="41"/>
      <c r="I427" s="41"/>
      <c r="J427" s="41"/>
      <c r="K427" s="41"/>
      <c r="L427" s="3"/>
      <c r="M427" s="3"/>
      <c r="N427" s="41" t="s">
        <v>82</v>
      </c>
      <c r="O427" s="3">
        <v>0</v>
      </c>
      <c r="P427" s="3">
        <v>0</v>
      </c>
      <c r="Q427" s="3">
        <v>0.72056089999999995</v>
      </c>
      <c r="R427" s="69"/>
      <c r="S427" s="3"/>
      <c r="T427" s="3"/>
      <c r="U427" s="67">
        <f t="shared" si="43"/>
        <v>0</v>
      </c>
      <c r="V427" s="67">
        <f t="shared" si="44"/>
        <v>0.72056089999999995</v>
      </c>
      <c r="W427" s="3"/>
      <c r="X427" s="3">
        <f>V427</f>
        <v>0.72056089999999995</v>
      </c>
      <c r="Y427" s="3"/>
      <c r="Z427" s="67">
        <f t="shared" si="45"/>
        <v>0.72056089999999995</v>
      </c>
      <c r="AA427" s="67">
        <f t="shared" si="46"/>
        <v>0</v>
      </c>
      <c r="AB427" s="3"/>
      <c r="AC427" s="3"/>
      <c r="AD427" s="3"/>
      <c r="AE427" s="67">
        <f t="shared" si="47"/>
        <v>0.72056089999999995</v>
      </c>
      <c r="AF427" s="67">
        <f t="shared" si="48"/>
        <v>0</v>
      </c>
    </row>
    <row r="428" spans="1:32" ht="156">
      <c r="A428" s="41">
        <f t="shared" si="49"/>
        <v>426</v>
      </c>
      <c r="B428" s="41" t="s">
        <v>814</v>
      </c>
      <c r="C428" s="41" t="s">
        <v>876</v>
      </c>
      <c r="D428" s="41" t="s">
        <v>1019</v>
      </c>
      <c r="E428" s="41" t="s">
        <v>1463</v>
      </c>
      <c r="F428" s="76" t="s">
        <v>815</v>
      </c>
      <c r="G428" s="41"/>
      <c r="H428" s="41"/>
      <c r="I428" s="31" t="s">
        <v>718</v>
      </c>
      <c r="J428" s="31" t="s">
        <v>718</v>
      </c>
      <c r="K428" s="31" t="s">
        <v>719</v>
      </c>
      <c r="L428" s="156">
        <v>34.6</v>
      </c>
      <c r="M428" s="3">
        <v>0</v>
      </c>
      <c r="N428" s="41" t="s">
        <v>29</v>
      </c>
      <c r="O428" s="3">
        <v>34.6</v>
      </c>
      <c r="P428" s="3">
        <v>0</v>
      </c>
      <c r="Q428" s="3">
        <v>0</v>
      </c>
      <c r="R428" s="25">
        <f>7.8932859+1.21265</f>
        <v>9.1059359000000004</v>
      </c>
      <c r="S428" s="3"/>
      <c r="T428" s="3"/>
      <c r="U428" s="67">
        <f t="shared" si="43"/>
        <v>0</v>
      </c>
      <c r="V428" s="67">
        <f t="shared" si="44"/>
        <v>9.1059359000000004</v>
      </c>
      <c r="W428" s="154">
        <f>O428-V428</f>
        <v>25.494064100000003</v>
      </c>
      <c r="X428" s="3">
        <f>V428+W428</f>
        <v>34.6</v>
      </c>
      <c r="Y428" s="3"/>
      <c r="Z428" s="67">
        <f t="shared" si="45"/>
        <v>34.6</v>
      </c>
      <c r="AA428" s="67">
        <f t="shared" si="46"/>
        <v>0</v>
      </c>
      <c r="AB428" s="3"/>
      <c r="AC428" s="3"/>
      <c r="AD428" s="3"/>
      <c r="AE428" s="67">
        <f t="shared" si="47"/>
        <v>34.6</v>
      </c>
      <c r="AF428" s="67">
        <f t="shared" si="48"/>
        <v>0</v>
      </c>
    </row>
    <row r="429" spans="1:32" ht="109.2">
      <c r="A429" s="41">
        <f t="shared" si="49"/>
        <v>427</v>
      </c>
      <c r="B429" s="41" t="s">
        <v>816</v>
      </c>
      <c r="C429" s="34" t="s">
        <v>1002</v>
      </c>
      <c r="D429" s="41" t="s">
        <v>1019</v>
      </c>
      <c r="E429" s="41" t="s">
        <v>1464</v>
      </c>
      <c r="F429" s="43" t="s">
        <v>817</v>
      </c>
      <c r="G429" s="41"/>
      <c r="H429" s="41"/>
      <c r="I429" s="41" t="s">
        <v>818</v>
      </c>
      <c r="J429" s="41"/>
      <c r="K429" s="41" t="s">
        <v>819</v>
      </c>
      <c r="L429" s="3">
        <v>0</v>
      </c>
      <c r="M429" s="3">
        <v>0</v>
      </c>
      <c r="N429" s="41" t="s">
        <v>516</v>
      </c>
      <c r="O429" s="3">
        <v>0</v>
      </c>
      <c r="P429" s="3">
        <v>0</v>
      </c>
      <c r="Q429" s="3">
        <v>0</v>
      </c>
      <c r="R429" s="25">
        <v>16.905749100000001</v>
      </c>
      <c r="S429" s="3"/>
      <c r="T429" s="3"/>
      <c r="U429" s="67">
        <f t="shared" si="43"/>
        <v>0</v>
      </c>
      <c r="V429" s="67">
        <f t="shared" si="44"/>
        <v>16.905749100000001</v>
      </c>
      <c r="W429" s="69">
        <v>0</v>
      </c>
      <c r="X429" s="67">
        <f>V429</f>
        <v>16.905749100000001</v>
      </c>
      <c r="Y429" s="3"/>
      <c r="Z429" s="67">
        <f t="shared" si="45"/>
        <v>16.905749100000001</v>
      </c>
      <c r="AA429" s="67">
        <f t="shared" si="46"/>
        <v>0</v>
      </c>
      <c r="AB429" s="3"/>
      <c r="AC429" s="3"/>
      <c r="AD429" s="3"/>
      <c r="AE429" s="67">
        <f t="shared" si="47"/>
        <v>16.905749100000001</v>
      </c>
      <c r="AF429" s="67">
        <f t="shared" si="48"/>
        <v>0</v>
      </c>
    </row>
    <row r="430" spans="1:32" ht="93.6">
      <c r="A430" s="41">
        <f t="shared" si="49"/>
        <v>428</v>
      </c>
      <c r="B430" s="41" t="s">
        <v>820</v>
      </c>
      <c r="C430" s="34" t="s">
        <v>1002</v>
      </c>
      <c r="D430" s="34" t="s">
        <v>1019</v>
      </c>
      <c r="E430" s="41" t="s">
        <v>1465</v>
      </c>
      <c r="F430" s="43" t="s">
        <v>821</v>
      </c>
      <c r="G430" s="41"/>
      <c r="H430" s="41"/>
      <c r="I430" s="41" t="s">
        <v>822</v>
      </c>
      <c r="J430" s="41"/>
      <c r="K430" s="41" t="s">
        <v>823</v>
      </c>
      <c r="L430" s="3">
        <v>43.54</v>
      </c>
      <c r="M430" s="3">
        <v>0</v>
      </c>
      <c r="N430" s="41" t="s">
        <v>516</v>
      </c>
      <c r="O430" s="3"/>
      <c r="P430" s="3">
        <v>0</v>
      </c>
      <c r="Q430" s="3">
        <v>0</v>
      </c>
      <c r="R430" s="25">
        <v>43.096054500000001</v>
      </c>
      <c r="S430" s="3"/>
      <c r="T430" s="3"/>
      <c r="U430" s="67">
        <f t="shared" si="43"/>
        <v>0</v>
      </c>
      <c r="V430" s="67">
        <f t="shared" si="44"/>
        <v>43.096054500000001</v>
      </c>
      <c r="W430" s="154">
        <f>0.7537771+1.9899482</f>
        <v>2.7437252999999999</v>
      </c>
      <c r="X430" s="67">
        <f>V430+W430</f>
        <v>45.839779800000002</v>
      </c>
      <c r="Y430" s="3"/>
      <c r="Z430" s="67">
        <f t="shared" si="45"/>
        <v>45.839779800000002</v>
      </c>
      <c r="AA430" s="67">
        <f t="shared" si="46"/>
        <v>0</v>
      </c>
      <c r="AB430" s="3"/>
      <c r="AC430" s="3"/>
      <c r="AD430" s="3"/>
      <c r="AE430" s="67">
        <f t="shared" si="47"/>
        <v>45.839779800000002</v>
      </c>
      <c r="AF430" s="67">
        <f t="shared" si="48"/>
        <v>0</v>
      </c>
    </row>
    <row r="431" spans="1:32" ht="46.8">
      <c r="A431" s="41">
        <f t="shared" si="49"/>
        <v>429</v>
      </c>
      <c r="B431" s="41" t="s">
        <v>825</v>
      </c>
      <c r="C431" s="41" t="s">
        <v>885</v>
      </c>
      <c r="D431" s="41" t="s">
        <v>1019</v>
      </c>
      <c r="E431" s="41" t="s">
        <v>1461</v>
      </c>
      <c r="F431" s="76" t="s">
        <v>990</v>
      </c>
      <c r="G431" s="41"/>
      <c r="H431" s="41"/>
      <c r="I431" s="41"/>
      <c r="J431" s="41"/>
      <c r="K431" s="41"/>
      <c r="L431" s="3">
        <v>0</v>
      </c>
      <c r="M431" s="3">
        <v>0</v>
      </c>
      <c r="N431" s="41" t="s">
        <v>67</v>
      </c>
      <c r="O431" s="3">
        <v>0</v>
      </c>
      <c r="P431" s="3">
        <v>0</v>
      </c>
      <c r="Q431" s="3">
        <v>0</v>
      </c>
      <c r="R431" s="3"/>
      <c r="S431" s="3"/>
      <c r="T431" s="3"/>
      <c r="U431" s="67">
        <f t="shared" si="43"/>
        <v>0</v>
      </c>
      <c r="V431" s="67">
        <f t="shared" si="44"/>
        <v>0</v>
      </c>
      <c r="W431" s="69"/>
      <c r="X431" s="3"/>
      <c r="Y431" s="3"/>
      <c r="Z431" s="67">
        <f t="shared" si="45"/>
        <v>0</v>
      </c>
      <c r="AA431" s="67">
        <f t="shared" si="46"/>
        <v>0</v>
      </c>
      <c r="AB431" s="3"/>
      <c r="AC431" s="3"/>
      <c r="AD431" s="3"/>
      <c r="AE431" s="67">
        <f t="shared" si="47"/>
        <v>0</v>
      </c>
      <c r="AF431" s="67">
        <f t="shared" si="48"/>
        <v>0</v>
      </c>
    </row>
    <row r="432" spans="1:32" ht="62.4">
      <c r="A432" s="41">
        <f t="shared" si="49"/>
        <v>430</v>
      </c>
      <c r="B432" s="41" t="s">
        <v>826</v>
      </c>
      <c r="C432" s="34" t="s">
        <v>1002</v>
      </c>
      <c r="D432" s="41" t="s">
        <v>1019</v>
      </c>
      <c r="E432" s="41" t="s">
        <v>30</v>
      </c>
      <c r="F432" s="43" t="s">
        <v>827</v>
      </c>
      <c r="G432" s="41"/>
      <c r="H432" s="41"/>
      <c r="I432" s="41" t="s">
        <v>781</v>
      </c>
      <c r="J432" s="41"/>
      <c r="K432" s="41" t="s">
        <v>828</v>
      </c>
      <c r="L432" s="3">
        <v>0</v>
      </c>
      <c r="M432" s="3">
        <v>0</v>
      </c>
      <c r="N432" s="41" t="s">
        <v>67</v>
      </c>
      <c r="O432" s="3">
        <v>17.399999999999999</v>
      </c>
      <c r="P432" s="3">
        <v>0</v>
      </c>
      <c r="Q432" s="3">
        <v>0</v>
      </c>
      <c r="R432" s="25">
        <v>8.5742256000000001</v>
      </c>
      <c r="S432" s="3"/>
      <c r="T432" s="3"/>
      <c r="U432" s="67">
        <f t="shared" si="43"/>
        <v>0</v>
      </c>
      <c r="V432" s="67">
        <f t="shared" si="44"/>
        <v>8.5742256000000001</v>
      </c>
      <c r="W432" s="154">
        <f>(O432-U432-V432)</f>
        <v>8.8257743999999985</v>
      </c>
      <c r="X432" s="67">
        <f>V432+W432</f>
        <v>17.399999999999999</v>
      </c>
      <c r="Y432" s="3"/>
      <c r="Z432" s="67">
        <f t="shared" si="45"/>
        <v>17.399999999999999</v>
      </c>
      <c r="AA432" s="67">
        <f t="shared" si="46"/>
        <v>0</v>
      </c>
      <c r="AB432" s="3"/>
      <c r="AC432" s="3"/>
      <c r="AD432" s="3"/>
      <c r="AE432" s="67">
        <f t="shared" si="47"/>
        <v>17.399999999999999</v>
      </c>
      <c r="AF432" s="67">
        <f t="shared" si="48"/>
        <v>0</v>
      </c>
    </row>
    <row r="433" spans="1:32" ht="78">
      <c r="A433" s="41">
        <f t="shared" si="49"/>
        <v>431</v>
      </c>
      <c r="B433" s="41" t="s">
        <v>829</v>
      </c>
      <c r="C433" s="41" t="s">
        <v>876</v>
      </c>
      <c r="D433" s="41" t="s">
        <v>1019</v>
      </c>
      <c r="E433" s="41" t="s">
        <v>1466</v>
      </c>
      <c r="F433" s="43" t="s">
        <v>830</v>
      </c>
      <c r="G433" s="41"/>
      <c r="H433" s="41"/>
      <c r="I433" s="31" t="s">
        <v>718</v>
      </c>
      <c r="J433" s="31" t="s">
        <v>718</v>
      </c>
      <c r="K433" s="31" t="s">
        <v>719</v>
      </c>
      <c r="L433" s="156">
        <v>89.65</v>
      </c>
      <c r="M433" s="3">
        <v>0</v>
      </c>
      <c r="N433" s="41" t="s">
        <v>29</v>
      </c>
      <c r="O433" s="3">
        <v>89.65</v>
      </c>
      <c r="P433" s="3">
        <v>0</v>
      </c>
      <c r="Q433" s="3">
        <v>0</v>
      </c>
      <c r="R433" s="25">
        <v>28.9941268</v>
      </c>
      <c r="S433" s="3"/>
      <c r="T433" s="3"/>
      <c r="U433" s="67">
        <f t="shared" si="43"/>
        <v>0</v>
      </c>
      <c r="V433" s="67">
        <f t="shared" si="44"/>
        <v>28.9941268</v>
      </c>
      <c r="W433" s="154">
        <v>48.56</v>
      </c>
      <c r="X433" s="3"/>
      <c r="Y433" s="3"/>
      <c r="Z433" s="67">
        <f t="shared" si="45"/>
        <v>0</v>
      </c>
      <c r="AA433" s="67">
        <f t="shared" si="46"/>
        <v>77.554126800000006</v>
      </c>
      <c r="AB433" s="3">
        <f>O433-AA433</f>
        <v>12.0958732</v>
      </c>
      <c r="AC433" s="3">
        <f>AA433+AB433</f>
        <v>89.65</v>
      </c>
      <c r="AD433" s="3"/>
      <c r="AE433" s="67">
        <f t="shared" si="47"/>
        <v>89.65</v>
      </c>
      <c r="AF433" s="67">
        <f t="shared" si="48"/>
        <v>0</v>
      </c>
    </row>
    <row r="434" spans="1:32" ht="156">
      <c r="A434" s="41">
        <f t="shared" si="49"/>
        <v>432</v>
      </c>
      <c r="B434" s="41" t="s">
        <v>832</v>
      </c>
      <c r="C434" s="41" t="s">
        <v>876</v>
      </c>
      <c r="D434" s="41" t="s">
        <v>1016</v>
      </c>
      <c r="E434" s="41" t="s">
        <v>1467</v>
      </c>
      <c r="F434" s="43" t="s">
        <v>833</v>
      </c>
      <c r="G434" s="41" t="s">
        <v>28</v>
      </c>
      <c r="H434" s="63">
        <v>4</v>
      </c>
      <c r="I434" s="64">
        <v>42431</v>
      </c>
      <c r="J434" s="64">
        <v>42431</v>
      </c>
      <c r="K434" s="64">
        <v>42705</v>
      </c>
      <c r="L434" s="65">
        <v>7.41</v>
      </c>
      <c r="M434" s="65">
        <v>7.41</v>
      </c>
      <c r="N434" s="41" t="s">
        <v>32</v>
      </c>
      <c r="O434" s="65">
        <v>7.93</v>
      </c>
      <c r="P434" s="66">
        <v>7.93</v>
      </c>
      <c r="Q434" s="3">
        <v>0</v>
      </c>
      <c r="R434" s="25">
        <v>7.2044999999999998E-2</v>
      </c>
      <c r="S434" s="3">
        <v>7.2044999999999998E-2</v>
      </c>
      <c r="T434" s="3"/>
      <c r="U434" s="67">
        <f t="shared" si="43"/>
        <v>8.002044999999999</v>
      </c>
      <c r="V434" s="67">
        <f t="shared" si="44"/>
        <v>0</v>
      </c>
      <c r="W434" s="69"/>
      <c r="X434" s="3"/>
      <c r="Y434" s="3"/>
      <c r="Z434" s="67">
        <f t="shared" si="45"/>
        <v>8.002044999999999</v>
      </c>
      <c r="AA434" s="67">
        <f t="shared" si="46"/>
        <v>0</v>
      </c>
      <c r="AB434" s="3"/>
      <c r="AC434" s="3"/>
      <c r="AD434" s="3"/>
      <c r="AE434" s="67">
        <f t="shared" si="47"/>
        <v>8.002044999999999</v>
      </c>
      <c r="AF434" s="67">
        <f t="shared" si="48"/>
        <v>0</v>
      </c>
    </row>
    <row r="435" spans="1:32" ht="109.2">
      <c r="A435" s="41">
        <f t="shared" si="49"/>
        <v>433</v>
      </c>
      <c r="B435" s="41" t="s">
        <v>834</v>
      </c>
      <c r="C435" s="34" t="s">
        <v>1002</v>
      </c>
      <c r="D435" s="41" t="s">
        <v>1016</v>
      </c>
      <c r="E435" s="41" t="s">
        <v>1468</v>
      </c>
      <c r="F435" s="43" t="s">
        <v>835</v>
      </c>
      <c r="G435" s="41" t="s">
        <v>28</v>
      </c>
      <c r="H435" s="63">
        <v>3</v>
      </c>
      <c r="I435" s="64">
        <v>42368</v>
      </c>
      <c r="J435" s="64">
        <v>42368</v>
      </c>
      <c r="K435" s="64">
        <v>42734</v>
      </c>
      <c r="L435" s="65">
        <v>63.1</v>
      </c>
      <c r="M435" s="65">
        <v>63.1</v>
      </c>
      <c r="N435" s="41" t="s">
        <v>32</v>
      </c>
      <c r="O435" s="65">
        <v>69.55</v>
      </c>
      <c r="P435" s="66">
        <v>49.63</v>
      </c>
      <c r="Q435" s="3">
        <v>0</v>
      </c>
      <c r="R435" s="25">
        <v>0.73540139999999998</v>
      </c>
      <c r="S435" s="3">
        <v>0.73540139999999998</v>
      </c>
      <c r="T435" s="3"/>
      <c r="U435" s="67">
        <f t="shared" si="43"/>
        <v>50.365401400000003</v>
      </c>
      <c r="V435" s="67">
        <f t="shared" si="44"/>
        <v>0</v>
      </c>
      <c r="W435" s="69"/>
      <c r="X435" s="3"/>
      <c r="Y435" s="3"/>
      <c r="Z435" s="67">
        <f t="shared" si="45"/>
        <v>50.365401400000003</v>
      </c>
      <c r="AA435" s="67">
        <f t="shared" si="46"/>
        <v>0</v>
      </c>
      <c r="AB435" s="3"/>
      <c r="AC435" s="3"/>
      <c r="AD435" s="3"/>
      <c r="AE435" s="67">
        <f t="shared" si="47"/>
        <v>50.365401400000003</v>
      </c>
      <c r="AF435" s="67">
        <f t="shared" si="48"/>
        <v>0</v>
      </c>
    </row>
    <row r="436" spans="1:32" ht="46.8">
      <c r="A436" s="41">
        <f t="shared" si="49"/>
        <v>434</v>
      </c>
      <c r="B436" s="46"/>
      <c r="C436" s="46"/>
      <c r="D436" s="46" t="s">
        <v>1023</v>
      </c>
      <c r="E436" s="46" t="s">
        <v>30</v>
      </c>
      <c r="F436" s="43" t="s">
        <v>836</v>
      </c>
      <c r="G436" s="41"/>
      <c r="H436" s="41"/>
      <c r="I436" s="41"/>
      <c r="J436" s="41"/>
      <c r="K436" s="41"/>
      <c r="L436" s="3"/>
      <c r="M436" s="3"/>
      <c r="N436" s="41" t="s">
        <v>67</v>
      </c>
      <c r="O436" s="3">
        <v>0</v>
      </c>
      <c r="P436" s="3">
        <v>0.75561670000000003</v>
      </c>
      <c r="Q436" s="3">
        <v>-0.75561670000000003</v>
      </c>
      <c r="R436" s="3"/>
      <c r="S436" s="67"/>
      <c r="T436" s="3"/>
      <c r="U436" s="67">
        <f t="shared" si="43"/>
        <v>0.75561670000000003</v>
      </c>
      <c r="V436" s="67">
        <f t="shared" si="44"/>
        <v>-0.75561670000000003</v>
      </c>
      <c r="W436" s="3"/>
      <c r="X436" s="3"/>
      <c r="Y436" s="3"/>
      <c r="Z436" s="67">
        <f t="shared" si="45"/>
        <v>0.75561670000000003</v>
      </c>
      <c r="AA436" s="67">
        <f t="shared" si="46"/>
        <v>-0.75561670000000003</v>
      </c>
      <c r="AB436" s="3"/>
      <c r="AC436" s="3"/>
      <c r="AD436" s="3"/>
      <c r="AE436" s="67">
        <f t="shared" si="47"/>
        <v>0.75561670000000003</v>
      </c>
      <c r="AF436" s="67">
        <f t="shared" si="48"/>
        <v>-0.75561670000000003</v>
      </c>
    </row>
    <row r="437" spans="1:32" ht="46.8">
      <c r="A437" s="41">
        <f t="shared" si="49"/>
        <v>435</v>
      </c>
      <c r="B437" s="46"/>
      <c r="C437" s="46"/>
      <c r="D437" s="46" t="s">
        <v>1023</v>
      </c>
      <c r="E437" s="46" t="s">
        <v>30</v>
      </c>
      <c r="F437" s="43" t="s">
        <v>837</v>
      </c>
      <c r="G437" s="41"/>
      <c r="H437" s="41"/>
      <c r="I437" s="41"/>
      <c r="J437" s="41"/>
      <c r="K437" s="41"/>
      <c r="L437" s="3"/>
      <c r="M437" s="3"/>
      <c r="N437" s="41" t="s">
        <v>67</v>
      </c>
      <c r="O437" s="3">
        <v>0</v>
      </c>
      <c r="P437" s="3">
        <v>0.46589190000000003</v>
      </c>
      <c r="Q437" s="3">
        <v>-0.46589190000000003</v>
      </c>
      <c r="R437" s="3"/>
      <c r="S437" s="67"/>
      <c r="T437" s="3"/>
      <c r="U437" s="67">
        <f t="shared" si="43"/>
        <v>0.46589190000000003</v>
      </c>
      <c r="V437" s="67">
        <f t="shared" si="44"/>
        <v>-0.46589190000000003</v>
      </c>
      <c r="W437" s="3"/>
      <c r="X437" s="3"/>
      <c r="Y437" s="3"/>
      <c r="Z437" s="67">
        <f t="shared" si="45"/>
        <v>0.46589190000000003</v>
      </c>
      <c r="AA437" s="67">
        <f t="shared" si="46"/>
        <v>-0.46589190000000003</v>
      </c>
      <c r="AB437" s="3"/>
      <c r="AC437" s="3"/>
      <c r="AD437" s="3"/>
      <c r="AE437" s="67">
        <f t="shared" si="47"/>
        <v>0.46589190000000003</v>
      </c>
      <c r="AF437" s="67">
        <f t="shared" si="48"/>
        <v>-0.46589190000000003</v>
      </c>
    </row>
    <row r="438" spans="1:32" ht="31.2">
      <c r="A438" s="41">
        <f t="shared" si="49"/>
        <v>436</v>
      </c>
      <c r="B438" s="46"/>
      <c r="C438" s="46"/>
      <c r="D438" s="46" t="s">
        <v>1023</v>
      </c>
      <c r="E438" s="46" t="s">
        <v>30</v>
      </c>
      <c r="F438" s="43" t="s">
        <v>838</v>
      </c>
      <c r="G438" s="41"/>
      <c r="H438" s="41"/>
      <c r="I438" s="41"/>
      <c r="J438" s="41"/>
      <c r="K438" s="41"/>
      <c r="L438" s="3"/>
      <c r="M438" s="3"/>
      <c r="N438" s="41" t="s">
        <v>67</v>
      </c>
      <c r="O438" s="3">
        <v>0</v>
      </c>
      <c r="P438" s="3">
        <v>0.2486382</v>
      </c>
      <c r="Q438" s="3">
        <v>-0.2486382</v>
      </c>
      <c r="R438" s="3"/>
      <c r="S438" s="67">
        <v>0.39190230000000004</v>
      </c>
      <c r="T438" s="3"/>
      <c r="U438" s="67">
        <f t="shared" si="43"/>
        <v>0.64054050000000007</v>
      </c>
      <c r="V438" s="67">
        <f t="shared" si="44"/>
        <v>-0.64054050000000007</v>
      </c>
      <c r="W438" s="3"/>
      <c r="X438" s="3"/>
      <c r="Y438" s="3"/>
      <c r="Z438" s="67">
        <f t="shared" si="45"/>
        <v>0.64054050000000007</v>
      </c>
      <c r="AA438" s="67">
        <f t="shared" si="46"/>
        <v>-0.64054050000000007</v>
      </c>
      <c r="AB438" s="3"/>
      <c r="AC438" s="3"/>
      <c r="AD438" s="3"/>
      <c r="AE438" s="67">
        <f t="shared" si="47"/>
        <v>0.64054050000000007</v>
      </c>
      <c r="AF438" s="67">
        <f t="shared" si="48"/>
        <v>-0.64054050000000007</v>
      </c>
    </row>
    <row r="439" spans="1:32">
      <c r="A439" s="41">
        <f t="shared" si="49"/>
        <v>437</v>
      </c>
      <c r="B439" s="46"/>
      <c r="C439" s="46"/>
      <c r="D439" s="46" t="s">
        <v>1023</v>
      </c>
      <c r="E439" s="46" t="s">
        <v>30</v>
      </c>
      <c r="F439" s="43" t="s">
        <v>839</v>
      </c>
      <c r="G439" s="41"/>
      <c r="H439" s="41"/>
      <c r="I439" s="41"/>
      <c r="J439" s="41"/>
      <c r="K439" s="41"/>
      <c r="L439" s="3"/>
      <c r="M439" s="3"/>
      <c r="N439" s="41" t="s">
        <v>67</v>
      </c>
      <c r="O439" s="3">
        <v>0</v>
      </c>
      <c r="P439" s="3">
        <v>20.198847199999999</v>
      </c>
      <c r="Q439" s="3">
        <v>-20.198847199999999</v>
      </c>
      <c r="R439" s="3"/>
      <c r="S439" s="67"/>
      <c r="T439" s="3"/>
      <c r="U439" s="67">
        <f t="shared" si="43"/>
        <v>20.198847199999999</v>
      </c>
      <c r="V439" s="67">
        <f t="shared" si="44"/>
        <v>-20.198847199999999</v>
      </c>
      <c r="W439" s="3"/>
      <c r="X439" s="3"/>
      <c r="Y439" s="3"/>
      <c r="Z439" s="67">
        <f t="shared" si="45"/>
        <v>20.198847199999999</v>
      </c>
      <c r="AA439" s="67">
        <f t="shared" si="46"/>
        <v>-20.198847199999999</v>
      </c>
      <c r="AB439" s="3"/>
      <c r="AC439" s="3"/>
      <c r="AD439" s="3"/>
      <c r="AE439" s="67">
        <f t="shared" si="47"/>
        <v>20.198847199999999</v>
      </c>
      <c r="AF439" s="67">
        <f t="shared" si="48"/>
        <v>-20.198847199999999</v>
      </c>
    </row>
    <row r="440" spans="1:32">
      <c r="A440" s="41">
        <f t="shared" si="49"/>
        <v>438</v>
      </c>
      <c r="B440" s="46"/>
      <c r="C440" s="46"/>
      <c r="D440" s="46" t="s">
        <v>1023</v>
      </c>
      <c r="E440" s="46" t="s">
        <v>30</v>
      </c>
      <c r="F440" s="43" t="s">
        <v>840</v>
      </c>
      <c r="G440" s="41"/>
      <c r="H440" s="41"/>
      <c r="I440" s="41"/>
      <c r="J440" s="41"/>
      <c r="K440" s="41"/>
      <c r="L440" s="3"/>
      <c r="M440" s="3"/>
      <c r="N440" s="41" t="s">
        <v>67</v>
      </c>
      <c r="O440" s="3">
        <v>0</v>
      </c>
      <c r="P440" s="3">
        <v>0.3171428</v>
      </c>
      <c r="Q440" s="3">
        <v>-0.3171428</v>
      </c>
      <c r="R440" s="3"/>
      <c r="S440" s="67"/>
      <c r="T440" s="3"/>
      <c r="U440" s="67">
        <f t="shared" si="43"/>
        <v>0.3171428</v>
      </c>
      <c r="V440" s="67">
        <f t="shared" si="44"/>
        <v>-0.3171428</v>
      </c>
      <c r="W440" s="3"/>
      <c r="X440" s="3"/>
      <c r="Y440" s="3"/>
      <c r="Z440" s="67">
        <f t="shared" si="45"/>
        <v>0.3171428</v>
      </c>
      <c r="AA440" s="67">
        <f t="shared" si="46"/>
        <v>-0.3171428</v>
      </c>
      <c r="AB440" s="3"/>
      <c r="AC440" s="3"/>
      <c r="AD440" s="3"/>
      <c r="AE440" s="67">
        <f t="shared" si="47"/>
        <v>0.3171428</v>
      </c>
      <c r="AF440" s="67">
        <f t="shared" si="48"/>
        <v>-0.3171428</v>
      </c>
    </row>
    <row r="441" spans="1:32">
      <c r="A441" s="41">
        <f t="shared" si="49"/>
        <v>439</v>
      </c>
      <c r="B441" s="46"/>
      <c r="C441" s="46"/>
      <c r="D441" s="46" t="s">
        <v>1023</v>
      </c>
      <c r="E441" s="46" t="s">
        <v>30</v>
      </c>
      <c r="F441" s="43" t="s">
        <v>841</v>
      </c>
      <c r="G441" s="41"/>
      <c r="H441" s="41"/>
      <c r="I441" s="41"/>
      <c r="J441" s="41"/>
      <c r="K441" s="41"/>
      <c r="L441" s="3"/>
      <c r="M441" s="3"/>
      <c r="N441" s="41" t="s">
        <v>67</v>
      </c>
      <c r="O441" s="3">
        <v>0</v>
      </c>
      <c r="P441" s="3">
        <v>1.4787387999999999</v>
      </c>
      <c r="Q441" s="3">
        <v>-1.4787387999999999</v>
      </c>
      <c r="R441" s="3"/>
      <c r="S441" s="67">
        <v>1.6433567999999998</v>
      </c>
      <c r="T441" s="3"/>
      <c r="U441" s="67">
        <f t="shared" si="43"/>
        <v>3.1220955999999997</v>
      </c>
      <c r="V441" s="67">
        <f t="shared" si="44"/>
        <v>-3.1220955999999997</v>
      </c>
      <c r="W441" s="3"/>
      <c r="X441" s="3"/>
      <c r="Y441" s="3"/>
      <c r="Z441" s="67">
        <f t="shared" si="45"/>
        <v>3.1220955999999997</v>
      </c>
      <c r="AA441" s="67">
        <f t="shared" si="46"/>
        <v>-3.1220955999999997</v>
      </c>
      <c r="AB441" s="3"/>
      <c r="AC441" s="3"/>
      <c r="AD441" s="3"/>
      <c r="AE441" s="67">
        <f t="shared" si="47"/>
        <v>3.1220955999999997</v>
      </c>
      <c r="AF441" s="67">
        <f t="shared" si="48"/>
        <v>-3.1220955999999997</v>
      </c>
    </row>
    <row r="442" spans="1:32">
      <c r="A442" s="41">
        <f t="shared" si="49"/>
        <v>440</v>
      </c>
      <c r="B442" s="46"/>
      <c r="C442" s="46"/>
      <c r="D442" s="46" t="s">
        <v>1023</v>
      </c>
      <c r="E442" s="46" t="s">
        <v>30</v>
      </c>
      <c r="F442" s="43" t="s">
        <v>842</v>
      </c>
      <c r="G442" s="41"/>
      <c r="H442" s="41"/>
      <c r="I442" s="41"/>
      <c r="J442" s="41"/>
      <c r="K442" s="41"/>
      <c r="L442" s="3"/>
      <c r="M442" s="3"/>
      <c r="N442" s="41" t="s">
        <v>67</v>
      </c>
      <c r="O442" s="3">
        <v>0</v>
      </c>
      <c r="P442" s="3">
        <v>0.73679380000000005</v>
      </c>
      <c r="Q442" s="3">
        <v>-0.73679380000000005</v>
      </c>
      <c r="R442" s="3"/>
      <c r="S442" s="67">
        <f>0.2847645+0.1564449</f>
        <v>0.44120939999999997</v>
      </c>
      <c r="T442" s="3"/>
      <c r="U442" s="67">
        <f t="shared" si="43"/>
        <v>1.1780032</v>
      </c>
      <c r="V442" s="67">
        <f t="shared" si="44"/>
        <v>-1.1780032</v>
      </c>
      <c r="W442" s="3"/>
      <c r="X442" s="3"/>
      <c r="Y442" s="3"/>
      <c r="Z442" s="67">
        <f t="shared" si="45"/>
        <v>1.1780032</v>
      </c>
      <c r="AA442" s="67">
        <f t="shared" si="46"/>
        <v>-1.1780032</v>
      </c>
      <c r="AB442" s="3"/>
      <c r="AC442" s="3"/>
      <c r="AD442" s="3"/>
      <c r="AE442" s="67">
        <f t="shared" si="47"/>
        <v>1.1780032</v>
      </c>
      <c r="AF442" s="67">
        <f t="shared" si="48"/>
        <v>-1.1780032</v>
      </c>
    </row>
    <row r="443" spans="1:32">
      <c r="A443" s="41">
        <f t="shared" si="49"/>
        <v>441</v>
      </c>
      <c r="B443" s="46"/>
      <c r="C443" s="46"/>
      <c r="D443" s="46" t="s">
        <v>1023</v>
      </c>
      <c r="E443" s="46" t="s">
        <v>30</v>
      </c>
      <c r="F443" s="43" t="s">
        <v>843</v>
      </c>
      <c r="G443" s="41"/>
      <c r="H443" s="41"/>
      <c r="I443" s="41"/>
      <c r="J443" s="41"/>
      <c r="K443" s="41"/>
      <c r="L443" s="3"/>
      <c r="M443" s="3"/>
      <c r="N443" s="41" t="s">
        <v>67</v>
      </c>
      <c r="O443" s="3">
        <v>0</v>
      </c>
      <c r="P443" s="3">
        <v>2.2315021000000002</v>
      </c>
      <c r="Q443" s="3">
        <v>-2.2315021000000002</v>
      </c>
      <c r="R443" s="3"/>
      <c r="S443" s="67">
        <v>2.5141157859999992</v>
      </c>
      <c r="T443" s="3"/>
      <c r="U443" s="67">
        <f t="shared" si="43"/>
        <v>4.7456178859999998</v>
      </c>
      <c r="V443" s="67">
        <f t="shared" si="44"/>
        <v>-4.7456178859999998</v>
      </c>
      <c r="W443" s="3"/>
      <c r="X443" s="3"/>
      <c r="Y443" s="3"/>
      <c r="Z443" s="67">
        <f t="shared" si="45"/>
        <v>4.7456178859999998</v>
      </c>
      <c r="AA443" s="67">
        <f t="shared" si="46"/>
        <v>-4.7456178859999998</v>
      </c>
      <c r="AB443" s="3"/>
      <c r="AC443" s="3"/>
      <c r="AD443" s="3"/>
      <c r="AE443" s="67">
        <f t="shared" si="47"/>
        <v>4.7456178859999998</v>
      </c>
      <c r="AF443" s="67">
        <f t="shared" si="48"/>
        <v>-4.7456178859999998</v>
      </c>
    </row>
    <row r="444" spans="1:32" ht="46.8">
      <c r="A444" s="41">
        <f t="shared" si="49"/>
        <v>442</v>
      </c>
      <c r="B444" s="46"/>
      <c r="C444" s="46"/>
      <c r="D444" s="34" t="s">
        <v>1016</v>
      </c>
      <c r="E444" s="41" t="s">
        <v>1469</v>
      </c>
      <c r="F444" s="43" t="s">
        <v>99</v>
      </c>
      <c r="G444" s="41"/>
      <c r="H444" s="41"/>
      <c r="I444" s="41"/>
      <c r="J444" s="41"/>
      <c r="K444" s="41"/>
      <c r="L444" s="3"/>
      <c r="M444" s="3"/>
      <c r="N444" s="41" t="s">
        <v>844</v>
      </c>
      <c r="O444" s="3">
        <v>0</v>
      </c>
      <c r="P444" s="3">
        <v>16.879882141</v>
      </c>
      <c r="Q444" s="66">
        <v>-5.8998821409999991</v>
      </c>
      <c r="R444" s="3"/>
      <c r="S444" s="67">
        <v>0.27156780000000003</v>
      </c>
      <c r="T444" s="3"/>
      <c r="U444" s="67">
        <f t="shared" si="43"/>
        <v>17.151449940999999</v>
      </c>
      <c r="V444" s="67">
        <f t="shared" si="44"/>
        <v>-6.1714499409999988</v>
      </c>
      <c r="W444" s="3"/>
      <c r="X444" s="3"/>
      <c r="Y444" s="3"/>
      <c r="Z444" s="67">
        <f t="shared" si="45"/>
        <v>17.151449940999999</v>
      </c>
      <c r="AA444" s="67">
        <f t="shared" si="46"/>
        <v>-6.1714499409999988</v>
      </c>
      <c r="AB444" s="3"/>
      <c r="AC444" s="3"/>
      <c r="AD444" s="3"/>
      <c r="AE444" s="67">
        <f t="shared" si="47"/>
        <v>17.151449940999999</v>
      </c>
      <c r="AF444" s="67">
        <f t="shared" si="48"/>
        <v>-6.1714499409999988</v>
      </c>
    </row>
    <row r="445" spans="1:32" ht="46.8">
      <c r="A445" s="41">
        <f t="shared" si="49"/>
        <v>443</v>
      </c>
      <c r="B445" s="41" t="s">
        <v>30</v>
      </c>
      <c r="C445" s="41" t="s">
        <v>1002</v>
      </c>
      <c r="D445" s="41" t="s">
        <v>1019</v>
      </c>
      <c r="E445" s="41"/>
      <c r="F445" s="76" t="s">
        <v>862</v>
      </c>
      <c r="G445" s="41"/>
      <c r="H445" s="41"/>
      <c r="I445" s="41"/>
      <c r="J445" s="41"/>
      <c r="K445" s="41"/>
      <c r="L445" s="3"/>
      <c r="M445" s="3"/>
      <c r="N445" s="41" t="s">
        <v>32</v>
      </c>
      <c r="O445" s="3">
        <v>0</v>
      </c>
      <c r="P445" s="3">
        <v>0</v>
      </c>
      <c r="Q445" s="3">
        <v>0</v>
      </c>
      <c r="R445" s="3"/>
      <c r="S445" s="3"/>
      <c r="T445" s="3"/>
      <c r="U445" s="67">
        <f t="shared" si="43"/>
        <v>0</v>
      </c>
      <c r="V445" s="67">
        <f t="shared" si="44"/>
        <v>0</v>
      </c>
      <c r="W445" s="3"/>
      <c r="X445" s="3"/>
      <c r="Y445" s="3"/>
      <c r="Z445" s="67">
        <f t="shared" si="45"/>
        <v>0</v>
      </c>
      <c r="AA445" s="67">
        <f t="shared" si="46"/>
        <v>0</v>
      </c>
      <c r="AB445" s="3"/>
      <c r="AC445" s="3"/>
      <c r="AD445" s="3"/>
      <c r="AE445" s="67">
        <f t="shared" si="47"/>
        <v>0</v>
      </c>
      <c r="AF445" s="67">
        <f t="shared" si="48"/>
        <v>0</v>
      </c>
    </row>
    <row r="446" spans="1:32" ht="46.8">
      <c r="A446" s="41">
        <f t="shared" si="49"/>
        <v>444</v>
      </c>
      <c r="B446" s="41" t="s">
        <v>30</v>
      </c>
      <c r="C446" s="41" t="s">
        <v>876</v>
      </c>
      <c r="D446" s="41" t="s">
        <v>1019</v>
      </c>
      <c r="E446" s="41"/>
      <c r="F446" s="43" t="s">
        <v>863</v>
      </c>
      <c r="G446" s="41"/>
      <c r="H446" s="41"/>
      <c r="I446" s="41"/>
      <c r="J446" s="41"/>
      <c r="K446" s="41"/>
      <c r="L446" s="3">
        <v>85</v>
      </c>
      <c r="M446" s="3"/>
      <c r="N446" s="41" t="s">
        <v>32</v>
      </c>
      <c r="O446" s="3">
        <v>0</v>
      </c>
      <c r="P446" s="3">
        <v>0</v>
      </c>
      <c r="Q446" s="3">
        <v>0</v>
      </c>
      <c r="R446" s="3"/>
      <c r="S446" s="3"/>
      <c r="T446" s="3"/>
      <c r="U446" s="67">
        <f t="shared" si="43"/>
        <v>0</v>
      </c>
      <c r="V446" s="67">
        <f t="shared" si="44"/>
        <v>0</v>
      </c>
      <c r="W446" s="3"/>
      <c r="X446" s="3"/>
      <c r="Y446" s="3"/>
      <c r="Z446" s="67">
        <f t="shared" si="45"/>
        <v>0</v>
      </c>
      <c r="AA446" s="67">
        <f t="shared" si="46"/>
        <v>0</v>
      </c>
      <c r="AB446" s="3"/>
      <c r="AC446" s="3"/>
      <c r="AD446" s="3"/>
      <c r="AE446" s="67">
        <f t="shared" si="47"/>
        <v>0</v>
      </c>
      <c r="AF446" s="67">
        <f t="shared" si="48"/>
        <v>0</v>
      </c>
    </row>
    <row r="447" spans="1:32" ht="46.8">
      <c r="A447" s="41">
        <f t="shared" si="49"/>
        <v>445</v>
      </c>
      <c r="B447" s="41" t="s">
        <v>30</v>
      </c>
      <c r="C447" s="41" t="s">
        <v>876</v>
      </c>
      <c r="D447" s="41" t="s">
        <v>1019</v>
      </c>
      <c r="E447" s="41"/>
      <c r="F447" s="43" t="s">
        <v>864</v>
      </c>
      <c r="G447" s="41"/>
      <c r="H447" s="41"/>
      <c r="I447" s="41"/>
      <c r="J447" s="41"/>
      <c r="K447" s="41"/>
      <c r="L447" s="3">
        <v>50.5</v>
      </c>
      <c r="M447" s="3"/>
      <c r="N447" s="41" t="s">
        <v>32</v>
      </c>
      <c r="O447" s="3">
        <v>0</v>
      </c>
      <c r="P447" s="3">
        <v>0</v>
      </c>
      <c r="Q447" s="3">
        <v>0</v>
      </c>
      <c r="R447" s="3"/>
      <c r="S447" s="3"/>
      <c r="T447" s="3"/>
      <c r="U447" s="67">
        <f t="shared" si="43"/>
        <v>0</v>
      </c>
      <c r="V447" s="67">
        <f t="shared" si="44"/>
        <v>0</v>
      </c>
      <c r="W447" s="3"/>
      <c r="X447" s="3"/>
      <c r="Y447" s="3"/>
      <c r="Z447" s="67">
        <f t="shared" si="45"/>
        <v>0</v>
      </c>
      <c r="AA447" s="67">
        <f t="shared" si="46"/>
        <v>0</v>
      </c>
      <c r="AB447" s="3"/>
      <c r="AC447" s="3"/>
      <c r="AD447" s="3"/>
      <c r="AE447" s="67">
        <f t="shared" si="47"/>
        <v>0</v>
      </c>
      <c r="AF447" s="67">
        <f t="shared" si="48"/>
        <v>0</v>
      </c>
    </row>
    <row r="448" spans="1:32" ht="46.8">
      <c r="A448" s="41">
        <f t="shared" si="49"/>
        <v>446</v>
      </c>
      <c r="B448" s="41" t="s">
        <v>865</v>
      </c>
      <c r="C448" s="41" t="s">
        <v>876</v>
      </c>
      <c r="D448" s="41" t="s">
        <v>1019</v>
      </c>
      <c r="E448" s="41" t="s">
        <v>1470</v>
      </c>
      <c r="F448" s="76" t="s">
        <v>866</v>
      </c>
      <c r="G448" s="41"/>
      <c r="H448" s="41"/>
      <c r="I448" s="31" t="s">
        <v>867</v>
      </c>
      <c r="J448" s="31" t="s">
        <v>867</v>
      </c>
      <c r="K448" s="31" t="s">
        <v>868</v>
      </c>
      <c r="L448" s="156">
        <v>75.69</v>
      </c>
      <c r="M448" s="3"/>
      <c r="N448" s="41" t="s">
        <v>29</v>
      </c>
      <c r="O448" s="3">
        <v>0</v>
      </c>
      <c r="P448" s="3">
        <v>0</v>
      </c>
      <c r="Q448" s="3">
        <v>0</v>
      </c>
      <c r="R448" s="25">
        <v>1.1275318999999999</v>
      </c>
      <c r="S448" s="3"/>
      <c r="T448" s="3"/>
      <c r="U448" s="67">
        <f t="shared" si="43"/>
        <v>0</v>
      </c>
      <c r="V448" s="67">
        <f t="shared" si="44"/>
        <v>1.1275318999999999</v>
      </c>
      <c r="W448" s="154">
        <f>0.2072887+0.9718428+1.9301861+0.0823404+7.3767218+10</f>
        <v>20.568379800000002</v>
      </c>
      <c r="X448" s="3"/>
      <c r="Y448" s="3"/>
      <c r="Z448" s="67">
        <f t="shared" si="45"/>
        <v>0</v>
      </c>
      <c r="AA448" s="67">
        <f t="shared" si="46"/>
        <v>21.695911700000003</v>
      </c>
      <c r="AB448" s="3">
        <f>L448-AA448</f>
        <v>53.994088299999994</v>
      </c>
      <c r="AC448" s="3">
        <f>AA448+AB448</f>
        <v>75.69</v>
      </c>
      <c r="AD448" s="3"/>
      <c r="AE448" s="67">
        <f t="shared" si="47"/>
        <v>75.69</v>
      </c>
      <c r="AF448" s="67">
        <f t="shared" si="48"/>
        <v>0</v>
      </c>
    </row>
    <row r="449" spans="1:32" ht="46.8">
      <c r="A449" s="41">
        <f t="shared" si="49"/>
        <v>447</v>
      </c>
      <c r="B449" s="41" t="s">
        <v>30</v>
      </c>
      <c r="C449" s="41" t="s">
        <v>886</v>
      </c>
      <c r="D449" s="46"/>
      <c r="E449" s="46" t="s">
        <v>30</v>
      </c>
      <c r="F449" s="43" t="s">
        <v>874</v>
      </c>
      <c r="G449" s="41"/>
      <c r="H449" s="41"/>
      <c r="I449" s="41"/>
      <c r="J449" s="41"/>
      <c r="K449" s="41"/>
      <c r="L449" s="3"/>
      <c r="M449" s="3"/>
      <c r="N449" s="41" t="s">
        <v>67</v>
      </c>
      <c r="O449" s="3">
        <v>0</v>
      </c>
      <c r="P449" s="3">
        <v>0</v>
      </c>
      <c r="Q449" s="3">
        <v>0.11056000000000001</v>
      </c>
      <c r="R449" s="67"/>
      <c r="S449" s="3"/>
      <c r="T449" s="3"/>
      <c r="U449" s="67">
        <f t="shared" si="43"/>
        <v>0</v>
      </c>
      <c r="V449" s="67">
        <f t="shared" si="44"/>
        <v>0.11056000000000001</v>
      </c>
      <c r="W449" s="3"/>
      <c r="X449" s="3"/>
      <c r="Y449" s="3"/>
      <c r="Z449" s="67">
        <f t="shared" si="45"/>
        <v>0</v>
      </c>
      <c r="AA449" s="67">
        <f t="shared" si="46"/>
        <v>0.11056000000000001</v>
      </c>
      <c r="AB449" s="3"/>
      <c r="AC449" s="3"/>
      <c r="AD449" s="3"/>
      <c r="AE449" s="67">
        <f t="shared" si="47"/>
        <v>0</v>
      </c>
      <c r="AF449" s="67">
        <f t="shared" si="48"/>
        <v>0.11056000000000001</v>
      </c>
    </row>
    <row r="450" spans="1:32" ht="62.4">
      <c r="A450" s="41">
        <f t="shared" si="49"/>
        <v>448</v>
      </c>
      <c r="B450" s="41" t="s">
        <v>1540</v>
      </c>
      <c r="C450" s="34" t="s">
        <v>1002</v>
      </c>
      <c r="D450" s="34" t="s">
        <v>1019</v>
      </c>
      <c r="E450" s="41" t="s">
        <v>1471</v>
      </c>
      <c r="F450" s="76" t="s">
        <v>856</v>
      </c>
      <c r="G450" s="41"/>
      <c r="H450" s="41">
        <v>2</v>
      </c>
      <c r="I450" s="41" t="s">
        <v>857</v>
      </c>
      <c r="J450" s="41" t="s">
        <v>857</v>
      </c>
      <c r="K450" s="41" t="s">
        <v>858</v>
      </c>
      <c r="L450" s="3">
        <v>30.92</v>
      </c>
      <c r="M450" s="3">
        <v>0</v>
      </c>
      <c r="N450" s="41" t="s">
        <v>32</v>
      </c>
      <c r="O450" s="3">
        <v>30.92</v>
      </c>
      <c r="P450" s="3">
        <v>0</v>
      </c>
      <c r="Q450" s="3">
        <v>0</v>
      </c>
      <c r="R450" s="3"/>
      <c r="S450" s="3"/>
      <c r="T450" s="3"/>
      <c r="U450" s="67">
        <f t="shared" si="43"/>
        <v>0</v>
      </c>
      <c r="V450" s="67">
        <f t="shared" si="44"/>
        <v>0</v>
      </c>
      <c r="W450" s="69">
        <f>O450*25%</f>
        <v>7.73</v>
      </c>
      <c r="X450" s="3">
        <v>0</v>
      </c>
      <c r="Y450" s="3"/>
      <c r="Z450" s="67">
        <f t="shared" si="45"/>
        <v>0</v>
      </c>
      <c r="AA450" s="67">
        <f t="shared" si="46"/>
        <v>7.73</v>
      </c>
      <c r="AB450" s="67">
        <f>O450-AA450</f>
        <v>23.19</v>
      </c>
      <c r="AC450" s="67">
        <f>AA450+AB450</f>
        <v>30.92</v>
      </c>
      <c r="AD450" s="3"/>
      <c r="AE450" s="67">
        <f t="shared" si="47"/>
        <v>30.92</v>
      </c>
      <c r="AF450" s="67">
        <f t="shared" si="48"/>
        <v>0</v>
      </c>
    </row>
    <row r="451" spans="1:32" ht="62.4">
      <c r="A451" s="41">
        <f t="shared" si="49"/>
        <v>449</v>
      </c>
      <c r="B451" s="31" t="s">
        <v>869</v>
      </c>
      <c r="C451" s="31" t="s">
        <v>876</v>
      </c>
      <c r="D451" s="34" t="s">
        <v>1019</v>
      </c>
      <c r="E451" s="41" t="s">
        <v>1472</v>
      </c>
      <c r="F451" s="43" t="s">
        <v>1041</v>
      </c>
      <c r="G451" s="31" t="s">
        <v>28</v>
      </c>
      <c r="H451" s="41"/>
      <c r="I451" s="31" t="s">
        <v>718</v>
      </c>
      <c r="J451" s="31" t="s">
        <v>718</v>
      </c>
      <c r="K451" s="31" t="s">
        <v>719</v>
      </c>
      <c r="L451" s="156">
        <v>141.87</v>
      </c>
      <c r="M451" s="3">
        <v>150.72</v>
      </c>
      <c r="N451" s="31" t="s">
        <v>1044</v>
      </c>
      <c r="O451" s="156">
        <v>141.87</v>
      </c>
      <c r="P451" s="3">
        <v>0</v>
      </c>
      <c r="Q451" s="3">
        <v>0</v>
      </c>
      <c r="R451" s="25">
        <f>0.6534323+3.9755572</f>
        <v>4.6289894999999994</v>
      </c>
      <c r="S451" s="3"/>
      <c r="T451" s="3"/>
      <c r="U451" s="67">
        <f t="shared" ref="U451:U458" si="51">P451+S451+T451</f>
        <v>0</v>
      </c>
      <c r="V451" s="67">
        <f t="shared" ref="V451:V458" si="52">Q451+R451-S451-T451</f>
        <v>4.6289894999999994</v>
      </c>
      <c r="W451" s="154">
        <f>1.2836949+0.7561141+1.7223954+1.6042889+35</f>
        <v>40.366493300000002</v>
      </c>
      <c r="X451" s="67"/>
      <c r="Y451" s="3"/>
      <c r="Z451" s="67">
        <f t="shared" ref="Z451:Z458" si="53">U451+X451+Y451</f>
        <v>0</v>
      </c>
      <c r="AA451" s="67">
        <f t="shared" ref="AA451:AA458" si="54">V451+W451-X451-Y451</f>
        <v>44.995482800000005</v>
      </c>
      <c r="AB451" s="3">
        <f>O451-AA451</f>
        <v>96.8745172</v>
      </c>
      <c r="AC451" s="3">
        <f>AA451+AB451</f>
        <v>141.87</v>
      </c>
      <c r="AD451" s="3"/>
      <c r="AE451" s="67">
        <f t="shared" ref="AE451:AE458" si="55">Z451+AC451+AD451</f>
        <v>141.87</v>
      </c>
      <c r="AF451" s="67">
        <f t="shared" ref="AF451:AF458" si="56">AA451+AB451-AC451-AD451</f>
        <v>0</v>
      </c>
    </row>
    <row r="452" spans="1:32" ht="109.2">
      <c r="A452" s="41">
        <f t="shared" si="49"/>
        <v>450</v>
      </c>
      <c r="B452" s="31" t="s">
        <v>870</v>
      </c>
      <c r="C452" s="31" t="s">
        <v>1002</v>
      </c>
      <c r="D452" s="34" t="s">
        <v>1019</v>
      </c>
      <c r="E452" s="41" t="s">
        <v>1473</v>
      </c>
      <c r="F452" s="43" t="s">
        <v>1051</v>
      </c>
      <c r="G452" s="31"/>
      <c r="H452" s="41">
        <v>11</v>
      </c>
      <c r="I452" s="31" t="s">
        <v>871</v>
      </c>
      <c r="J452" s="31" t="s">
        <v>871</v>
      </c>
      <c r="K452" s="31" t="s">
        <v>872</v>
      </c>
      <c r="L452" s="156">
        <v>164.77</v>
      </c>
      <c r="M452" s="3"/>
      <c r="N452" s="31" t="s">
        <v>1044</v>
      </c>
      <c r="O452" s="156">
        <v>154.26</v>
      </c>
      <c r="P452" s="3">
        <v>0</v>
      </c>
      <c r="Q452" s="3">
        <v>0</v>
      </c>
      <c r="R452" s="25">
        <f>6.0724637+8.9447285</f>
        <v>15.0171922</v>
      </c>
      <c r="S452" s="3"/>
      <c r="T452" s="3"/>
      <c r="U452" s="67">
        <f t="shared" si="51"/>
        <v>0</v>
      </c>
      <c r="V452" s="67">
        <f t="shared" si="52"/>
        <v>15.0171922</v>
      </c>
      <c r="W452" s="154">
        <f>0.2036437+1.7543942+3.9670658+4.1785089+0.4285569+1.3606444+0.775712+0.7569804+1.2334763+3.088595+2.0585007+0.4160869+0.6261324+0.2207888+18</f>
        <v>39.069086400000003</v>
      </c>
      <c r="X452" s="67">
        <v>0</v>
      </c>
      <c r="Y452" s="3"/>
      <c r="Z452" s="67">
        <f t="shared" si="53"/>
        <v>0</v>
      </c>
      <c r="AA452" s="67">
        <f t="shared" si="54"/>
        <v>54.0862786</v>
      </c>
      <c r="AB452" s="3">
        <f>O452-AA452</f>
        <v>100.17372139999999</v>
      </c>
      <c r="AC452" s="3">
        <f>AA452+AB452</f>
        <v>154.26</v>
      </c>
      <c r="AD452" s="3"/>
      <c r="AE452" s="67">
        <f t="shared" si="55"/>
        <v>154.26</v>
      </c>
      <c r="AF452" s="67">
        <f>AA452+AB452-AC452-AD452</f>
        <v>0</v>
      </c>
    </row>
    <row r="453" spans="1:32" ht="124.8">
      <c r="A453" s="41">
        <f t="shared" ref="A453:A488" si="57">A452+1</f>
        <v>451</v>
      </c>
      <c r="B453" s="41" t="s">
        <v>845</v>
      </c>
      <c r="C453" s="34" t="s">
        <v>1002</v>
      </c>
      <c r="D453" s="34" t="s">
        <v>1023</v>
      </c>
      <c r="E453" s="41" t="s">
        <v>1474</v>
      </c>
      <c r="F453" s="76" t="s">
        <v>846</v>
      </c>
      <c r="G453" s="41"/>
      <c r="H453" s="41">
        <v>5</v>
      </c>
      <c r="I453" s="41" t="s">
        <v>847</v>
      </c>
      <c r="J453" s="41" t="s">
        <v>847</v>
      </c>
      <c r="K453" s="41" t="s">
        <v>848</v>
      </c>
      <c r="L453" s="3">
        <v>9.89</v>
      </c>
      <c r="M453" s="3">
        <v>9.89</v>
      </c>
      <c r="N453" s="41" t="s">
        <v>67</v>
      </c>
      <c r="O453" s="3">
        <v>9.89</v>
      </c>
      <c r="P453" s="3">
        <v>0</v>
      </c>
      <c r="Q453" s="3">
        <v>0</v>
      </c>
      <c r="R453" s="3"/>
      <c r="S453" s="3"/>
      <c r="T453" s="3"/>
      <c r="U453" s="67">
        <f t="shared" si="51"/>
        <v>0</v>
      </c>
      <c r="V453" s="67">
        <f t="shared" si="52"/>
        <v>0</v>
      </c>
      <c r="W453" s="69">
        <v>2.1</v>
      </c>
      <c r="X453" s="67">
        <v>0</v>
      </c>
      <c r="Y453" s="3"/>
      <c r="Z453" s="67">
        <f t="shared" si="53"/>
        <v>0</v>
      </c>
      <c r="AA453" s="67">
        <f t="shared" si="54"/>
        <v>2.1</v>
      </c>
      <c r="AB453" s="67">
        <f>O453-AA453</f>
        <v>7.7900000000000009</v>
      </c>
      <c r="AC453" s="67">
        <f>AA453+AB453</f>
        <v>9.89</v>
      </c>
      <c r="AD453" s="3"/>
      <c r="AE453" s="67">
        <f t="shared" si="55"/>
        <v>9.89</v>
      </c>
      <c r="AF453" s="67">
        <f t="shared" si="56"/>
        <v>0</v>
      </c>
    </row>
    <row r="454" spans="1:32" ht="156">
      <c r="A454" s="41">
        <f t="shared" si="57"/>
        <v>452</v>
      </c>
      <c r="B454" s="41" t="s">
        <v>849</v>
      </c>
      <c r="C454" s="34" t="s">
        <v>1002</v>
      </c>
      <c r="D454" s="34" t="s">
        <v>1023</v>
      </c>
      <c r="E454" s="34" t="s">
        <v>30</v>
      </c>
      <c r="F454" s="76" t="s">
        <v>850</v>
      </c>
      <c r="G454" s="41"/>
      <c r="H454" s="41">
        <v>1</v>
      </c>
      <c r="I454" s="41"/>
      <c r="J454" s="41"/>
      <c r="K454" s="41" t="s">
        <v>851</v>
      </c>
      <c r="L454" s="3">
        <v>78.39</v>
      </c>
      <c r="M454" s="3">
        <v>0</v>
      </c>
      <c r="N454" s="41" t="s">
        <v>1045</v>
      </c>
      <c r="O454" s="3">
        <v>78.39</v>
      </c>
      <c r="P454" s="3">
        <v>0</v>
      </c>
      <c r="Q454" s="3">
        <v>0</v>
      </c>
      <c r="R454" s="3">
        <v>48.065877200000003</v>
      </c>
      <c r="S454" s="3"/>
      <c r="T454" s="3"/>
      <c r="U454" s="67">
        <f t="shared" si="51"/>
        <v>0</v>
      </c>
      <c r="V454" s="67">
        <f t="shared" si="52"/>
        <v>48.065877200000003</v>
      </c>
      <c r="W454" s="154">
        <f>O454-V454</f>
        <v>30.324122799999998</v>
      </c>
      <c r="X454" s="67">
        <f>V454+W454</f>
        <v>78.39</v>
      </c>
      <c r="Y454" s="3"/>
      <c r="Z454" s="67">
        <f t="shared" si="53"/>
        <v>78.39</v>
      </c>
      <c r="AA454" s="67">
        <f t="shared" si="54"/>
        <v>0</v>
      </c>
      <c r="AB454" s="67"/>
      <c r="AC454" s="67"/>
      <c r="AD454" s="3"/>
      <c r="AE454" s="67">
        <f t="shared" si="55"/>
        <v>78.39</v>
      </c>
      <c r="AF454" s="67">
        <f t="shared" si="56"/>
        <v>0</v>
      </c>
    </row>
    <row r="455" spans="1:32" ht="202.8">
      <c r="A455" s="41">
        <f t="shared" si="57"/>
        <v>453</v>
      </c>
      <c r="B455" s="41" t="s">
        <v>852</v>
      </c>
      <c r="C455" s="34" t="s">
        <v>1002</v>
      </c>
      <c r="D455" s="34" t="s">
        <v>1023</v>
      </c>
      <c r="E455" s="34" t="s">
        <v>30</v>
      </c>
      <c r="F455" s="76" t="s">
        <v>853</v>
      </c>
      <c r="G455" s="41"/>
      <c r="H455" s="41">
        <v>4</v>
      </c>
      <c r="I455" s="41" t="s">
        <v>854</v>
      </c>
      <c r="J455" s="41" t="s">
        <v>854</v>
      </c>
      <c r="K455" s="41" t="s">
        <v>855</v>
      </c>
      <c r="L455" s="3">
        <v>333.05</v>
      </c>
      <c r="M455" s="3">
        <v>0</v>
      </c>
      <c r="N455" s="41" t="s">
        <v>1045</v>
      </c>
      <c r="O455" s="3">
        <v>333.05</v>
      </c>
      <c r="P455" s="3">
        <v>0</v>
      </c>
      <c r="Q455" s="3">
        <v>0</v>
      </c>
      <c r="R455" s="3">
        <v>348.15271849999999</v>
      </c>
      <c r="S455" s="3">
        <f>20.1635557+2.7402822+0.8607832+54.8072863+32.6482006+16.0222241+12.6241276+0.203727+0.6669045+78.6796603+25.5743907+53.3051329+7.3379766+2.4779436+25.9339952</f>
        <v>334.04619049999997</v>
      </c>
      <c r="T455" s="3"/>
      <c r="U455" s="67">
        <f t="shared" si="51"/>
        <v>334.04619049999997</v>
      </c>
      <c r="V455" s="67">
        <f t="shared" si="52"/>
        <v>14.106528000000026</v>
      </c>
      <c r="W455" s="154">
        <f>1.1272143+3.8209274+1.0773768+0.8113309+0.9251353+0.8656224+0.1913446+1.0562489+0.00354+0.0334157+0.3066319</f>
        <v>10.218788199999999</v>
      </c>
      <c r="X455" s="67">
        <f>V455+W455</f>
        <v>24.325316200000024</v>
      </c>
      <c r="Y455" s="3"/>
      <c r="Z455" s="67">
        <f t="shared" si="53"/>
        <v>358.3715067</v>
      </c>
      <c r="AA455" s="67">
        <f t="shared" si="54"/>
        <v>0</v>
      </c>
      <c r="AB455" s="67"/>
      <c r="AC455" s="67"/>
      <c r="AD455" s="3"/>
      <c r="AE455" s="67">
        <f t="shared" si="55"/>
        <v>358.3715067</v>
      </c>
      <c r="AF455" s="67">
        <f t="shared" si="56"/>
        <v>0</v>
      </c>
    </row>
    <row r="456" spans="1:32" ht="171.6">
      <c r="A456" s="41">
        <f t="shared" si="57"/>
        <v>454</v>
      </c>
      <c r="B456" s="41" t="s">
        <v>859</v>
      </c>
      <c r="C456" s="34" t="s">
        <v>1002</v>
      </c>
      <c r="D456" s="34" t="s">
        <v>1023</v>
      </c>
      <c r="E456" s="34" t="s">
        <v>30</v>
      </c>
      <c r="F456" s="76" t="s">
        <v>860</v>
      </c>
      <c r="G456" s="41"/>
      <c r="H456" s="41">
        <v>4</v>
      </c>
      <c r="I456" s="41" t="s">
        <v>861</v>
      </c>
      <c r="J456" s="41" t="s">
        <v>861</v>
      </c>
      <c r="K456" s="77">
        <v>44903</v>
      </c>
      <c r="L456" s="3">
        <v>6.74</v>
      </c>
      <c r="M456" s="3">
        <v>0</v>
      </c>
      <c r="N456" s="41" t="s">
        <v>516</v>
      </c>
      <c r="O456" s="3">
        <v>6.01</v>
      </c>
      <c r="P456" s="3">
        <v>0</v>
      </c>
      <c r="Q456" s="3">
        <v>0</v>
      </c>
      <c r="R456" s="3"/>
      <c r="S456" s="3"/>
      <c r="T456" s="3"/>
      <c r="U456" s="67">
        <f t="shared" si="51"/>
        <v>0</v>
      </c>
      <c r="V456" s="67">
        <f t="shared" si="52"/>
        <v>0</v>
      </c>
      <c r="W456" s="154">
        <f>O456</f>
        <v>6.01</v>
      </c>
      <c r="X456" s="67">
        <f>W456</f>
        <v>6.01</v>
      </c>
      <c r="Y456" s="3"/>
      <c r="Z456" s="67">
        <f t="shared" si="53"/>
        <v>6.01</v>
      </c>
      <c r="AA456" s="67">
        <f t="shared" si="54"/>
        <v>0</v>
      </c>
      <c r="AB456" s="3"/>
      <c r="AC456" s="3"/>
      <c r="AD456" s="3"/>
      <c r="AE456" s="67">
        <f t="shared" si="55"/>
        <v>6.01</v>
      </c>
      <c r="AF456" s="67">
        <f t="shared" si="56"/>
        <v>0</v>
      </c>
    </row>
    <row r="457" spans="1:32" ht="46.8">
      <c r="A457" s="41">
        <f t="shared" si="57"/>
        <v>455</v>
      </c>
      <c r="B457" s="41" t="s">
        <v>760</v>
      </c>
      <c r="C457" s="33" t="s">
        <v>876</v>
      </c>
      <c r="D457" s="34" t="s">
        <v>1023</v>
      </c>
      <c r="E457" s="34" t="s">
        <v>30</v>
      </c>
      <c r="F457" s="43" t="s">
        <v>1052</v>
      </c>
      <c r="G457" s="41"/>
      <c r="H457" s="41"/>
      <c r="I457" s="41"/>
      <c r="J457" s="41"/>
      <c r="K457" s="77"/>
      <c r="L457" s="3">
        <v>21.39</v>
      </c>
      <c r="M457" s="3"/>
      <c r="N457" s="36" t="s">
        <v>1054</v>
      </c>
      <c r="O457" s="3">
        <v>0</v>
      </c>
      <c r="P457" s="3">
        <v>0</v>
      </c>
      <c r="Q457" s="3">
        <v>0</v>
      </c>
      <c r="R457" s="3"/>
      <c r="S457" s="3"/>
      <c r="T457" s="3"/>
      <c r="U457" s="67">
        <f t="shared" si="51"/>
        <v>0</v>
      </c>
      <c r="V457" s="67">
        <f t="shared" si="52"/>
        <v>0</v>
      </c>
      <c r="W457" s="154">
        <f>0.0893163+1.1674896+0.1190284+0.8578721+0.3709419+1.2709128+1.7426523+3</f>
        <v>8.6182134000000001</v>
      </c>
      <c r="X457" s="3"/>
      <c r="Y457" s="3"/>
      <c r="Z457" s="67">
        <f t="shared" si="53"/>
        <v>0</v>
      </c>
      <c r="AA457" s="67">
        <f t="shared" si="54"/>
        <v>8.6182134000000001</v>
      </c>
      <c r="AB457" s="3">
        <f>L457-AA457</f>
        <v>12.7717866</v>
      </c>
      <c r="AC457" s="3">
        <f>AA457+AB457</f>
        <v>21.39</v>
      </c>
      <c r="AD457" s="3"/>
      <c r="AE457" s="67">
        <f t="shared" si="55"/>
        <v>21.39</v>
      </c>
      <c r="AF457" s="67">
        <f t="shared" si="56"/>
        <v>0</v>
      </c>
    </row>
    <row r="458" spans="1:32" ht="46.8">
      <c r="A458" s="41">
        <f t="shared" si="57"/>
        <v>456</v>
      </c>
      <c r="B458" s="41" t="s">
        <v>991</v>
      </c>
      <c r="C458" s="33" t="s">
        <v>876</v>
      </c>
      <c r="D458" s="34" t="s">
        <v>1023</v>
      </c>
      <c r="E458" s="34" t="s">
        <v>30</v>
      </c>
      <c r="F458" s="43" t="s">
        <v>1053</v>
      </c>
      <c r="G458" s="41"/>
      <c r="H458" s="41"/>
      <c r="I458" s="41"/>
      <c r="J458" s="41"/>
      <c r="K458" s="77"/>
      <c r="L458" s="3">
        <v>36.28</v>
      </c>
      <c r="M458" s="3"/>
      <c r="N458" s="36" t="s">
        <v>32</v>
      </c>
      <c r="O458" s="3">
        <v>0</v>
      </c>
      <c r="P458" s="3">
        <v>0</v>
      </c>
      <c r="Q458" s="3">
        <v>0</v>
      </c>
      <c r="R458" s="3"/>
      <c r="S458" s="3"/>
      <c r="T458" s="3"/>
      <c r="U458" s="67">
        <f t="shared" si="51"/>
        <v>0</v>
      </c>
      <c r="V458" s="67">
        <f t="shared" si="52"/>
        <v>0</v>
      </c>
      <c r="W458" s="3">
        <f>0.6184695+1.0917226+0.2338787+0.0585289+0.290575+0.8131824+0.8228357+0.6641078+0.2623731+0.264733+0.1581332+0.1455037+0.0846639+0.1682953+5</f>
        <v>10.6770028</v>
      </c>
      <c r="X458" s="3"/>
      <c r="Y458" s="3"/>
      <c r="Z458" s="67">
        <f t="shared" si="53"/>
        <v>0</v>
      </c>
      <c r="AA458" s="67">
        <f t="shared" si="54"/>
        <v>10.6770028</v>
      </c>
      <c r="AB458" s="3">
        <f>L458-AA458</f>
        <v>25.602997200000001</v>
      </c>
      <c r="AC458" s="3">
        <f>AA458+AB458</f>
        <v>36.28</v>
      </c>
      <c r="AD458" s="3"/>
      <c r="AE458" s="67">
        <f t="shared" si="55"/>
        <v>36.28</v>
      </c>
      <c r="AF458" s="67">
        <f t="shared" si="56"/>
        <v>0</v>
      </c>
    </row>
    <row r="459" spans="1:32" ht="62.4">
      <c r="A459" s="41">
        <f t="shared" si="57"/>
        <v>457</v>
      </c>
      <c r="B459" s="165" t="s">
        <v>1040</v>
      </c>
      <c r="C459" s="31" t="s">
        <v>876</v>
      </c>
      <c r="D459" s="34" t="s">
        <v>1023</v>
      </c>
      <c r="E459" s="34" t="s">
        <v>30</v>
      </c>
      <c r="F459" s="43" t="s">
        <v>1042</v>
      </c>
      <c r="G459" s="31" t="s">
        <v>28</v>
      </c>
      <c r="H459" s="41"/>
      <c r="I459" s="31" t="s">
        <v>854</v>
      </c>
      <c r="J459" s="31" t="s">
        <v>854</v>
      </c>
      <c r="K459" s="31" t="s">
        <v>1043</v>
      </c>
      <c r="L459" s="156">
        <v>138.87</v>
      </c>
      <c r="M459" s="3" t="s">
        <v>30</v>
      </c>
      <c r="N459" s="31" t="s">
        <v>32</v>
      </c>
      <c r="O459" s="156">
        <v>138.87</v>
      </c>
      <c r="P459" s="3">
        <v>0</v>
      </c>
      <c r="Q459" s="3">
        <v>0</v>
      </c>
      <c r="R459" s="25">
        <v>127.9423049</v>
      </c>
      <c r="S459" s="3">
        <f>20.449342+0.2354134+32.4888722+25.9070633+1.859639+0.1883642</f>
        <v>81.128694100000004</v>
      </c>
      <c r="T459" s="3"/>
      <c r="U459" s="67">
        <f>P459+S459+T459</f>
        <v>81.128694100000004</v>
      </c>
      <c r="V459" s="67">
        <f>Q459+R459-S459-T459</f>
        <v>46.813610799999992</v>
      </c>
      <c r="W459" s="154">
        <f>7.0727152+0.9105389+1.2538468+1.3868539+0.3886667+0.7952484+2.2396954+0.6792283</f>
        <v>14.726793600000001</v>
      </c>
      <c r="X459" s="67">
        <f>V459+W459</f>
        <v>61.540404399999993</v>
      </c>
      <c r="Y459" s="3"/>
      <c r="Z459" s="67">
        <f>U459+X459+Y459</f>
        <v>142.66909849999999</v>
      </c>
      <c r="AA459" s="67">
        <f>V459+W459-X459-Y459</f>
        <v>0</v>
      </c>
      <c r="AB459" s="3"/>
      <c r="AC459" s="3"/>
      <c r="AD459" s="3"/>
      <c r="AE459" s="67">
        <f>Z459+AC459+AD459</f>
        <v>142.66909849999999</v>
      </c>
      <c r="AF459" s="67">
        <f>AA459+AB459-AC459-AD459</f>
        <v>0</v>
      </c>
    </row>
    <row r="460" spans="1:32">
      <c r="A460" s="41">
        <f t="shared" si="57"/>
        <v>458</v>
      </c>
      <c r="B460" s="34" t="s">
        <v>30</v>
      </c>
      <c r="C460" s="34" t="s">
        <v>30</v>
      </c>
      <c r="D460" s="34" t="s">
        <v>30</v>
      </c>
      <c r="E460" s="34" t="s">
        <v>30</v>
      </c>
      <c r="F460" s="43" t="s">
        <v>839</v>
      </c>
      <c r="G460" s="41"/>
      <c r="H460" s="41"/>
      <c r="I460" s="41"/>
      <c r="J460" s="41"/>
      <c r="K460" s="77"/>
      <c r="L460" s="3"/>
      <c r="M460" s="3"/>
      <c r="N460" s="36" t="s">
        <v>29</v>
      </c>
      <c r="O460" s="156">
        <v>0</v>
      </c>
      <c r="P460" s="3">
        <v>0</v>
      </c>
      <c r="Q460" s="3">
        <v>0</v>
      </c>
      <c r="R460" s="3">
        <v>0</v>
      </c>
      <c r="S460" s="3">
        <v>10.4767826</v>
      </c>
      <c r="T460" s="3">
        <v>0</v>
      </c>
      <c r="U460" s="67">
        <f>P460+S460+T460</f>
        <v>10.4767826</v>
      </c>
      <c r="V460" s="67">
        <f>Q460+R460-S460-T460</f>
        <v>-10.4767826</v>
      </c>
      <c r="W460" s="3"/>
      <c r="X460" s="3"/>
      <c r="Y460" s="3"/>
      <c r="Z460" s="67">
        <f t="shared" ref="Z460:Z488" si="58">U460+X460+Y460</f>
        <v>10.4767826</v>
      </c>
      <c r="AA460" s="67">
        <f t="shared" ref="AA460:AA488" si="59">V460+W460-X460-Y460</f>
        <v>-10.4767826</v>
      </c>
      <c r="AB460" s="3"/>
      <c r="AC460" s="3"/>
      <c r="AD460" s="3"/>
      <c r="AE460" s="67">
        <f>Z460+AC460+AD460</f>
        <v>10.4767826</v>
      </c>
      <c r="AF460" s="67">
        <f>AA460+AB460-AC460-AD460</f>
        <v>-10.4767826</v>
      </c>
    </row>
    <row r="461" spans="1:32">
      <c r="A461" s="41">
        <f t="shared" si="57"/>
        <v>459</v>
      </c>
      <c r="B461" s="34" t="s">
        <v>30</v>
      </c>
      <c r="C461" s="34" t="s">
        <v>30</v>
      </c>
      <c r="D461" s="34" t="s">
        <v>30</v>
      </c>
      <c r="E461" s="34" t="s">
        <v>30</v>
      </c>
      <c r="F461" s="43" t="s">
        <v>1483</v>
      </c>
      <c r="G461" s="41"/>
      <c r="H461" s="41"/>
      <c r="I461" s="41"/>
      <c r="J461" s="41"/>
      <c r="K461" s="77"/>
      <c r="L461" s="3"/>
      <c r="M461" s="3"/>
      <c r="N461" s="36" t="s">
        <v>67</v>
      </c>
      <c r="O461" s="156">
        <v>0</v>
      </c>
      <c r="P461" s="3">
        <v>0</v>
      </c>
      <c r="Q461" s="3">
        <v>0</v>
      </c>
      <c r="R461" s="3">
        <v>0</v>
      </c>
      <c r="S461" s="3">
        <v>0.5032991</v>
      </c>
      <c r="T461" s="3">
        <v>0</v>
      </c>
      <c r="U461" s="67">
        <f t="shared" ref="U461:U488" si="60">P461+S461+T461</f>
        <v>0.5032991</v>
      </c>
      <c r="V461" s="67">
        <f t="shared" ref="V461:V488" si="61">Q461+R461-S461-T461</f>
        <v>-0.5032991</v>
      </c>
      <c r="W461" s="3"/>
      <c r="X461" s="3"/>
      <c r="Y461" s="3"/>
      <c r="Z461" s="67">
        <f t="shared" si="58"/>
        <v>0.5032991</v>
      </c>
      <c r="AA461" s="67">
        <f t="shared" si="59"/>
        <v>-0.5032991</v>
      </c>
      <c r="AB461" s="3"/>
      <c r="AC461" s="3"/>
      <c r="AD461" s="3"/>
      <c r="AE461" s="67">
        <f t="shared" ref="AE461:AE488" si="62">Z461+AC461+AD461</f>
        <v>0.5032991</v>
      </c>
      <c r="AF461" s="67">
        <f t="shared" ref="AF461:AF488" si="63">AA461+AB461-AC461-AD461</f>
        <v>-0.5032991</v>
      </c>
    </row>
    <row r="462" spans="1:32">
      <c r="A462" s="41">
        <f t="shared" si="57"/>
        <v>460</v>
      </c>
      <c r="B462" s="34" t="s">
        <v>30</v>
      </c>
      <c r="C462" s="34" t="s">
        <v>30</v>
      </c>
      <c r="D462" s="34" t="s">
        <v>30</v>
      </c>
      <c r="E462" s="34" t="s">
        <v>30</v>
      </c>
      <c r="F462" s="43" t="s">
        <v>1484</v>
      </c>
      <c r="G462" s="41"/>
      <c r="H462" s="41"/>
      <c r="I462" s="41"/>
      <c r="J462" s="41"/>
      <c r="K462" s="77"/>
      <c r="L462" s="3"/>
      <c r="M462" s="3"/>
      <c r="N462" s="36" t="s">
        <v>67</v>
      </c>
      <c r="O462" s="156">
        <v>0</v>
      </c>
      <c r="P462" s="3">
        <v>0</v>
      </c>
      <c r="Q462" s="3">
        <v>0</v>
      </c>
      <c r="R462" s="3">
        <v>0</v>
      </c>
      <c r="S462" s="3">
        <f>1.351966951+0.7274786</f>
        <v>2.0794455510000001</v>
      </c>
      <c r="T462" s="3">
        <v>0</v>
      </c>
      <c r="U462" s="67">
        <f t="shared" si="60"/>
        <v>2.0794455510000001</v>
      </c>
      <c r="V462" s="67">
        <f t="shared" si="61"/>
        <v>-2.0794455510000001</v>
      </c>
      <c r="W462" s="3"/>
      <c r="X462" s="3"/>
      <c r="Y462" s="3"/>
      <c r="Z462" s="67">
        <f t="shared" si="58"/>
        <v>2.0794455510000001</v>
      </c>
      <c r="AA462" s="67">
        <f t="shared" si="59"/>
        <v>-2.0794455510000001</v>
      </c>
      <c r="AB462" s="3"/>
      <c r="AC462" s="3"/>
      <c r="AD462" s="3"/>
      <c r="AE462" s="67">
        <f t="shared" si="62"/>
        <v>2.0794455510000001</v>
      </c>
      <c r="AF462" s="67">
        <f t="shared" si="63"/>
        <v>-2.0794455510000001</v>
      </c>
    </row>
    <row r="463" spans="1:32">
      <c r="A463" s="41">
        <f t="shared" si="57"/>
        <v>461</v>
      </c>
      <c r="B463" s="34" t="s">
        <v>30</v>
      </c>
      <c r="C463" s="34" t="s">
        <v>30</v>
      </c>
      <c r="D463" s="34" t="s">
        <v>30</v>
      </c>
      <c r="E463" s="34" t="s">
        <v>30</v>
      </c>
      <c r="F463" s="43" t="s">
        <v>308</v>
      </c>
      <c r="G463" s="41"/>
      <c r="H463" s="41"/>
      <c r="I463" s="41"/>
      <c r="J463" s="41"/>
      <c r="K463" s="77"/>
      <c r="L463" s="3"/>
      <c r="M463" s="3"/>
      <c r="N463" s="36" t="s">
        <v>67</v>
      </c>
      <c r="O463" s="156">
        <v>0</v>
      </c>
      <c r="P463" s="3">
        <v>0</v>
      </c>
      <c r="Q463" s="3">
        <v>0</v>
      </c>
      <c r="R463" s="3">
        <v>0</v>
      </c>
      <c r="S463" s="3">
        <v>3.1800288000000005</v>
      </c>
      <c r="T463" s="3">
        <v>0</v>
      </c>
      <c r="U463" s="67">
        <f t="shared" si="60"/>
        <v>3.1800288000000005</v>
      </c>
      <c r="V463" s="67">
        <f t="shared" si="61"/>
        <v>-3.1800288000000005</v>
      </c>
      <c r="W463" s="3"/>
      <c r="X463" s="3"/>
      <c r="Y463" s="3"/>
      <c r="Z463" s="67">
        <f t="shared" si="58"/>
        <v>3.1800288000000005</v>
      </c>
      <c r="AA463" s="67">
        <f t="shared" si="59"/>
        <v>-3.1800288000000005</v>
      </c>
      <c r="AB463" s="3"/>
      <c r="AC463" s="3"/>
      <c r="AD463" s="3"/>
      <c r="AE463" s="67">
        <f t="shared" si="62"/>
        <v>3.1800288000000005</v>
      </c>
      <c r="AF463" s="67">
        <f t="shared" si="63"/>
        <v>-3.1800288000000005</v>
      </c>
    </row>
    <row r="464" spans="1:32" ht="31.2">
      <c r="A464" s="41">
        <f t="shared" si="57"/>
        <v>462</v>
      </c>
      <c r="B464" s="32" t="s">
        <v>1485</v>
      </c>
      <c r="C464" s="33"/>
      <c r="D464" s="34"/>
      <c r="E464" s="34" t="s">
        <v>1509</v>
      </c>
      <c r="F464" s="32" t="s">
        <v>1486</v>
      </c>
      <c r="G464" s="41"/>
      <c r="H464" s="41"/>
      <c r="I464" s="41"/>
      <c r="J464" s="41"/>
      <c r="K464" s="77"/>
      <c r="L464" s="3"/>
      <c r="M464" s="3"/>
      <c r="N464" s="36" t="s">
        <v>516</v>
      </c>
      <c r="O464" s="156">
        <v>0</v>
      </c>
      <c r="P464" s="3">
        <v>0</v>
      </c>
      <c r="Q464" s="3">
        <v>0</v>
      </c>
      <c r="R464" s="25">
        <v>1.8116881</v>
      </c>
      <c r="S464" s="3">
        <v>35.450123900000001</v>
      </c>
      <c r="T464" s="3">
        <v>0</v>
      </c>
      <c r="U464" s="67">
        <f t="shared" si="60"/>
        <v>35.450123900000001</v>
      </c>
      <c r="V464" s="67">
        <f t="shared" si="61"/>
        <v>-33.638435800000003</v>
      </c>
      <c r="W464" s="3"/>
      <c r="X464" s="3"/>
      <c r="Y464" s="3"/>
      <c r="Z464" s="67">
        <f t="shared" si="58"/>
        <v>35.450123900000001</v>
      </c>
      <c r="AA464" s="67">
        <f t="shared" si="59"/>
        <v>-33.638435800000003</v>
      </c>
      <c r="AB464" s="3"/>
      <c r="AC464" s="3"/>
      <c r="AD464" s="3"/>
      <c r="AE464" s="67">
        <f t="shared" si="62"/>
        <v>35.450123900000001</v>
      </c>
      <c r="AF464" s="67">
        <f>AA464+AB464-AC464-AD464</f>
        <v>-33.638435800000003</v>
      </c>
    </row>
    <row r="465" spans="1:32" ht="46.8">
      <c r="A465" s="41">
        <f t="shared" si="57"/>
        <v>463</v>
      </c>
      <c r="B465" s="41" t="s">
        <v>1488</v>
      </c>
      <c r="C465" s="33" t="s">
        <v>876</v>
      </c>
      <c r="D465" s="34"/>
      <c r="E465" s="34" t="s">
        <v>1509</v>
      </c>
      <c r="F465" s="32" t="s">
        <v>1487</v>
      </c>
      <c r="G465" s="41"/>
      <c r="H465" s="41"/>
      <c r="I465" s="41"/>
      <c r="J465" s="41"/>
      <c r="K465" s="77"/>
      <c r="L465" s="3"/>
      <c r="M465" s="3"/>
      <c r="N465" s="36" t="s">
        <v>82</v>
      </c>
      <c r="O465" s="156">
        <v>0</v>
      </c>
      <c r="P465" s="3">
        <v>0</v>
      </c>
      <c r="Q465" s="3">
        <v>0</v>
      </c>
      <c r="R465" s="25">
        <v>0.7079685</v>
      </c>
      <c r="S465" s="3">
        <v>0.1025277</v>
      </c>
      <c r="T465" s="3">
        <v>0</v>
      </c>
      <c r="U465" s="67">
        <f t="shared" si="60"/>
        <v>0.1025277</v>
      </c>
      <c r="V465" s="67">
        <f t="shared" si="61"/>
        <v>0.6054408</v>
      </c>
      <c r="W465" s="3"/>
      <c r="X465" s="3">
        <f>V465+W465</f>
        <v>0.6054408</v>
      </c>
      <c r="Y465" s="3"/>
      <c r="Z465" s="67">
        <f t="shared" si="58"/>
        <v>0.7079685</v>
      </c>
      <c r="AA465" s="67">
        <f t="shared" si="59"/>
        <v>0</v>
      </c>
      <c r="AB465" s="3"/>
      <c r="AC465" s="3"/>
      <c r="AD465" s="3"/>
      <c r="AE465" s="67">
        <f t="shared" si="62"/>
        <v>0.7079685</v>
      </c>
      <c r="AF465" s="67">
        <f t="shared" ref="AF465" si="64">AA465+AB465-AC465-AD465</f>
        <v>0</v>
      </c>
    </row>
    <row r="466" spans="1:32" ht="202.8">
      <c r="A466" s="41">
        <f t="shared" si="57"/>
        <v>464</v>
      </c>
      <c r="B466" s="32" t="s">
        <v>1510</v>
      </c>
      <c r="C466" s="36" t="s">
        <v>876</v>
      </c>
      <c r="D466" s="34" t="s">
        <v>1023</v>
      </c>
      <c r="E466" s="34" t="s">
        <v>1509</v>
      </c>
      <c r="F466" s="32" t="s">
        <v>1490</v>
      </c>
      <c r="G466" s="41"/>
      <c r="H466" s="41"/>
      <c r="I466" s="41"/>
      <c r="J466" s="41"/>
      <c r="K466" s="77"/>
      <c r="L466" s="3"/>
      <c r="M466" s="3">
        <v>333.05</v>
      </c>
      <c r="N466" s="36" t="s">
        <v>1045</v>
      </c>
      <c r="O466" s="3">
        <v>0</v>
      </c>
      <c r="P466" s="3">
        <v>0</v>
      </c>
      <c r="Q466" s="3">
        <v>0</v>
      </c>
      <c r="R466" s="25"/>
      <c r="S466" s="3"/>
      <c r="T466" s="3"/>
      <c r="U466" s="67">
        <f t="shared" si="60"/>
        <v>0</v>
      </c>
      <c r="V466" s="67">
        <f t="shared" si="61"/>
        <v>0</v>
      </c>
      <c r="W466" s="3"/>
      <c r="X466" s="3"/>
      <c r="Y466" s="3"/>
      <c r="Z466" s="67">
        <f t="shared" si="58"/>
        <v>0</v>
      </c>
      <c r="AA466" s="67">
        <f t="shared" si="59"/>
        <v>0</v>
      </c>
      <c r="AB466" s="3"/>
      <c r="AC466" s="3"/>
      <c r="AD466" s="3"/>
      <c r="AE466" s="67">
        <f t="shared" si="62"/>
        <v>0</v>
      </c>
      <c r="AF466" s="67">
        <f t="shared" si="63"/>
        <v>0</v>
      </c>
    </row>
    <row r="467" spans="1:32" ht="62.4">
      <c r="A467" s="41">
        <f t="shared" si="57"/>
        <v>465</v>
      </c>
      <c r="B467" s="32" t="s">
        <v>1511</v>
      </c>
      <c r="C467" s="36" t="s">
        <v>1002</v>
      </c>
      <c r="D467" s="34" t="s">
        <v>1023</v>
      </c>
      <c r="E467" s="34" t="s">
        <v>1509</v>
      </c>
      <c r="F467" s="32" t="s">
        <v>1492</v>
      </c>
      <c r="G467" s="41"/>
      <c r="H467" s="41"/>
      <c r="I467" s="41"/>
      <c r="J467" s="41"/>
      <c r="K467" s="77"/>
      <c r="L467" s="3"/>
      <c r="M467" s="3">
        <v>60.81</v>
      </c>
      <c r="N467" s="36" t="s">
        <v>32</v>
      </c>
      <c r="O467" s="3">
        <v>0</v>
      </c>
      <c r="P467" s="3">
        <v>0</v>
      </c>
      <c r="Q467" s="3">
        <v>0</v>
      </c>
      <c r="R467" s="25"/>
      <c r="S467" s="3"/>
      <c r="T467" s="3"/>
      <c r="U467" s="67">
        <f t="shared" si="60"/>
        <v>0</v>
      </c>
      <c r="V467" s="67">
        <f t="shared" si="61"/>
        <v>0</v>
      </c>
      <c r="W467" s="3"/>
      <c r="X467" s="3"/>
      <c r="Y467" s="3"/>
      <c r="Z467" s="67">
        <f t="shared" si="58"/>
        <v>0</v>
      </c>
      <c r="AA467" s="67">
        <f t="shared" si="59"/>
        <v>0</v>
      </c>
      <c r="AB467" s="3"/>
      <c r="AC467" s="3"/>
      <c r="AD467" s="3"/>
      <c r="AE467" s="67">
        <f t="shared" si="62"/>
        <v>0</v>
      </c>
      <c r="AF467" s="67">
        <f t="shared" si="63"/>
        <v>0</v>
      </c>
    </row>
    <row r="468" spans="1:32" ht="124.8">
      <c r="A468" s="41">
        <f t="shared" si="57"/>
        <v>466</v>
      </c>
      <c r="B468" s="32" t="s">
        <v>1512</v>
      </c>
      <c r="C468" s="36" t="s">
        <v>1002</v>
      </c>
      <c r="D468" s="34" t="s">
        <v>1023</v>
      </c>
      <c r="E468" s="34" t="s">
        <v>1509</v>
      </c>
      <c r="F468" s="32" t="s">
        <v>1493</v>
      </c>
      <c r="G468" s="41"/>
      <c r="H468" s="41"/>
      <c r="I468" s="41"/>
      <c r="J468" s="41"/>
      <c r="K468" s="77"/>
      <c r="L468" s="3"/>
      <c r="M468" s="3">
        <v>82.73</v>
      </c>
      <c r="N468" s="36" t="s">
        <v>1045</v>
      </c>
      <c r="O468" s="3">
        <v>0</v>
      </c>
      <c r="P468" s="3">
        <v>0</v>
      </c>
      <c r="Q468" s="3">
        <v>0</v>
      </c>
      <c r="R468" s="25"/>
      <c r="S468" s="3"/>
      <c r="T468" s="3"/>
      <c r="U468" s="67">
        <f t="shared" si="60"/>
        <v>0</v>
      </c>
      <c r="V468" s="67">
        <f t="shared" si="61"/>
        <v>0</v>
      </c>
      <c r="W468" s="3"/>
      <c r="X468" s="3"/>
      <c r="Y468" s="3"/>
      <c r="Z468" s="67">
        <f t="shared" si="58"/>
        <v>0</v>
      </c>
      <c r="AA468" s="67">
        <f t="shared" si="59"/>
        <v>0</v>
      </c>
      <c r="AB468" s="3"/>
      <c r="AC468" s="3"/>
      <c r="AD468" s="3"/>
      <c r="AE468" s="67">
        <f t="shared" si="62"/>
        <v>0</v>
      </c>
      <c r="AF468" s="67">
        <f t="shared" si="63"/>
        <v>0</v>
      </c>
    </row>
    <row r="469" spans="1:32" ht="62.4">
      <c r="A469" s="41">
        <f t="shared" si="57"/>
        <v>467</v>
      </c>
      <c r="B469" s="32" t="s">
        <v>1513</v>
      </c>
      <c r="C469" s="36" t="s">
        <v>1002</v>
      </c>
      <c r="D469" s="34" t="s">
        <v>1023</v>
      </c>
      <c r="E469" s="34" t="s">
        <v>1509</v>
      </c>
      <c r="F469" s="32" t="s">
        <v>1494</v>
      </c>
      <c r="G469" s="41"/>
      <c r="H469" s="41"/>
      <c r="I469" s="41"/>
      <c r="J469" s="41"/>
      <c r="K469" s="77"/>
      <c r="L469" s="3"/>
      <c r="M469" s="3">
        <v>55.2</v>
      </c>
      <c r="N469" s="36" t="s">
        <v>32</v>
      </c>
      <c r="O469" s="3">
        <v>0</v>
      </c>
      <c r="P469" s="3">
        <v>0</v>
      </c>
      <c r="Q469" s="3">
        <v>0</v>
      </c>
      <c r="R469" s="25"/>
      <c r="S469" s="3"/>
      <c r="T469" s="3"/>
      <c r="U469" s="67">
        <f t="shared" si="60"/>
        <v>0</v>
      </c>
      <c r="V469" s="67">
        <f t="shared" si="61"/>
        <v>0</v>
      </c>
      <c r="W469" s="154">
        <v>12</v>
      </c>
      <c r="X469" s="3">
        <v>0</v>
      </c>
      <c r="Y469" s="3"/>
      <c r="Z469" s="67">
        <f t="shared" si="58"/>
        <v>0</v>
      </c>
      <c r="AA469" s="67">
        <f t="shared" si="59"/>
        <v>12</v>
      </c>
      <c r="AB469" s="3">
        <f>M469-AA469</f>
        <v>43.2</v>
      </c>
      <c r="AC469" s="3">
        <f>AA469+AB469</f>
        <v>55.2</v>
      </c>
      <c r="AD469" s="3"/>
      <c r="AE469" s="67">
        <f t="shared" si="62"/>
        <v>55.2</v>
      </c>
      <c r="AF469" s="67">
        <f t="shared" si="63"/>
        <v>0</v>
      </c>
    </row>
    <row r="470" spans="1:32" ht="78">
      <c r="A470" s="41">
        <f t="shared" si="57"/>
        <v>468</v>
      </c>
      <c r="B470" s="32" t="s">
        <v>1514</v>
      </c>
      <c r="C470" s="36" t="s">
        <v>1002</v>
      </c>
      <c r="D470" s="34" t="s">
        <v>1023</v>
      </c>
      <c r="E470" s="34" t="s">
        <v>1509</v>
      </c>
      <c r="F470" s="32" t="s">
        <v>1495</v>
      </c>
      <c r="G470" s="41"/>
      <c r="H470" s="41"/>
      <c r="I470" s="41"/>
      <c r="J470" s="41"/>
      <c r="K470" s="77"/>
      <c r="L470" s="3"/>
      <c r="M470" s="3">
        <v>98.34</v>
      </c>
      <c r="N470" s="36" t="s">
        <v>1045</v>
      </c>
      <c r="O470" s="3">
        <v>0</v>
      </c>
      <c r="P470" s="3">
        <v>0</v>
      </c>
      <c r="Q470" s="3">
        <v>0</v>
      </c>
      <c r="R470" s="25"/>
      <c r="S470" s="3"/>
      <c r="T470" s="3"/>
      <c r="U470" s="67">
        <f t="shared" si="60"/>
        <v>0</v>
      </c>
      <c r="V470" s="67">
        <f t="shared" si="61"/>
        <v>0</v>
      </c>
      <c r="W470" s="154">
        <f>4.32529+4.32529+32</f>
        <v>40.650579999999998</v>
      </c>
      <c r="X470" s="3"/>
      <c r="Y470" s="3"/>
      <c r="Z470" s="67">
        <f t="shared" si="58"/>
        <v>0</v>
      </c>
      <c r="AA470" s="67">
        <f t="shared" si="59"/>
        <v>40.650579999999998</v>
      </c>
      <c r="AB470" s="3">
        <f>M470-AA470</f>
        <v>57.689420000000005</v>
      </c>
      <c r="AC470" s="3">
        <f>M470</f>
        <v>98.34</v>
      </c>
      <c r="AD470" s="3"/>
      <c r="AE470" s="67">
        <f t="shared" si="62"/>
        <v>98.34</v>
      </c>
      <c r="AF470" s="67">
        <f t="shared" si="63"/>
        <v>0</v>
      </c>
    </row>
    <row r="471" spans="1:32" ht="93.6">
      <c r="A471" s="41">
        <f t="shared" si="57"/>
        <v>469</v>
      </c>
      <c r="B471" s="32" t="s">
        <v>1519</v>
      </c>
      <c r="C471" s="36" t="s">
        <v>1002</v>
      </c>
      <c r="D471" s="34" t="s">
        <v>1023</v>
      </c>
      <c r="E471" s="34" t="s">
        <v>1509</v>
      </c>
      <c r="F471" s="32" t="s">
        <v>1496</v>
      </c>
      <c r="G471" s="41"/>
      <c r="H471" s="41"/>
      <c r="I471" s="41"/>
      <c r="J471" s="41"/>
      <c r="K471" s="77"/>
      <c r="L471" s="3"/>
      <c r="M471" s="3">
        <v>17.57</v>
      </c>
      <c r="N471" s="41" t="s">
        <v>516</v>
      </c>
      <c r="O471" s="3">
        <v>0</v>
      </c>
      <c r="P471" s="3">
        <v>0</v>
      </c>
      <c r="Q471" s="3">
        <v>0</v>
      </c>
      <c r="R471" s="25"/>
      <c r="S471" s="3"/>
      <c r="T471" s="3"/>
      <c r="U471" s="67">
        <f t="shared" si="60"/>
        <v>0</v>
      </c>
      <c r="V471" s="67">
        <f t="shared" si="61"/>
        <v>0</v>
      </c>
      <c r="W471" s="3"/>
      <c r="X471" s="3"/>
      <c r="Y471" s="3"/>
      <c r="Z471" s="67">
        <f t="shared" si="58"/>
        <v>0</v>
      </c>
      <c r="AA471" s="67">
        <f t="shared" si="59"/>
        <v>0</v>
      </c>
      <c r="AB471" s="3"/>
      <c r="AC471" s="3"/>
      <c r="AD471" s="3"/>
      <c r="AE471" s="67">
        <f t="shared" si="62"/>
        <v>0</v>
      </c>
      <c r="AF471" s="67">
        <f t="shared" si="63"/>
        <v>0</v>
      </c>
    </row>
    <row r="472" spans="1:32" ht="62.4">
      <c r="A472" s="41">
        <f t="shared" si="57"/>
        <v>470</v>
      </c>
      <c r="B472" s="32" t="s">
        <v>1515</v>
      </c>
      <c r="C472" s="36" t="s">
        <v>1002</v>
      </c>
      <c r="D472" s="34" t="s">
        <v>1023</v>
      </c>
      <c r="E472" s="34" t="s">
        <v>1509</v>
      </c>
      <c r="F472" s="32" t="s">
        <v>1497</v>
      </c>
      <c r="G472" s="41"/>
      <c r="H472" s="41"/>
      <c r="I472" s="41"/>
      <c r="J472" s="41"/>
      <c r="K472" s="77"/>
      <c r="L472" s="3"/>
      <c r="M472" s="3">
        <v>9.6</v>
      </c>
      <c r="N472" s="41" t="s">
        <v>516</v>
      </c>
      <c r="O472" s="3">
        <v>0</v>
      </c>
      <c r="P472" s="3">
        <v>0</v>
      </c>
      <c r="Q472" s="3">
        <v>0</v>
      </c>
      <c r="R472" s="25"/>
      <c r="S472" s="3"/>
      <c r="T472" s="3"/>
      <c r="U472" s="67">
        <f t="shared" si="60"/>
        <v>0</v>
      </c>
      <c r="V472" s="67">
        <f t="shared" si="61"/>
        <v>0</v>
      </c>
      <c r="W472" s="3"/>
      <c r="X472" s="3"/>
      <c r="Y472" s="3"/>
      <c r="Z472" s="67">
        <f t="shared" si="58"/>
        <v>0</v>
      </c>
      <c r="AA472" s="67">
        <f t="shared" si="59"/>
        <v>0</v>
      </c>
      <c r="AB472" s="3">
        <f>M472-Z472-AA472</f>
        <v>9.6</v>
      </c>
      <c r="AC472" s="3">
        <f>AA472+AB472</f>
        <v>9.6</v>
      </c>
      <c r="AD472" s="3"/>
      <c r="AE472" s="67">
        <f t="shared" si="62"/>
        <v>9.6</v>
      </c>
      <c r="AF472" s="67">
        <f t="shared" si="63"/>
        <v>0</v>
      </c>
    </row>
    <row r="473" spans="1:32" ht="109.2">
      <c r="A473" s="41">
        <f t="shared" si="57"/>
        <v>471</v>
      </c>
      <c r="B473" s="32" t="s">
        <v>1516</v>
      </c>
      <c r="C473" s="36" t="s">
        <v>1002</v>
      </c>
      <c r="D473" s="34" t="s">
        <v>1023</v>
      </c>
      <c r="E473" s="34" t="s">
        <v>1509</v>
      </c>
      <c r="F473" s="32" t="s">
        <v>1498</v>
      </c>
      <c r="G473" s="41"/>
      <c r="H473" s="41"/>
      <c r="I473" s="41"/>
      <c r="J473" s="41"/>
      <c r="K473" s="77"/>
      <c r="L473" s="3"/>
      <c r="M473" s="3">
        <v>123.83</v>
      </c>
      <c r="N473" s="36" t="s">
        <v>32</v>
      </c>
      <c r="O473" s="3">
        <v>0</v>
      </c>
      <c r="P473" s="3">
        <v>0</v>
      </c>
      <c r="Q473" s="3">
        <v>0</v>
      </c>
      <c r="R473" s="25"/>
      <c r="S473" s="3"/>
      <c r="T473" s="3"/>
      <c r="U473" s="67">
        <f t="shared" si="60"/>
        <v>0</v>
      </c>
      <c r="V473" s="67">
        <f t="shared" si="61"/>
        <v>0</v>
      </c>
      <c r="W473" s="3">
        <f>M473*35%</f>
        <v>43.340499999999999</v>
      </c>
      <c r="X473" s="3">
        <v>0</v>
      </c>
      <c r="Y473" s="3"/>
      <c r="Z473" s="67">
        <f t="shared" si="58"/>
        <v>0</v>
      </c>
      <c r="AA473" s="67">
        <f t="shared" si="59"/>
        <v>43.340499999999999</v>
      </c>
      <c r="AB473" s="3">
        <f>M473-AA473</f>
        <v>80.489499999999992</v>
      </c>
      <c r="AC473" s="3">
        <f>AA473+AB473</f>
        <v>123.82999999999998</v>
      </c>
      <c r="AD473" s="3"/>
      <c r="AE473" s="67">
        <f t="shared" si="62"/>
        <v>123.82999999999998</v>
      </c>
      <c r="AF473" s="67">
        <f t="shared" si="63"/>
        <v>0</v>
      </c>
    </row>
    <row r="474" spans="1:32" ht="124.8">
      <c r="A474" s="41">
        <f t="shared" si="57"/>
        <v>472</v>
      </c>
      <c r="B474" s="32" t="s">
        <v>1517</v>
      </c>
      <c r="C474" s="36" t="s">
        <v>1002</v>
      </c>
      <c r="D474" s="34" t="s">
        <v>1023</v>
      </c>
      <c r="E474" s="34" t="s">
        <v>1509</v>
      </c>
      <c r="F474" s="32" t="s">
        <v>1499</v>
      </c>
      <c r="G474" s="41"/>
      <c r="H474" s="41"/>
      <c r="I474" s="41"/>
      <c r="J474" s="41"/>
      <c r="K474" s="77"/>
      <c r="L474" s="3"/>
      <c r="M474" s="3">
        <v>18.2</v>
      </c>
      <c r="N474" s="36" t="s">
        <v>67</v>
      </c>
      <c r="O474" s="3">
        <v>0</v>
      </c>
      <c r="P474" s="3">
        <v>0</v>
      </c>
      <c r="Q474" s="3">
        <v>0</v>
      </c>
      <c r="R474" s="25"/>
      <c r="S474" s="3"/>
      <c r="T474" s="3"/>
      <c r="U474" s="67">
        <f t="shared" si="60"/>
        <v>0</v>
      </c>
      <c r="V474" s="67">
        <f t="shared" si="61"/>
        <v>0</v>
      </c>
      <c r="W474" s="3">
        <v>8.25</v>
      </c>
      <c r="X474" s="3"/>
      <c r="Y474" s="3"/>
      <c r="Z474" s="67">
        <f t="shared" si="58"/>
        <v>0</v>
      </c>
      <c r="AA474" s="67">
        <f t="shared" si="59"/>
        <v>8.25</v>
      </c>
      <c r="AB474" s="3">
        <f>M474-AA474</f>
        <v>9.9499999999999993</v>
      </c>
      <c r="AC474" s="3">
        <f>AA474+AB474</f>
        <v>18.2</v>
      </c>
      <c r="AD474" s="3"/>
      <c r="AE474" s="67">
        <f t="shared" si="62"/>
        <v>18.2</v>
      </c>
      <c r="AF474" s="67">
        <f t="shared" si="63"/>
        <v>0</v>
      </c>
    </row>
    <row r="475" spans="1:32" ht="62.4">
      <c r="A475" s="41">
        <f t="shared" si="57"/>
        <v>473</v>
      </c>
      <c r="B475" s="32" t="s">
        <v>1542</v>
      </c>
      <c r="C475" s="36" t="s">
        <v>1002</v>
      </c>
      <c r="D475" s="34" t="s">
        <v>1023</v>
      </c>
      <c r="E475" s="34" t="s">
        <v>1509</v>
      </c>
      <c r="F475" s="32" t="s">
        <v>1500</v>
      </c>
      <c r="G475" s="41"/>
      <c r="H475" s="41"/>
      <c r="I475" s="41"/>
      <c r="J475" s="41"/>
      <c r="K475" s="77"/>
      <c r="L475" s="3"/>
      <c r="M475" s="3">
        <v>998.39</v>
      </c>
      <c r="N475" s="36" t="s">
        <v>32</v>
      </c>
      <c r="O475" s="3">
        <v>0</v>
      </c>
      <c r="P475" s="3">
        <v>0</v>
      </c>
      <c r="Q475" s="3">
        <v>0</v>
      </c>
      <c r="R475" s="25"/>
      <c r="S475" s="3"/>
      <c r="T475" s="3"/>
      <c r="U475" s="67">
        <f t="shared" si="60"/>
        <v>0</v>
      </c>
      <c r="V475" s="67">
        <f t="shared" si="61"/>
        <v>0</v>
      </c>
      <c r="W475" s="3"/>
      <c r="X475" s="3"/>
      <c r="Y475" s="3"/>
      <c r="Z475" s="67">
        <f t="shared" si="58"/>
        <v>0</v>
      </c>
      <c r="AA475" s="67">
        <f t="shared" si="59"/>
        <v>0</v>
      </c>
      <c r="AB475" s="3"/>
      <c r="AC475" s="3"/>
      <c r="AD475" s="3"/>
      <c r="AE475" s="67">
        <f t="shared" si="62"/>
        <v>0</v>
      </c>
      <c r="AF475" s="67">
        <f t="shared" si="63"/>
        <v>0</v>
      </c>
    </row>
    <row r="476" spans="1:32" ht="109.2">
      <c r="A476" s="41">
        <f t="shared" si="57"/>
        <v>474</v>
      </c>
      <c r="B476" s="32" t="s">
        <v>1543</v>
      </c>
      <c r="C476" s="36" t="s">
        <v>876</v>
      </c>
      <c r="D476" s="34" t="s">
        <v>1023</v>
      </c>
      <c r="E476" s="34" t="s">
        <v>1509</v>
      </c>
      <c r="F476" s="32" t="s">
        <v>1501</v>
      </c>
      <c r="G476" s="41"/>
      <c r="H476" s="41"/>
      <c r="I476" s="41"/>
      <c r="J476" s="41"/>
      <c r="K476" s="77"/>
      <c r="L476" s="3"/>
      <c r="M476" s="3">
        <v>129.75</v>
      </c>
      <c r="N476" s="36" t="s">
        <v>32</v>
      </c>
      <c r="O476" s="3">
        <v>0</v>
      </c>
      <c r="P476" s="3">
        <v>0</v>
      </c>
      <c r="Q476" s="3">
        <v>0</v>
      </c>
      <c r="R476" s="25"/>
      <c r="S476" s="3"/>
      <c r="T476" s="3"/>
      <c r="U476" s="67">
        <f t="shared" si="60"/>
        <v>0</v>
      </c>
      <c r="V476" s="67">
        <f t="shared" si="61"/>
        <v>0</v>
      </c>
      <c r="W476" s="3"/>
      <c r="X476" s="3"/>
      <c r="Y476" s="3"/>
      <c r="Z476" s="67">
        <f t="shared" si="58"/>
        <v>0</v>
      </c>
      <c r="AA476" s="67">
        <f t="shared" si="59"/>
        <v>0</v>
      </c>
      <c r="AB476" s="3"/>
      <c r="AC476" s="3"/>
      <c r="AD476" s="3"/>
      <c r="AE476" s="67">
        <f t="shared" si="62"/>
        <v>0</v>
      </c>
      <c r="AF476" s="67">
        <f t="shared" si="63"/>
        <v>0</v>
      </c>
    </row>
    <row r="477" spans="1:32" ht="109.2">
      <c r="A477" s="41">
        <f t="shared" si="57"/>
        <v>475</v>
      </c>
      <c r="B477" s="32" t="s">
        <v>1518</v>
      </c>
      <c r="C477" s="36" t="s">
        <v>876</v>
      </c>
      <c r="D477" s="34" t="s">
        <v>1023</v>
      </c>
      <c r="E477" s="34" t="s">
        <v>1509</v>
      </c>
      <c r="F477" s="32" t="s">
        <v>1502</v>
      </c>
      <c r="G477" s="41"/>
      <c r="H477" s="41"/>
      <c r="I477" s="41"/>
      <c r="J477" s="41"/>
      <c r="K477" s="77"/>
      <c r="L477" s="3"/>
      <c r="M477" s="3">
        <v>99.61</v>
      </c>
      <c r="N477" s="36" t="s">
        <v>1549</v>
      </c>
      <c r="O477" s="3">
        <v>0</v>
      </c>
      <c r="P477" s="3">
        <v>0</v>
      </c>
      <c r="Q477" s="3">
        <v>0</v>
      </c>
      <c r="R477" s="25"/>
      <c r="S477" s="3"/>
      <c r="T477" s="3"/>
      <c r="U477" s="67">
        <f t="shared" si="60"/>
        <v>0</v>
      </c>
      <c r="V477" s="67">
        <f t="shared" si="61"/>
        <v>0</v>
      </c>
      <c r="W477" s="3">
        <f>M477-7.73</f>
        <v>91.88</v>
      </c>
      <c r="X477" s="3"/>
      <c r="Y477" s="3"/>
      <c r="Z477" s="67">
        <f t="shared" si="58"/>
        <v>0</v>
      </c>
      <c r="AA477" s="67">
        <f t="shared" si="59"/>
        <v>91.88</v>
      </c>
      <c r="AB477" s="3">
        <f>M477-AA477</f>
        <v>7.730000000000004</v>
      </c>
      <c r="AC477" s="3">
        <f>AA477+AB477</f>
        <v>99.61</v>
      </c>
      <c r="AD477" s="3"/>
      <c r="AE477" s="67">
        <f t="shared" si="62"/>
        <v>99.61</v>
      </c>
      <c r="AF477" s="67">
        <f t="shared" si="63"/>
        <v>0</v>
      </c>
    </row>
    <row r="478" spans="1:32" ht="109.2">
      <c r="A478" s="41">
        <f t="shared" si="57"/>
        <v>476</v>
      </c>
      <c r="B478" s="32" t="s">
        <v>1544</v>
      </c>
      <c r="C478" s="36" t="s">
        <v>876</v>
      </c>
      <c r="D478" s="34" t="s">
        <v>1023</v>
      </c>
      <c r="E478" s="34" t="s">
        <v>1509</v>
      </c>
      <c r="F478" s="32" t="s">
        <v>1503</v>
      </c>
      <c r="G478" s="41"/>
      <c r="H478" s="41"/>
      <c r="I478" s="41"/>
      <c r="J478" s="41"/>
      <c r="K478" s="77"/>
      <c r="L478" s="3"/>
      <c r="M478" s="3">
        <v>255.9</v>
      </c>
      <c r="N478" s="41" t="s">
        <v>516</v>
      </c>
      <c r="O478" s="3">
        <v>0</v>
      </c>
      <c r="P478" s="3">
        <v>0</v>
      </c>
      <c r="Q478" s="3">
        <v>0</v>
      </c>
      <c r="R478" s="25"/>
      <c r="S478" s="3"/>
      <c r="T478" s="3"/>
      <c r="U478" s="67">
        <f t="shared" si="60"/>
        <v>0</v>
      </c>
      <c r="V478" s="67">
        <f t="shared" si="61"/>
        <v>0</v>
      </c>
      <c r="W478" s="3"/>
      <c r="X478" s="3"/>
      <c r="Y478" s="3"/>
      <c r="Z478" s="67">
        <f t="shared" si="58"/>
        <v>0</v>
      </c>
      <c r="AA478" s="67">
        <f t="shared" si="59"/>
        <v>0</v>
      </c>
      <c r="AB478" s="3"/>
      <c r="AC478" s="3"/>
      <c r="AD478" s="3"/>
      <c r="AE478" s="67">
        <f t="shared" si="62"/>
        <v>0</v>
      </c>
      <c r="AF478" s="67">
        <f t="shared" si="63"/>
        <v>0</v>
      </c>
    </row>
    <row r="479" spans="1:32" ht="78">
      <c r="A479" s="41">
        <f t="shared" si="57"/>
        <v>477</v>
      </c>
      <c r="B479" s="32" t="s">
        <v>1520</v>
      </c>
      <c r="C479" s="36" t="s">
        <v>876</v>
      </c>
      <c r="D479" s="34" t="s">
        <v>1023</v>
      </c>
      <c r="E479" s="34" t="s">
        <v>1509</v>
      </c>
      <c r="F479" s="32" t="s">
        <v>1504</v>
      </c>
      <c r="G479" s="41"/>
      <c r="H479" s="41"/>
      <c r="I479" s="41"/>
      <c r="J479" s="41"/>
      <c r="K479" s="77"/>
      <c r="L479" s="3"/>
      <c r="M479" s="3">
        <v>4.8499999999999996</v>
      </c>
      <c r="N479" s="41" t="s">
        <v>516</v>
      </c>
      <c r="O479" s="3">
        <v>0</v>
      </c>
      <c r="P479" s="3">
        <v>0</v>
      </c>
      <c r="Q479" s="3">
        <v>0</v>
      </c>
      <c r="R479" s="25"/>
      <c r="S479" s="3"/>
      <c r="T479" s="3"/>
      <c r="U479" s="67">
        <f t="shared" si="60"/>
        <v>0</v>
      </c>
      <c r="V479" s="67">
        <f t="shared" si="61"/>
        <v>0</v>
      </c>
      <c r="W479" s="3">
        <f>M479</f>
        <v>4.8499999999999996</v>
      </c>
      <c r="X479" s="3">
        <f>W479</f>
        <v>4.8499999999999996</v>
      </c>
      <c r="Y479" s="3"/>
      <c r="Z479" s="67">
        <f t="shared" si="58"/>
        <v>4.8499999999999996</v>
      </c>
      <c r="AA479" s="67">
        <f t="shared" si="59"/>
        <v>0</v>
      </c>
      <c r="AB479" s="3"/>
      <c r="AC479" s="3"/>
      <c r="AD479" s="3"/>
      <c r="AE479" s="67">
        <f t="shared" si="62"/>
        <v>4.8499999999999996</v>
      </c>
      <c r="AF479" s="67">
        <f t="shared" si="63"/>
        <v>0</v>
      </c>
    </row>
    <row r="480" spans="1:32" ht="62.4">
      <c r="A480" s="41">
        <f t="shared" si="57"/>
        <v>478</v>
      </c>
      <c r="B480" s="32" t="s">
        <v>1523</v>
      </c>
      <c r="C480" s="33" t="s">
        <v>876</v>
      </c>
      <c r="D480" s="34"/>
      <c r="E480" s="34"/>
      <c r="F480" s="38" t="s">
        <v>1537</v>
      </c>
      <c r="G480" s="41"/>
      <c r="H480" s="41"/>
      <c r="I480" s="41"/>
      <c r="J480" s="41"/>
      <c r="K480" s="77"/>
      <c r="L480" s="3"/>
      <c r="M480" s="3">
        <v>3.25</v>
      </c>
      <c r="N480" s="36"/>
      <c r="O480" s="3">
        <v>0</v>
      </c>
      <c r="P480" s="3">
        <v>0</v>
      </c>
      <c r="Q480" s="3">
        <v>0</v>
      </c>
      <c r="R480" s="25">
        <v>2.1269228999999998</v>
      </c>
      <c r="S480" s="3"/>
      <c r="T480" s="3"/>
      <c r="U480" s="67">
        <f t="shared" si="60"/>
        <v>0</v>
      </c>
      <c r="V480" s="67">
        <f t="shared" si="61"/>
        <v>2.1269228999999998</v>
      </c>
      <c r="W480" s="3"/>
      <c r="X480" s="3">
        <f>V480</f>
        <v>2.1269228999999998</v>
      </c>
      <c r="Y480" s="3"/>
      <c r="Z480" s="67">
        <f t="shared" si="58"/>
        <v>2.1269228999999998</v>
      </c>
      <c r="AA480" s="67">
        <f t="shared" si="59"/>
        <v>0</v>
      </c>
      <c r="AB480" s="3"/>
      <c r="AC480" s="3"/>
      <c r="AD480" s="3"/>
      <c r="AE480" s="67">
        <f t="shared" si="62"/>
        <v>2.1269228999999998</v>
      </c>
      <c r="AF480" s="67">
        <f t="shared" si="63"/>
        <v>0</v>
      </c>
    </row>
    <row r="481" spans="1:32" ht="62.4">
      <c r="A481" s="41">
        <f t="shared" si="57"/>
        <v>479</v>
      </c>
      <c r="B481" s="32" t="s">
        <v>1524</v>
      </c>
      <c r="C481" s="33" t="s">
        <v>876</v>
      </c>
      <c r="D481" s="34"/>
      <c r="E481" s="34" t="s">
        <v>1521</v>
      </c>
      <c r="F481" s="38" t="s">
        <v>1538</v>
      </c>
      <c r="G481" s="41"/>
      <c r="H481" s="41"/>
      <c r="I481" s="41"/>
      <c r="J481" s="41"/>
      <c r="K481" s="77"/>
      <c r="L481" s="3"/>
      <c r="M481" s="3"/>
      <c r="N481" s="36"/>
      <c r="O481" s="3">
        <v>0</v>
      </c>
      <c r="P481" s="3">
        <v>0</v>
      </c>
      <c r="Q481" s="3">
        <v>0</v>
      </c>
      <c r="R481" s="25">
        <v>1.5247842</v>
      </c>
      <c r="S481" s="3"/>
      <c r="T481" s="3"/>
      <c r="U481" s="67">
        <f t="shared" si="60"/>
        <v>0</v>
      </c>
      <c r="V481" s="67">
        <f t="shared" si="61"/>
        <v>1.5247842</v>
      </c>
      <c r="W481" s="3"/>
      <c r="X481" s="3">
        <f>V481</f>
        <v>1.5247842</v>
      </c>
      <c r="Y481" s="3"/>
      <c r="Z481" s="67">
        <f t="shared" si="58"/>
        <v>1.5247842</v>
      </c>
      <c r="AA481" s="67">
        <f t="shared" si="59"/>
        <v>0</v>
      </c>
      <c r="AB481" s="3"/>
      <c r="AC481" s="3"/>
      <c r="AD481" s="3"/>
      <c r="AE481" s="67">
        <f t="shared" si="62"/>
        <v>1.5247842</v>
      </c>
      <c r="AF481" s="67">
        <f t="shared" si="63"/>
        <v>0</v>
      </c>
    </row>
    <row r="482" spans="1:32" ht="46.8">
      <c r="A482" s="41">
        <f t="shared" si="57"/>
        <v>480</v>
      </c>
      <c r="B482" s="32" t="s">
        <v>1525</v>
      </c>
      <c r="C482" s="33" t="s">
        <v>1002</v>
      </c>
      <c r="D482" s="34"/>
      <c r="E482" s="34"/>
      <c r="F482" s="38" t="s">
        <v>1535</v>
      </c>
      <c r="G482" s="41"/>
      <c r="H482" s="41"/>
      <c r="I482" s="41"/>
      <c r="J482" s="41"/>
      <c r="K482" s="77"/>
      <c r="L482" s="3"/>
      <c r="M482" s="3"/>
      <c r="N482" s="36"/>
      <c r="O482" s="3">
        <v>0</v>
      </c>
      <c r="P482" s="3">
        <v>0</v>
      </c>
      <c r="Q482" s="3">
        <v>0</v>
      </c>
      <c r="R482" s="25">
        <v>0.336011</v>
      </c>
      <c r="S482" s="3"/>
      <c r="T482" s="3"/>
      <c r="U482" s="67">
        <f t="shared" si="60"/>
        <v>0</v>
      </c>
      <c r="V482" s="67">
        <f t="shared" si="61"/>
        <v>0.336011</v>
      </c>
      <c r="W482" s="3"/>
      <c r="X482" s="3">
        <f>V482+W482</f>
        <v>0.336011</v>
      </c>
      <c r="Y482" s="3"/>
      <c r="Z482" s="67">
        <f t="shared" si="58"/>
        <v>0.336011</v>
      </c>
      <c r="AA482" s="67">
        <f t="shared" si="59"/>
        <v>0</v>
      </c>
      <c r="AB482" s="3"/>
      <c r="AC482" s="3"/>
      <c r="AD482" s="3"/>
      <c r="AE482" s="67">
        <f t="shared" si="62"/>
        <v>0.336011</v>
      </c>
      <c r="AF482" s="67">
        <f t="shared" si="63"/>
        <v>0</v>
      </c>
    </row>
    <row r="483" spans="1:32" ht="62.4">
      <c r="A483" s="41">
        <f t="shared" si="57"/>
        <v>481</v>
      </c>
      <c r="B483" s="32" t="s">
        <v>1527</v>
      </c>
      <c r="C483" s="33" t="s">
        <v>876</v>
      </c>
      <c r="D483" s="34"/>
      <c r="E483" s="34"/>
      <c r="F483" s="38" t="s">
        <v>1536</v>
      </c>
      <c r="G483" s="41"/>
      <c r="H483" s="41"/>
      <c r="I483" s="41"/>
      <c r="J483" s="41"/>
      <c r="K483" s="77"/>
      <c r="L483" s="3"/>
      <c r="M483" s="3"/>
      <c r="N483" s="36"/>
      <c r="O483" s="3">
        <v>0</v>
      </c>
      <c r="P483" s="3">
        <v>0</v>
      </c>
      <c r="Q483" s="3">
        <v>0</v>
      </c>
      <c r="R483" s="25">
        <v>1.3376047</v>
      </c>
      <c r="S483" s="3"/>
      <c r="T483" s="3"/>
      <c r="U483" s="67">
        <f t="shared" si="60"/>
        <v>0</v>
      </c>
      <c r="V483" s="67">
        <f t="shared" si="61"/>
        <v>1.3376047</v>
      </c>
      <c r="W483" s="3"/>
      <c r="X483" s="3">
        <f>V483</f>
        <v>1.3376047</v>
      </c>
      <c r="Y483" s="3"/>
      <c r="Z483" s="67">
        <f t="shared" si="58"/>
        <v>1.3376047</v>
      </c>
      <c r="AA483" s="67">
        <f t="shared" si="59"/>
        <v>0</v>
      </c>
      <c r="AB483" s="3"/>
      <c r="AC483" s="3"/>
      <c r="AD483" s="3"/>
      <c r="AE483" s="67">
        <f t="shared" si="62"/>
        <v>1.3376047</v>
      </c>
      <c r="AF483" s="67">
        <f t="shared" si="63"/>
        <v>0</v>
      </c>
    </row>
    <row r="484" spans="1:32" ht="31.2">
      <c r="A484" s="41">
        <f t="shared" si="57"/>
        <v>482</v>
      </c>
      <c r="B484" s="32" t="s">
        <v>1528</v>
      </c>
      <c r="C484" s="33"/>
      <c r="D484" s="34"/>
      <c r="E484" s="34"/>
      <c r="F484" s="38" t="s">
        <v>1534</v>
      </c>
      <c r="G484" s="41"/>
      <c r="H484" s="41"/>
      <c r="I484" s="41"/>
      <c r="J484" s="41"/>
      <c r="K484" s="77"/>
      <c r="L484" s="3"/>
      <c r="M484" s="3"/>
      <c r="N484" s="36"/>
      <c r="O484" s="3">
        <v>0</v>
      </c>
      <c r="P484" s="3">
        <v>0</v>
      </c>
      <c r="Q484" s="3">
        <v>0</v>
      </c>
      <c r="R484" s="25">
        <v>0.44060719999999998</v>
      </c>
      <c r="S484" s="3"/>
      <c r="T484" s="3"/>
      <c r="U484" s="67">
        <f t="shared" si="60"/>
        <v>0</v>
      </c>
      <c r="V484" s="67">
        <f t="shared" si="61"/>
        <v>0.44060719999999998</v>
      </c>
      <c r="W484" s="3"/>
      <c r="X484" s="3"/>
      <c r="Y484" s="3"/>
      <c r="Z484" s="67">
        <f t="shared" si="58"/>
        <v>0</v>
      </c>
      <c r="AA484" s="67">
        <f t="shared" si="59"/>
        <v>0.44060719999999998</v>
      </c>
      <c r="AB484" s="3"/>
      <c r="AC484" s="3"/>
      <c r="AD484" s="3"/>
      <c r="AE484" s="67">
        <f t="shared" si="62"/>
        <v>0</v>
      </c>
      <c r="AF484" s="67">
        <f t="shared" si="63"/>
        <v>0.44060719999999998</v>
      </c>
    </row>
    <row r="485" spans="1:32" ht="46.8">
      <c r="A485" s="41">
        <f t="shared" si="57"/>
        <v>483</v>
      </c>
      <c r="B485" s="32" t="s">
        <v>1526</v>
      </c>
      <c r="C485" s="33"/>
      <c r="D485" s="34"/>
      <c r="E485" s="34"/>
      <c r="F485" s="38" t="s">
        <v>1533</v>
      </c>
      <c r="G485" s="41"/>
      <c r="H485" s="41"/>
      <c r="I485" s="41"/>
      <c r="J485" s="41"/>
      <c r="K485" s="77"/>
      <c r="L485" s="3"/>
      <c r="M485" s="3"/>
      <c r="N485" s="36"/>
      <c r="O485" s="3">
        <v>0</v>
      </c>
      <c r="P485" s="3">
        <v>0</v>
      </c>
      <c r="Q485" s="3">
        <v>0</v>
      </c>
      <c r="R485" s="25">
        <v>0.1564449</v>
      </c>
      <c r="S485" s="3"/>
      <c r="T485" s="3"/>
      <c r="U485" s="67">
        <f t="shared" si="60"/>
        <v>0</v>
      </c>
      <c r="V485" s="67">
        <f t="shared" si="61"/>
        <v>0.1564449</v>
      </c>
      <c r="W485" s="3"/>
      <c r="X485" s="3"/>
      <c r="Y485" s="3"/>
      <c r="Z485" s="67">
        <f t="shared" si="58"/>
        <v>0</v>
      </c>
      <c r="AA485" s="67">
        <f t="shared" si="59"/>
        <v>0.1564449</v>
      </c>
      <c r="AB485" s="3"/>
      <c r="AC485" s="3"/>
      <c r="AD485" s="3"/>
      <c r="AE485" s="67">
        <f t="shared" si="62"/>
        <v>0</v>
      </c>
      <c r="AF485" s="67">
        <f t="shared" si="63"/>
        <v>0.1564449</v>
      </c>
    </row>
    <row r="486" spans="1:32" ht="31.2">
      <c r="A486" s="41">
        <f t="shared" si="57"/>
        <v>484</v>
      </c>
      <c r="B486" s="32" t="s">
        <v>1529</v>
      </c>
      <c r="C486" s="33"/>
      <c r="D486" s="34"/>
      <c r="E486" s="34"/>
      <c r="F486" s="38" t="s">
        <v>1532</v>
      </c>
      <c r="G486" s="41"/>
      <c r="H486" s="41"/>
      <c r="I486" s="41"/>
      <c r="J486" s="41"/>
      <c r="K486" s="77"/>
      <c r="L486" s="3"/>
      <c r="M486" s="3"/>
      <c r="N486" s="36"/>
      <c r="O486" s="3">
        <v>0</v>
      </c>
      <c r="P486" s="3">
        <v>0</v>
      </c>
      <c r="Q486" s="3">
        <v>0</v>
      </c>
      <c r="R486" s="25">
        <v>1.0995197999999999</v>
      </c>
      <c r="S486" s="3"/>
      <c r="T486" s="3"/>
      <c r="U486" s="67">
        <f>P486+S486+T486</f>
        <v>0</v>
      </c>
      <c r="V486" s="67">
        <f t="shared" si="61"/>
        <v>1.0995197999999999</v>
      </c>
      <c r="W486" s="154"/>
      <c r="X486" s="3"/>
      <c r="Y486" s="3"/>
      <c r="Z486" s="67">
        <f t="shared" si="58"/>
        <v>0</v>
      </c>
      <c r="AA486" s="67">
        <f t="shared" si="59"/>
        <v>1.0995197999999999</v>
      </c>
      <c r="AB486" s="3"/>
      <c r="AC486" s="3"/>
      <c r="AD486" s="3"/>
      <c r="AE486" s="67">
        <f t="shared" si="62"/>
        <v>0</v>
      </c>
      <c r="AF486" s="67">
        <f t="shared" si="63"/>
        <v>1.0995197999999999</v>
      </c>
    </row>
    <row r="487" spans="1:32" ht="46.8">
      <c r="A487" s="41">
        <f t="shared" si="57"/>
        <v>485</v>
      </c>
      <c r="B487" s="32" t="s">
        <v>1530</v>
      </c>
      <c r="C487" s="33" t="s">
        <v>876</v>
      </c>
      <c r="D487" s="34"/>
      <c r="E487" s="34" t="s">
        <v>1522</v>
      </c>
      <c r="F487" s="38" t="s">
        <v>1531</v>
      </c>
      <c r="G487" s="41"/>
      <c r="H487" s="41"/>
      <c r="I487" s="41"/>
      <c r="J487" s="41"/>
      <c r="K487" s="77"/>
      <c r="L487" s="3">
        <v>136.13</v>
      </c>
      <c r="M487" s="3"/>
      <c r="N487" s="36"/>
      <c r="O487" s="3">
        <v>0</v>
      </c>
      <c r="P487" s="3">
        <v>0</v>
      </c>
      <c r="Q487" s="3">
        <v>0</v>
      </c>
      <c r="R487" s="25">
        <v>96.072838000000004</v>
      </c>
      <c r="S487" s="3"/>
      <c r="T487" s="3"/>
      <c r="U487" s="67">
        <f t="shared" ref="U487" si="65">P487+S487+T487</f>
        <v>0</v>
      </c>
      <c r="V487" s="67">
        <f t="shared" ref="V487" si="66">Q487+R487-S487-T487</f>
        <v>96.072838000000004</v>
      </c>
      <c r="W487" s="154">
        <f>L487-V487</f>
        <v>40.057161999999991</v>
      </c>
      <c r="X487" s="3">
        <f>V487+W487</f>
        <v>136.13</v>
      </c>
      <c r="Y487" s="3"/>
      <c r="Z487" s="67">
        <f t="shared" ref="Z487" si="67">U487+X487+Y487</f>
        <v>136.13</v>
      </c>
      <c r="AA487" s="67">
        <f t="shared" ref="AA487" si="68">V487+W487-X487-Y487</f>
        <v>0</v>
      </c>
      <c r="AB487" s="3"/>
      <c r="AC487" s="3"/>
      <c r="AD487" s="3"/>
      <c r="AE487" s="67">
        <f t="shared" ref="AE487" si="69">Z487+AC487+AD487</f>
        <v>136.13</v>
      </c>
      <c r="AF487" s="67">
        <f t="shared" ref="AF487" si="70">AA487+AB487-AC487-AD487</f>
        <v>0</v>
      </c>
    </row>
    <row r="488" spans="1:32" ht="62.4">
      <c r="A488" s="41">
        <f t="shared" si="57"/>
        <v>486</v>
      </c>
      <c r="B488" s="32" t="s">
        <v>1550</v>
      </c>
      <c r="C488" s="33" t="s">
        <v>1002</v>
      </c>
      <c r="D488" s="34"/>
      <c r="E488" s="34"/>
      <c r="F488" s="38" t="s">
        <v>1551</v>
      </c>
      <c r="G488" s="41"/>
      <c r="H488" s="41"/>
      <c r="I488" s="41"/>
      <c r="J488" s="41"/>
      <c r="K488" s="77"/>
      <c r="L488" s="3">
        <v>282.62</v>
      </c>
      <c r="M488" s="3"/>
      <c r="N488" s="36" t="s">
        <v>1045</v>
      </c>
      <c r="O488" s="3"/>
      <c r="P488" s="3"/>
      <c r="Q488" s="3">
        <v>0</v>
      </c>
      <c r="R488" s="25">
        <v>0</v>
      </c>
      <c r="S488" s="3">
        <v>0</v>
      </c>
      <c r="T488" s="3">
        <v>0</v>
      </c>
      <c r="U488" s="67">
        <f t="shared" si="60"/>
        <v>0</v>
      </c>
      <c r="V488" s="67">
        <f t="shared" si="61"/>
        <v>0</v>
      </c>
      <c r="W488" s="154">
        <f>L488-V488</f>
        <v>282.62</v>
      </c>
      <c r="X488" s="3">
        <f>V488+W488</f>
        <v>282.62</v>
      </c>
      <c r="Y488" s="3"/>
      <c r="Z488" s="67">
        <f t="shared" si="58"/>
        <v>282.62</v>
      </c>
      <c r="AA488" s="67">
        <f t="shared" si="59"/>
        <v>0</v>
      </c>
      <c r="AB488" s="3"/>
      <c r="AC488" s="3"/>
      <c r="AD488" s="3"/>
      <c r="AE488" s="67">
        <f t="shared" si="62"/>
        <v>282.62</v>
      </c>
      <c r="AF488" s="67">
        <f t="shared" si="63"/>
        <v>0</v>
      </c>
    </row>
    <row r="489" spans="1:32">
      <c r="B489" s="56"/>
      <c r="C489" s="56"/>
      <c r="D489" s="56"/>
      <c r="E489" s="56"/>
      <c r="F489" s="57"/>
    </row>
    <row r="490" spans="1:32">
      <c r="B490" s="56"/>
      <c r="C490" s="56"/>
      <c r="D490" s="56"/>
      <c r="E490" s="56"/>
      <c r="F490" s="57"/>
    </row>
    <row r="491" spans="1:32">
      <c r="B491" s="56"/>
      <c r="C491" s="56"/>
      <c r="D491" s="56"/>
      <c r="E491" s="56"/>
      <c r="F491" s="57"/>
    </row>
    <row r="492" spans="1:32">
      <c r="B492" s="56"/>
      <c r="C492" s="56"/>
      <c r="D492" s="56"/>
      <c r="E492" s="56"/>
      <c r="F492" s="57"/>
    </row>
    <row r="493" spans="1:32">
      <c r="B493" s="56"/>
      <c r="C493" s="56"/>
      <c r="D493" s="56"/>
      <c r="E493" s="56"/>
      <c r="F493" s="57"/>
    </row>
    <row r="494" spans="1:32" hidden="1">
      <c r="B494" s="56"/>
      <c r="C494" s="56"/>
      <c r="D494" s="56"/>
      <c r="E494" s="56"/>
      <c r="F494" s="57"/>
      <c r="N494" s="58"/>
      <c r="P494" s="6">
        <f t="shared" ref="P494:AF494" si="71">SUM(P3:P489)</f>
        <v>5928.5454609469998</v>
      </c>
      <c r="Q494" s="6">
        <f t="shared" si="71"/>
        <v>2981.6366133530005</v>
      </c>
      <c r="R494" s="6">
        <f t="shared" si="71"/>
        <v>1694.0235376089406</v>
      </c>
      <c r="S494" s="6">
        <f t="shared" si="71"/>
        <v>1258.7665349636641</v>
      </c>
      <c r="T494" s="6">
        <f t="shared" si="71"/>
        <v>59.543615998274873</v>
      </c>
      <c r="U494" s="6">
        <f t="shared" si="71"/>
        <v>7246.8556119089362</v>
      </c>
      <c r="V494" s="6">
        <f t="shared" si="71"/>
        <v>3357.3500000000004</v>
      </c>
      <c r="W494" s="6">
        <f t="shared" si="71"/>
        <v>1247.688274375</v>
      </c>
      <c r="X494" s="6">
        <f t="shared" si="71"/>
        <v>3070.5173841200658</v>
      </c>
      <c r="Y494" s="6">
        <f t="shared" si="71"/>
        <v>0</v>
      </c>
      <c r="Z494" s="6">
        <f t="shared" si="71"/>
        <v>10317.372996029006</v>
      </c>
      <c r="AA494" s="6">
        <f t="shared" si="71"/>
        <v>1534.5208902549371</v>
      </c>
      <c r="AB494" s="6">
        <f t="shared" si="71"/>
        <v>645.17179142500015</v>
      </c>
      <c r="AC494" s="6">
        <f t="shared" si="71"/>
        <v>1413.4769837989998</v>
      </c>
      <c r="AD494" s="6">
        <f t="shared" si="71"/>
        <v>0</v>
      </c>
      <c r="AE494" s="6">
        <f t="shared" si="71"/>
        <v>11730.84997982801</v>
      </c>
      <c r="AF494" s="6">
        <f t="shared" si="71"/>
        <v>766.21569788093529</v>
      </c>
    </row>
    <row r="495" spans="1:32" hidden="1">
      <c r="B495" s="56"/>
      <c r="C495" s="56"/>
      <c r="D495" s="56"/>
      <c r="E495" s="56"/>
      <c r="F495" s="59"/>
      <c r="P495" s="60">
        <v>5928.5454609469998</v>
      </c>
      <c r="Q495" s="60">
        <v>2981.6366133530005</v>
      </c>
      <c r="R495" s="60">
        <v>1694.0235376089406</v>
      </c>
      <c r="S495" s="60">
        <v>1258.7665349636641</v>
      </c>
      <c r="T495" s="60">
        <v>59.543615998274873</v>
      </c>
      <c r="U495" s="60">
        <v>7246.8556119089362</v>
      </c>
      <c r="V495" s="60">
        <v>3357.3500000000004</v>
      </c>
      <c r="W495" s="60">
        <v>1247.688274375</v>
      </c>
      <c r="X495" s="60">
        <v>3070.5173841200658</v>
      </c>
      <c r="Y495" s="60">
        <v>0</v>
      </c>
      <c r="Z495" s="60">
        <v>10317.372996029006</v>
      </c>
      <c r="AA495" s="60">
        <v>1534.5208902549371</v>
      </c>
      <c r="AB495" s="60">
        <v>645.17179142500015</v>
      </c>
      <c r="AC495" s="60">
        <v>1413.4769837989998</v>
      </c>
      <c r="AD495" s="60">
        <v>0</v>
      </c>
      <c r="AE495" s="60">
        <v>11730.84997982801</v>
      </c>
      <c r="AF495" s="60">
        <v>766.21569788093529</v>
      </c>
    </row>
    <row r="496" spans="1:32" hidden="1">
      <c r="B496" s="56"/>
      <c r="C496" s="56"/>
      <c r="D496" s="56"/>
      <c r="E496" s="56"/>
      <c r="F496" s="57"/>
      <c r="P496" s="6">
        <f t="shared" ref="P496:Q496" si="72">P494-P495</f>
        <v>0</v>
      </c>
      <c r="Q496" s="6">
        <f t="shared" si="72"/>
        <v>0</v>
      </c>
      <c r="R496" s="6">
        <f>R494-R495</f>
        <v>0</v>
      </c>
      <c r="S496" s="6">
        <f t="shared" ref="S496:W496" si="73">S494-S495</f>
        <v>0</v>
      </c>
      <c r="T496" s="6">
        <f t="shared" si="73"/>
        <v>0</v>
      </c>
      <c r="U496" s="6">
        <f t="shared" si="73"/>
        <v>0</v>
      </c>
      <c r="V496" s="6">
        <f t="shared" si="73"/>
        <v>0</v>
      </c>
      <c r="W496" s="6">
        <f t="shared" si="73"/>
        <v>0</v>
      </c>
      <c r="X496" s="6">
        <f>X494-X495</f>
        <v>0</v>
      </c>
      <c r="Y496" s="6">
        <f t="shared" ref="Y496:AA496" si="74">Y494-Y495</f>
        <v>0</v>
      </c>
      <c r="Z496" s="6">
        <f t="shared" si="74"/>
        <v>0</v>
      </c>
      <c r="AA496" s="6">
        <f t="shared" si="74"/>
        <v>0</v>
      </c>
      <c r="AB496" s="6">
        <f>AB494-AB495</f>
        <v>0</v>
      </c>
      <c r="AC496" s="6">
        <f t="shared" ref="AC496:AF496" si="75">AC494-AC495</f>
        <v>0</v>
      </c>
      <c r="AD496" s="6">
        <f t="shared" si="75"/>
        <v>0</v>
      </c>
      <c r="AE496" s="6">
        <f t="shared" si="75"/>
        <v>0</v>
      </c>
      <c r="AF496" s="6">
        <f t="shared" si="75"/>
        <v>0</v>
      </c>
    </row>
    <row r="497" spans="2:32">
      <c r="B497" s="56"/>
      <c r="C497" s="56"/>
      <c r="D497" s="56"/>
      <c r="E497" s="56"/>
      <c r="F497" s="57"/>
      <c r="N497" s="58"/>
    </row>
    <row r="498" spans="2:32">
      <c r="B498" s="56"/>
      <c r="C498" s="56"/>
      <c r="D498" s="56"/>
      <c r="E498" s="56"/>
      <c r="F498" s="57"/>
      <c r="R498" s="5"/>
      <c r="S498" s="5"/>
      <c r="T498" s="5"/>
      <c r="U498" s="5"/>
      <c r="V498" s="5"/>
      <c r="W498" s="157"/>
      <c r="X498" s="4"/>
      <c r="Y498" s="4"/>
      <c r="Z498" s="4"/>
      <c r="AA498" s="4"/>
      <c r="AB498" s="4"/>
      <c r="AC498" s="4"/>
      <c r="AD498" s="4"/>
      <c r="AE498" s="5"/>
      <c r="AF498" s="5"/>
    </row>
    <row r="499" spans="2:32">
      <c r="B499" s="56"/>
      <c r="C499" s="56"/>
      <c r="D499" s="56"/>
      <c r="E499" s="56"/>
      <c r="F499" s="57"/>
      <c r="R499" s="5"/>
      <c r="S499" s="5"/>
      <c r="T499" s="5"/>
      <c r="U499" s="5"/>
      <c r="V499" s="5"/>
      <c r="W499" s="5"/>
      <c r="X499" s="5"/>
      <c r="Y499" s="5"/>
      <c r="Z499" s="5"/>
      <c r="AA499" s="5"/>
      <c r="AB499" s="5"/>
      <c r="AC499" s="5"/>
      <c r="AD499" s="5"/>
      <c r="AE499" s="5"/>
      <c r="AF499" s="5"/>
    </row>
    <row r="500" spans="2:32">
      <c r="B500" s="56"/>
      <c r="C500" s="56"/>
      <c r="D500" s="56"/>
      <c r="E500" s="56"/>
      <c r="F500" s="57"/>
      <c r="N500" s="58"/>
    </row>
    <row r="501" spans="2:32" s="55" customFormat="1">
      <c r="B501" s="56"/>
      <c r="C501" s="56"/>
      <c r="D501" s="56"/>
      <c r="E501" s="56"/>
      <c r="F501" s="57"/>
      <c r="L501" s="5"/>
      <c r="M501" s="5"/>
      <c r="O501" s="5"/>
      <c r="P501" s="5"/>
      <c r="Q501" s="5"/>
      <c r="R501" s="6"/>
      <c r="S501" s="6"/>
      <c r="T501" s="6"/>
      <c r="U501" s="6"/>
      <c r="V501" s="6"/>
      <c r="W501" s="6"/>
      <c r="X501" s="6"/>
      <c r="Y501" s="6"/>
      <c r="Z501" s="6"/>
      <c r="AA501" s="6"/>
      <c r="AB501" s="6"/>
      <c r="AC501" s="6"/>
      <c r="AD501" s="6"/>
      <c r="AE501" s="6"/>
      <c r="AF501" s="6"/>
    </row>
    <row r="502" spans="2:32" s="55" customFormat="1" ht="28.8">
      <c r="B502" s="56"/>
      <c r="C502" s="56"/>
      <c r="D502" s="56"/>
      <c r="E502" s="56"/>
      <c r="F502" s="57"/>
      <c r="L502" s="5"/>
      <c r="M502" s="5"/>
      <c r="N502" s="58"/>
      <c r="O502" s="5"/>
      <c r="P502" s="5"/>
      <c r="Q502" s="5"/>
      <c r="R502" s="6"/>
      <c r="S502" s="24"/>
      <c r="T502" s="6"/>
      <c r="U502" s="6"/>
      <c r="V502" s="21" t="s">
        <v>1047</v>
      </c>
      <c r="W502" s="21"/>
      <c r="X502" s="21"/>
      <c r="Y502" s="21"/>
      <c r="Z502" s="21"/>
      <c r="AA502" s="21" t="s">
        <v>1048</v>
      </c>
      <c r="AB502" s="6"/>
      <c r="AC502" s="6"/>
      <c r="AD502" s="6"/>
      <c r="AE502" s="6"/>
      <c r="AF502" s="6"/>
    </row>
    <row r="503" spans="2:32" s="55" customFormat="1" ht="28.8">
      <c r="B503" s="56"/>
      <c r="C503" s="56"/>
      <c r="D503" s="56"/>
      <c r="E503" s="56"/>
      <c r="F503" s="57"/>
      <c r="L503" s="5"/>
      <c r="M503" s="5"/>
      <c r="O503" s="5"/>
      <c r="P503" s="5"/>
      <c r="Q503" s="5"/>
      <c r="R503" s="6"/>
      <c r="S503" s="24"/>
      <c r="T503" s="6"/>
      <c r="U503" s="6"/>
      <c r="V503" s="21" t="s">
        <v>1050</v>
      </c>
      <c r="W503" s="21"/>
      <c r="X503" s="21"/>
      <c r="Y503" s="21"/>
      <c r="Z503" s="21"/>
      <c r="AA503" s="21" t="s">
        <v>1049</v>
      </c>
      <c r="AB503" s="6"/>
      <c r="AC503" s="6"/>
      <c r="AD503" s="6"/>
      <c r="AE503" s="6"/>
      <c r="AF503" s="6"/>
    </row>
    <row r="504" spans="2:32" s="55" customFormat="1">
      <c r="B504" s="56"/>
      <c r="C504" s="56"/>
      <c r="D504" s="56"/>
      <c r="E504" s="56"/>
      <c r="F504" s="57"/>
      <c r="L504" s="5"/>
      <c r="M504" s="5"/>
      <c r="O504" s="5"/>
      <c r="P504" s="5"/>
      <c r="Q504" s="5"/>
      <c r="R504" s="6"/>
      <c r="S504" s="6"/>
      <c r="T504" s="6"/>
      <c r="U504" s="6"/>
      <c r="V504" s="19"/>
      <c r="W504" s="20"/>
      <c r="X504" s="20"/>
      <c r="Y504" s="20"/>
      <c r="Z504" s="20"/>
      <c r="AA504" s="19"/>
      <c r="AB504" s="6"/>
      <c r="AC504" s="6"/>
      <c r="AD504" s="6"/>
      <c r="AE504" s="6"/>
      <c r="AF504" s="6"/>
    </row>
    <row r="505" spans="2:32" s="55" customFormat="1">
      <c r="B505" s="56"/>
      <c r="C505" s="56"/>
      <c r="D505" s="56"/>
      <c r="E505" s="56"/>
      <c r="F505" s="57"/>
      <c r="L505" s="5"/>
      <c r="M505" s="5"/>
      <c r="O505" s="5"/>
      <c r="P505" s="5"/>
      <c r="Q505" s="5"/>
      <c r="R505" s="6"/>
      <c r="S505" s="6"/>
      <c r="T505" s="6"/>
      <c r="U505" s="6"/>
      <c r="V505" s="6"/>
      <c r="W505" s="6"/>
      <c r="X505" s="6"/>
      <c r="Y505" s="6"/>
      <c r="Z505" s="6"/>
      <c r="AA505" s="6"/>
      <c r="AB505" s="6"/>
      <c r="AC505" s="6"/>
      <c r="AD505" s="6"/>
      <c r="AE505" s="6"/>
      <c r="AF505" s="6"/>
    </row>
    <row r="506" spans="2:32" s="55" customFormat="1">
      <c r="B506" s="56"/>
      <c r="C506" s="56"/>
      <c r="D506" s="56"/>
      <c r="E506" s="56"/>
      <c r="F506" s="57"/>
      <c r="L506" s="5"/>
      <c r="M506" s="5"/>
      <c r="O506" s="5"/>
      <c r="P506" s="5"/>
      <c r="Q506" s="5"/>
      <c r="R506" s="6"/>
      <c r="S506" s="6"/>
      <c r="T506" s="6"/>
      <c r="U506" s="6"/>
      <c r="V506" s="6"/>
      <c r="W506" s="6"/>
      <c r="X506" s="6"/>
      <c r="Y506" s="6"/>
      <c r="Z506" s="6"/>
      <c r="AA506" s="6"/>
      <c r="AB506" s="6"/>
      <c r="AC506" s="6"/>
      <c r="AD506" s="6"/>
      <c r="AE506" s="6"/>
      <c r="AF506" s="6"/>
    </row>
    <row r="507" spans="2:32" s="55" customFormat="1">
      <c r="B507" s="56"/>
      <c r="C507" s="56"/>
      <c r="D507" s="56"/>
      <c r="E507" s="56"/>
      <c r="F507" s="57"/>
      <c r="L507" s="5"/>
      <c r="M507" s="5"/>
      <c r="O507" s="5"/>
      <c r="P507" s="5"/>
      <c r="Q507" s="5"/>
      <c r="R507" s="6"/>
      <c r="S507" s="6"/>
      <c r="T507" s="6"/>
      <c r="U507" s="6"/>
      <c r="V507" s="6"/>
      <c r="W507" s="6"/>
      <c r="X507" s="6"/>
      <c r="Y507" s="6"/>
      <c r="Z507" s="6"/>
      <c r="AA507" s="6"/>
      <c r="AB507" s="6"/>
      <c r="AC507" s="6"/>
      <c r="AD507" s="6"/>
      <c r="AE507" s="6"/>
      <c r="AF507" s="6"/>
    </row>
    <row r="508" spans="2:32" s="55" customFormat="1">
      <c r="B508" s="56"/>
      <c r="C508" s="56"/>
      <c r="D508" s="56"/>
      <c r="E508" s="56"/>
      <c r="F508" s="57"/>
      <c r="L508" s="5"/>
      <c r="M508" s="5"/>
      <c r="O508" s="5"/>
      <c r="P508" s="5"/>
      <c r="Q508" s="5"/>
      <c r="R508" s="6"/>
      <c r="S508" s="6"/>
      <c r="T508" s="6"/>
      <c r="U508" s="6"/>
      <c r="V508" s="6"/>
      <c r="W508" s="6"/>
      <c r="X508" s="6"/>
      <c r="Y508" s="6"/>
      <c r="Z508" s="6"/>
      <c r="AA508" s="6"/>
      <c r="AB508" s="6"/>
      <c r="AC508" s="6"/>
      <c r="AD508" s="6"/>
      <c r="AE508" s="6"/>
      <c r="AF508" s="6"/>
    </row>
  </sheetData>
  <autoFilter ref="A2:AF488" xr:uid="{6BF9A09B-5DE2-4EC6-B064-F2B2FB50B633}"/>
  <mergeCells count="96">
    <mergeCell ref="I396:M396"/>
    <mergeCell ref="I268:M268"/>
    <mergeCell ref="I269:M269"/>
    <mergeCell ref="I270:M270"/>
    <mergeCell ref="I271:M271"/>
    <mergeCell ref="I272:M272"/>
    <mergeCell ref="I273:M273"/>
    <mergeCell ref="I274:M274"/>
    <mergeCell ref="I275:M275"/>
    <mergeCell ref="I276:M276"/>
    <mergeCell ref="I277:M277"/>
    <mergeCell ref="I278:M278"/>
    <mergeCell ref="I267:M267"/>
    <mergeCell ref="I256:M256"/>
    <mergeCell ref="I257:M257"/>
    <mergeCell ref="I258:M258"/>
    <mergeCell ref="I259:M259"/>
    <mergeCell ref="I260:M260"/>
    <mergeCell ref="I261:M261"/>
    <mergeCell ref="I262:M262"/>
    <mergeCell ref="I263:M263"/>
    <mergeCell ref="I264:M264"/>
    <mergeCell ref="I265:M265"/>
    <mergeCell ref="I266:M266"/>
    <mergeCell ref="I255:M255"/>
    <mergeCell ref="I244:M244"/>
    <mergeCell ref="I245:M245"/>
    <mergeCell ref="I246:M246"/>
    <mergeCell ref="I247:M247"/>
    <mergeCell ref="I248:M248"/>
    <mergeCell ref="I249:M249"/>
    <mergeCell ref="I250:M250"/>
    <mergeCell ref="I251:M251"/>
    <mergeCell ref="I252:M252"/>
    <mergeCell ref="I253:M253"/>
    <mergeCell ref="I254:M254"/>
    <mergeCell ref="I243:M243"/>
    <mergeCell ref="I232:M232"/>
    <mergeCell ref="I233:M233"/>
    <mergeCell ref="I234:M234"/>
    <mergeCell ref="I235:M235"/>
    <mergeCell ref="I236:M236"/>
    <mergeCell ref="I237:M237"/>
    <mergeCell ref="I238:M238"/>
    <mergeCell ref="I239:M239"/>
    <mergeCell ref="I240:M240"/>
    <mergeCell ref="I241:M241"/>
    <mergeCell ref="I242:M242"/>
    <mergeCell ref="I231:M231"/>
    <mergeCell ref="I220:M220"/>
    <mergeCell ref="I221:M221"/>
    <mergeCell ref="I222:M222"/>
    <mergeCell ref="I223:M223"/>
    <mergeCell ref="I224:M224"/>
    <mergeCell ref="I225:M225"/>
    <mergeCell ref="I226:M226"/>
    <mergeCell ref="I227:M227"/>
    <mergeCell ref="I228:M228"/>
    <mergeCell ref="I229:M229"/>
    <mergeCell ref="I230:M230"/>
    <mergeCell ref="I219:M219"/>
    <mergeCell ref="I208:M208"/>
    <mergeCell ref="I209:M209"/>
    <mergeCell ref="I210:M210"/>
    <mergeCell ref="I211:M211"/>
    <mergeCell ref="I212:M212"/>
    <mergeCell ref="I213:M213"/>
    <mergeCell ref="I214:M214"/>
    <mergeCell ref="I215:M215"/>
    <mergeCell ref="I216:M216"/>
    <mergeCell ref="I217:M217"/>
    <mergeCell ref="I218:M218"/>
    <mergeCell ref="I207:M207"/>
    <mergeCell ref="I196:M196"/>
    <mergeCell ref="I197:M197"/>
    <mergeCell ref="I198:M198"/>
    <mergeCell ref="I199:M199"/>
    <mergeCell ref="I200:M200"/>
    <mergeCell ref="I201:M201"/>
    <mergeCell ref="I202:M202"/>
    <mergeCell ref="I203:M203"/>
    <mergeCell ref="I204:M204"/>
    <mergeCell ref="I205:M205"/>
    <mergeCell ref="I206:M206"/>
    <mergeCell ref="I195:M195"/>
    <mergeCell ref="A1:P1"/>
    <mergeCell ref="Q1:V1"/>
    <mergeCell ref="W1:AA1"/>
    <mergeCell ref="AB1:AF1"/>
    <mergeCell ref="I83:M83"/>
    <mergeCell ref="I189:M189"/>
    <mergeCell ref="I190:M190"/>
    <mergeCell ref="I191:M191"/>
    <mergeCell ref="I192:M192"/>
    <mergeCell ref="I193:M193"/>
    <mergeCell ref="I194:M194"/>
  </mergeCells>
  <printOptions horizontalCentered="1"/>
  <pageMargins left="0.19685039370078741" right="0.19685039370078741" top="0.19685039370078741" bottom="0.19685039370078741" header="0" footer="0"/>
  <pageSetup paperSize="5"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823DB-D417-4BE4-A97A-5F38DEF56512}">
  <sheetPr filterMode="1">
    <tabColor rgb="FFFF0000"/>
  </sheetPr>
  <dimension ref="A1:AF511"/>
  <sheetViews>
    <sheetView view="pageBreakPreview" topLeftCell="R1" zoomScale="90" zoomScaleNormal="80" zoomScaleSheetLayoutView="90" workbookViewId="0">
      <pane ySplit="2" topLeftCell="A410" activePane="bottomLeft" state="frozen"/>
      <selection activeCell="G2" sqref="G2"/>
      <selection pane="bottomLeft" activeCell="AC498" sqref="AC498"/>
    </sheetView>
  </sheetViews>
  <sheetFormatPr defaultColWidth="8.88671875" defaultRowHeight="15.6"/>
  <cols>
    <col min="1" max="1" width="9.109375" style="55" customWidth="1"/>
    <col min="2" max="2" width="21.6640625" style="55" customWidth="1"/>
    <col min="3" max="3" width="13.109375" style="55" customWidth="1"/>
    <col min="4" max="4" width="14" style="55" hidden="1" customWidth="1"/>
    <col min="5" max="5" width="17" style="55" hidden="1" customWidth="1"/>
    <col min="6" max="6" width="55.5546875" style="61" customWidth="1"/>
    <col min="7" max="7" width="22.44140625" style="55" customWidth="1"/>
    <col min="8" max="8" width="12.6640625" style="55" hidden="1" customWidth="1"/>
    <col min="9" max="9" width="12.5546875" style="55" customWidth="1"/>
    <col min="10" max="10" width="12.33203125" style="55" customWidth="1"/>
    <col min="11" max="11" width="15" style="55" customWidth="1"/>
    <col min="12" max="12" width="11.44140625" style="100" customWidth="1"/>
    <col min="13" max="13" width="12.109375" style="5" customWidth="1"/>
    <col min="14" max="14" width="13" style="55" customWidth="1"/>
    <col min="15" max="15" width="12.88671875" style="100" customWidth="1"/>
    <col min="16" max="16" width="13" style="5" customWidth="1"/>
    <col min="17" max="17" width="13.44140625" style="5" customWidth="1"/>
    <col min="18" max="22" width="13.44140625" style="6" customWidth="1"/>
    <col min="23" max="24" width="13.44140625" style="96" customWidth="1"/>
    <col min="25" max="27" width="13.44140625" style="6" customWidth="1"/>
    <col min="28" max="29" width="13.44140625" style="96" customWidth="1"/>
    <col min="30" max="32" width="13.44140625" style="6" customWidth="1"/>
    <col min="33" max="16384" width="8.88671875" style="30"/>
  </cols>
  <sheetData>
    <row r="1" spans="1:32" s="47" customFormat="1" ht="18">
      <c r="A1" s="168" t="s">
        <v>0</v>
      </c>
      <c r="B1" s="169"/>
      <c r="C1" s="169"/>
      <c r="D1" s="169"/>
      <c r="E1" s="169"/>
      <c r="F1" s="169"/>
      <c r="G1" s="169"/>
      <c r="H1" s="169"/>
      <c r="I1" s="169"/>
      <c r="J1" s="169"/>
      <c r="K1" s="169"/>
      <c r="L1" s="175"/>
      <c r="M1" s="169"/>
      <c r="N1" s="169"/>
      <c r="O1" s="175"/>
      <c r="P1" s="170"/>
      <c r="Q1" s="171" t="s">
        <v>1</v>
      </c>
      <c r="R1" s="172"/>
      <c r="S1" s="172"/>
      <c r="T1" s="172"/>
      <c r="U1" s="172"/>
      <c r="V1" s="172"/>
      <c r="W1" s="176" t="s">
        <v>2</v>
      </c>
      <c r="X1" s="177"/>
      <c r="Y1" s="172"/>
      <c r="Z1" s="172"/>
      <c r="AA1" s="172"/>
      <c r="AB1" s="176" t="s">
        <v>1475</v>
      </c>
      <c r="AC1" s="177"/>
      <c r="AD1" s="172"/>
      <c r="AE1" s="172"/>
      <c r="AF1" s="172"/>
    </row>
    <row r="2" spans="1:32" s="49" customFormat="1" ht="62.4">
      <c r="A2" s="48" t="s">
        <v>3</v>
      </c>
      <c r="B2" s="48" t="s">
        <v>4</v>
      </c>
      <c r="C2" s="48" t="s">
        <v>1476</v>
      </c>
      <c r="D2" s="48" t="s">
        <v>875</v>
      </c>
      <c r="E2" s="48" t="s">
        <v>1055</v>
      </c>
      <c r="F2" s="62" t="s">
        <v>5</v>
      </c>
      <c r="G2" s="48" t="s">
        <v>6</v>
      </c>
      <c r="H2" s="48" t="s">
        <v>7</v>
      </c>
      <c r="I2" s="48" t="s">
        <v>8</v>
      </c>
      <c r="J2" s="48" t="s">
        <v>9</v>
      </c>
      <c r="K2" s="48" t="s">
        <v>10</v>
      </c>
      <c r="L2" s="90" t="s">
        <v>11</v>
      </c>
      <c r="M2" s="2" t="s">
        <v>12</v>
      </c>
      <c r="N2" s="48" t="s">
        <v>13</v>
      </c>
      <c r="O2" s="90" t="s">
        <v>14</v>
      </c>
      <c r="P2" s="2" t="s">
        <v>15</v>
      </c>
      <c r="Q2" s="2" t="s">
        <v>1477</v>
      </c>
      <c r="R2" s="2" t="s">
        <v>16</v>
      </c>
      <c r="S2" s="2" t="s">
        <v>17</v>
      </c>
      <c r="T2" s="2" t="s">
        <v>18</v>
      </c>
      <c r="U2" s="2" t="s">
        <v>19</v>
      </c>
      <c r="V2" s="2" t="s">
        <v>20</v>
      </c>
      <c r="W2" s="90" t="s">
        <v>21</v>
      </c>
      <c r="X2" s="90" t="s">
        <v>22</v>
      </c>
      <c r="Y2" s="2" t="s">
        <v>23</v>
      </c>
      <c r="Z2" s="2" t="s">
        <v>24</v>
      </c>
      <c r="AA2" s="2" t="s">
        <v>25</v>
      </c>
      <c r="AB2" s="90" t="s">
        <v>1478</v>
      </c>
      <c r="AC2" s="90" t="s">
        <v>1479</v>
      </c>
      <c r="AD2" s="2" t="s">
        <v>1480</v>
      </c>
      <c r="AE2" s="2" t="s">
        <v>1481</v>
      </c>
      <c r="AF2" s="2" t="s">
        <v>1482</v>
      </c>
    </row>
    <row r="3" spans="1:32" ht="46.8" hidden="1">
      <c r="A3" s="41">
        <v>1</v>
      </c>
      <c r="B3" s="41" t="s">
        <v>26</v>
      </c>
      <c r="C3" s="41" t="s">
        <v>1002</v>
      </c>
      <c r="D3" s="41" t="s">
        <v>1016</v>
      </c>
      <c r="E3" s="41" t="s">
        <v>1056</v>
      </c>
      <c r="F3" s="43" t="s">
        <v>27</v>
      </c>
      <c r="G3" s="41" t="s">
        <v>28</v>
      </c>
      <c r="H3" s="63">
        <v>2</v>
      </c>
      <c r="I3" s="64">
        <v>42083</v>
      </c>
      <c r="J3" s="64">
        <v>42083</v>
      </c>
      <c r="K3" s="64">
        <v>42541</v>
      </c>
      <c r="L3" s="103">
        <v>76.569999999999993</v>
      </c>
      <c r="M3" s="65">
        <v>105.78</v>
      </c>
      <c r="N3" s="41" t="s">
        <v>29</v>
      </c>
      <c r="O3" s="103">
        <v>105.78</v>
      </c>
      <c r="P3" s="66">
        <v>108.27</v>
      </c>
      <c r="Q3" s="3">
        <v>0</v>
      </c>
      <c r="R3" s="3"/>
      <c r="S3" s="3"/>
      <c r="T3" s="3"/>
      <c r="U3" s="67">
        <f>P3+S3+T3</f>
        <v>108.27</v>
      </c>
      <c r="V3" s="67">
        <f>Q3+R3-S3-T3</f>
        <v>0</v>
      </c>
      <c r="W3" s="91"/>
      <c r="X3" s="91"/>
      <c r="Y3" s="3"/>
      <c r="Z3" s="67">
        <f>U3+X3+Y3</f>
        <v>108.27</v>
      </c>
      <c r="AA3" s="67">
        <f>V3+W3-X3-Y3</f>
        <v>0</v>
      </c>
      <c r="AB3" s="91"/>
      <c r="AC3" s="91"/>
      <c r="AD3" s="3"/>
      <c r="AE3" s="67">
        <f>Z3+AC3+AD3</f>
        <v>108.27</v>
      </c>
      <c r="AF3" s="67">
        <f>AA3+AB3-AC3-AD3</f>
        <v>0</v>
      </c>
    </row>
    <row r="4" spans="1:32" ht="93.6" hidden="1">
      <c r="A4" s="41">
        <f>A3+1</f>
        <v>2</v>
      </c>
      <c r="B4" s="41" t="s">
        <v>31</v>
      </c>
      <c r="C4" s="41" t="s">
        <v>1002</v>
      </c>
      <c r="D4" s="41" t="s">
        <v>1016</v>
      </c>
      <c r="E4" s="41" t="s">
        <v>1057</v>
      </c>
      <c r="F4" s="43" t="s">
        <v>992</v>
      </c>
      <c r="G4" s="41" t="s">
        <v>28</v>
      </c>
      <c r="H4" s="63">
        <v>2</v>
      </c>
      <c r="I4" s="68">
        <v>42083</v>
      </c>
      <c r="J4" s="68">
        <v>42083</v>
      </c>
      <c r="K4" s="68">
        <v>42449</v>
      </c>
      <c r="L4" s="103">
        <v>79.239999999999995</v>
      </c>
      <c r="M4" s="65">
        <v>79.239999999999995</v>
      </c>
      <c r="N4" s="41" t="s">
        <v>32</v>
      </c>
      <c r="O4" s="103">
        <v>79.540000000000006</v>
      </c>
      <c r="P4" s="50">
        <v>84.63</v>
      </c>
      <c r="Q4" s="3">
        <v>0</v>
      </c>
      <c r="R4" s="3"/>
      <c r="S4" s="3"/>
      <c r="T4" s="3"/>
      <c r="U4" s="67">
        <f t="shared" ref="U4:U67" si="0">P4+S4+T4</f>
        <v>84.63</v>
      </c>
      <c r="V4" s="67">
        <f t="shared" ref="V4:V67" si="1">Q4+R4-S4-T4</f>
        <v>0</v>
      </c>
      <c r="W4" s="91"/>
      <c r="X4" s="91"/>
      <c r="Y4" s="3"/>
      <c r="Z4" s="67">
        <f t="shared" ref="Z4:Z67" si="2">U4+X4+Y4</f>
        <v>84.63</v>
      </c>
      <c r="AA4" s="67">
        <f t="shared" ref="AA4:AA67" si="3">V4+W4-X4-Y4</f>
        <v>0</v>
      </c>
      <c r="AB4" s="91"/>
      <c r="AC4" s="91"/>
      <c r="AD4" s="3"/>
      <c r="AE4" s="67">
        <f t="shared" ref="AE4:AE67" si="4">Z4+AC4+AD4</f>
        <v>84.63</v>
      </c>
      <c r="AF4" s="67">
        <f t="shared" ref="AF4:AF67" si="5">AA4+AB4-AC4-AD4</f>
        <v>0</v>
      </c>
    </row>
    <row r="5" spans="1:32" ht="62.4" hidden="1">
      <c r="A5" s="41">
        <f t="shared" ref="A5:A68" si="6">A4+1</f>
        <v>3</v>
      </c>
      <c r="B5" s="41" t="s">
        <v>637</v>
      </c>
      <c r="C5" s="41" t="s">
        <v>1002</v>
      </c>
      <c r="D5" s="41" t="s">
        <v>1016</v>
      </c>
      <c r="E5" s="41" t="s">
        <v>30</v>
      </c>
      <c r="F5" s="43" t="s">
        <v>993</v>
      </c>
      <c r="G5" s="41" t="s">
        <v>28</v>
      </c>
      <c r="H5" s="63">
        <v>2</v>
      </c>
      <c r="I5" s="64">
        <v>42078</v>
      </c>
      <c r="J5" s="64">
        <v>42078</v>
      </c>
      <c r="K5" s="64">
        <v>42444</v>
      </c>
      <c r="L5" s="103">
        <v>41.3</v>
      </c>
      <c r="M5" s="65">
        <v>41.3</v>
      </c>
      <c r="N5" s="41" t="s">
        <v>32</v>
      </c>
      <c r="O5" s="103">
        <v>44.21</v>
      </c>
      <c r="P5" s="66">
        <v>42.229316500000003</v>
      </c>
      <c r="Q5" s="66">
        <v>4.2206834999999998</v>
      </c>
      <c r="R5" s="3"/>
      <c r="S5" s="22"/>
      <c r="T5" s="3"/>
      <c r="U5" s="67">
        <f t="shared" si="0"/>
        <v>42.229316500000003</v>
      </c>
      <c r="V5" s="67">
        <f t="shared" si="1"/>
        <v>4.2206834999999998</v>
      </c>
      <c r="W5" s="91"/>
      <c r="X5" s="91"/>
      <c r="Y5" s="3"/>
      <c r="Z5" s="67">
        <f t="shared" si="2"/>
        <v>42.229316500000003</v>
      </c>
      <c r="AA5" s="67">
        <f t="shared" si="3"/>
        <v>4.2206834999999998</v>
      </c>
      <c r="AB5" s="91"/>
      <c r="AC5" s="91"/>
      <c r="AD5" s="3"/>
      <c r="AE5" s="67">
        <f t="shared" si="4"/>
        <v>42.229316500000003</v>
      </c>
      <c r="AF5" s="67">
        <f t="shared" si="5"/>
        <v>4.2206834999999998</v>
      </c>
    </row>
    <row r="6" spans="1:32" ht="78" hidden="1">
      <c r="A6" s="41">
        <f t="shared" si="6"/>
        <v>4</v>
      </c>
      <c r="B6" s="41" t="s">
        <v>33</v>
      </c>
      <c r="C6" s="41" t="s">
        <v>1002</v>
      </c>
      <c r="D6" s="41" t="s">
        <v>1016</v>
      </c>
      <c r="E6" s="41" t="s">
        <v>1058</v>
      </c>
      <c r="F6" s="43" t="s">
        <v>34</v>
      </c>
      <c r="G6" s="41" t="s">
        <v>28</v>
      </c>
      <c r="H6" s="63">
        <v>2</v>
      </c>
      <c r="I6" s="64">
        <v>42045</v>
      </c>
      <c r="J6" s="64">
        <v>42045</v>
      </c>
      <c r="K6" s="64">
        <v>42225</v>
      </c>
      <c r="L6" s="103">
        <v>10.65</v>
      </c>
      <c r="M6" s="65">
        <v>17.52</v>
      </c>
      <c r="N6" s="41" t="s">
        <v>29</v>
      </c>
      <c r="O6" s="103">
        <v>15.03</v>
      </c>
      <c r="P6" s="66">
        <v>15.44</v>
      </c>
      <c r="Q6" s="3">
        <v>0</v>
      </c>
      <c r="R6" s="3"/>
      <c r="S6" s="3"/>
      <c r="T6" s="3"/>
      <c r="U6" s="67">
        <f t="shared" si="0"/>
        <v>15.44</v>
      </c>
      <c r="V6" s="67">
        <f t="shared" si="1"/>
        <v>0</v>
      </c>
      <c r="W6" s="91"/>
      <c r="X6" s="91"/>
      <c r="Y6" s="3"/>
      <c r="Z6" s="67">
        <f t="shared" si="2"/>
        <v>15.44</v>
      </c>
      <c r="AA6" s="67">
        <f t="shared" si="3"/>
        <v>0</v>
      </c>
      <c r="AB6" s="91"/>
      <c r="AC6" s="91"/>
      <c r="AD6" s="3"/>
      <c r="AE6" s="67">
        <f t="shared" si="4"/>
        <v>15.44</v>
      </c>
      <c r="AF6" s="67">
        <f t="shared" si="5"/>
        <v>0</v>
      </c>
    </row>
    <row r="7" spans="1:32" ht="124.8" hidden="1">
      <c r="A7" s="41">
        <f t="shared" si="6"/>
        <v>5</v>
      </c>
      <c r="B7" s="41" t="s">
        <v>35</v>
      </c>
      <c r="C7" s="41" t="s">
        <v>1002</v>
      </c>
      <c r="D7" s="41" t="s">
        <v>1016</v>
      </c>
      <c r="E7" s="41" t="s">
        <v>1059</v>
      </c>
      <c r="F7" s="43" t="s">
        <v>36</v>
      </c>
      <c r="G7" s="41" t="s">
        <v>28</v>
      </c>
      <c r="H7" s="63">
        <v>3</v>
      </c>
      <c r="I7" s="64">
        <v>42046</v>
      </c>
      <c r="J7" s="64">
        <v>42046</v>
      </c>
      <c r="K7" s="41" t="s">
        <v>37</v>
      </c>
      <c r="L7" s="103">
        <v>73.239999999999995</v>
      </c>
      <c r="M7" s="65">
        <v>79.040000000000006</v>
      </c>
      <c r="N7" s="41" t="s">
        <v>32</v>
      </c>
      <c r="O7" s="103">
        <v>79.02</v>
      </c>
      <c r="P7" s="66">
        <v>83.42</v>
      </c>
      <c r="Q7" s="3">
        <v>0</v>
      </c>
      <c r="R7" s="3"/>
      <c r="S7" s="3"/>
      <c r="T7" s="3"/>
      <c r="U7" s="67">
        <f t="shared" si="0"/>
        <v>83.42</v>
      </c>
      <c r="V7" s="67">
        <f t="shared" si="1"/>
        <v>0</v>
      </c>
      <c r="W7" s="91"/>
      <c r="X7" s="91"/>
      <c r="Y7" s="3"/>
      <c r="Z7" s="67">
        <f t="shared" si="2"/>
        <v>83.42</v>
      </c>
      <c r="AA7" s="67">
        <f t="shared" si="3"/>
        <v>0</v>
      </c>
      <c r="AB7" s="91"/>
      <c r="AC7" s="91"/>
      <c r="AD7" s="3"/>
      <c r="AE7" s="67">
        <f t="shared" si="4"/>
        <v>83.42</v>
      </c>
      <c r="AF7" s="67">
        <f t="shared" si="5"/>
        <v>0</v>
      </c>
    </row>
    <row r="8" spans="1:32" ht="46.8" hidden="1">
      <c r="A8" s="41">
        <f t="shared" si="6"/>
        <v>6</v>
      </c>
      <c r="B8" s="41" t="s">
        <v>38</v>
      </c>
      <c r="C8" s="41" t="s">
        <v>1002</v>
      </c>
      <c r="D8" s="41" t="s">
        <v>1016</v>
      </c>
      <c r="E8" s="41" t="s">
        <v>1060</v>
      </c>
      <c r="F8" s="43" t="s">
        <v>39</v>
      </c>
      <c r="G8" s="41" t="s">
        <v>28</v>
      </c>
      <c r="H8" s="63">
        <v>2</v>
      </c>
      <c r="I8" s="64">
        <v>42228</v>
      </c>
      <c r="J8" s="64">
        <v>42228</v>
      </c>
      <c r="K8" s="64">
        <v>42593</v>
      </c>
      <c r="L8" s="103">
        <v>91.91</v>
      </c>
      <c r="M8" s="65">
        <v>105.07</v>
      </c>
      <c r="N8" s="41" t="s">
        <v>32</v>
      </c>
      <c r="O8" s="103">
        <v>109.88</v>
      </c>
      <c r="P8" s="66">
        <v>112.19</v>
      </c>
      <c r="Q8" s="3">
        <v>0</v>
      </c>
      <c r="R8" s="3"/>
      <c r="S8" s="3"/>
      <c r="T8" s="3"/>
      <c r="U8" s="67">
        <f t="shared" si="0"/>
        <v>112.19</v>
      </c>
      <c r="V8" s="67">
        <f t="shared" si="1"/>
        <v>0</v>
      </c>
      <c r="W8" s="91"/>
      <c r="X8" s="91"/>
      <c r="Y8" s="3"/>
      <c r="Z8" s="67">
        <f t="shared" si="2"/>
        <v>112.19</v>
      </c>
      <c r="AA8" s="67">
        <f t="shared" si="3"/>
        <v>0</v>
      </c>
      <c r="AB8" s="91"/>
      <c r="AC8" s="91"/>
      <c r="AD8" s="3"/>
      <c r="AE8" s="67">
        <f t="shared" si="4"/>
        <v>112.19</v>
      </c>
      <c r="AF8" s="67">
        <f t="shared" si="5"/>
        <v>0</v>
      </c>
    </row>
    <row r="9" spans="1:32" ht="93.6" hidden="1">
      <c r="A9" s="41">
        <f t="shared" si="6"/>
        <v>7</v>
      </c>
      <c r="B9" s="41" t="s">
        <v>40</v>
      </c>
      <c r="C9" s="41" t="s">
        <v>1003</v>
      </c>
      <c r="D9" s="41" t="s">
        <v>1016</v>
      </c>
      <c r="E9" s="41" t="s">
        <v>1061</v>
      </c>
      <c r="F9" s="43" t="s">
        <v>994</v>
      </c>
      <c r="G9" s="41" t="s">
        <v>28</v>
      </c>
      <c r="H9" s="63">
        <v>2</v>
      </c>
      <c r="I9" s="64">
        <v>42431</v>
      </c>
      <c r="J9" s="64">
        <v>42431</v>
      </c>
      <c r="K9" s="64">
        <v>42796</v>
      </c>
      <c r="L9" s="65">
        <v>26.19</v>
      </c>
      <c r="M9" s="65">
        <v>34.28</v>
      </c>
      <c r="N9" s="41" t="s">
        <v>32</v>
      </c>
      <c r="O9" s="65">
        <v>30.97</v>
      </c>
      <c r="P9" s="66">
        <v>32.74</v>
      </c>
      <c r="Q9" s="3">
        <v>0</v>
      </c>
      <c r="R9" s="3"/>
      <c r="S9" s="3"/>
      <c r="T9" s="3"/>
      <c r="U9" s="67">
        <f t="shared" si="0"/>
        <v>32.74</v>
      </c>
      <c r="V9" s="67">
        <f t="shared" si="1"/>
        <v>0</v>
      </c>
      <c r="W9" s="3"/>
      <c r="X9" s="3"/>
      <c r="Y9" s="3"/>
      <c r="Z9" s="67">
        <f t="shared" si="2"/>
        <v>32.74</v>
      </c>
      <c r="AA9" s="67">
        <f t="shared" si="3"/>
        <v>0</v>
      </c>
      <c r="AB9" s="3"/>
      <c r="AC9" s="3"/>
      <c r="AD9" s="3"/>
      <c r="AE9" s="67">
        <f t="shared" si="4"/>
        <v>32.74</v>
      </c>
      <c r="AF9" s="67">
        <f t="shared" si="5"/>
        <v>0</v>
      </c>
    </row>
    <row r="10" spans="1:32" ht="78" hidden="1">
      <c r="A10" s="41">
        <f t="shared" si="6"/>
        <v>8</v>
      </c>
      <c r="B10" s="41" t="s">
        <v>40</v>
      </c>
      <c r="C10" s="41" t="s">
        <v>1004</v>
      </c>
      <c r="D10" s="41" t="s">
        <v>1016</v>
      </c>
      <c r="E10" s="41" t="s">
        <v>1061</v>
      </c>
      <c r="F10" s="43" t="s">
        <v>68</v>
      </c>
      <c r="G10" s="41" t="s">
        <v>28</v>
      </c>
      <c r="H10" s="63">
        <v>2</v>
      </c>
      <c r="I10" s="64">
        <v>42165</v>
      </c>
      <c r="J10" s="64">
        <v>42165</v>
      </c>
      <c r="K10" s="64">
        <v>42530</v>
      </c>
      <c r="L10" s="65">
        <v>7.02</v>
      </c>
      <c r="M10" s="65">
        <v>7.44</v>
      </c>
      <c r="N10" s="41" t="s">
        <v>29</v>
      </c>
      <c r="O10" s="65">
        <v>30.16</v>
      </c>
      <c r="P10" s="66">
        <v>8.42</v>
      </c>
      <c r="Q10" s="3">
        <v>0</v>
      </c>
      <c r="R10" s="3"/>
      <c r="S10" s="3"/>
      <c r="T10" s="3"/>
      <c r="U10" s="67">
        <f t="shared" si="0"/>
        <v>8.42</v>
      </c>
      <c r="V10" s="67">
        <f t="shared" si="1"/>
        <v>0</v>
      </c>
      <c r="W10" s="3"/>
      <c r="X10" s="3"/>
      <c r="Y10" s="3"/>
      <c r="Z10" s="67">
        <f t="shared" si="2"/>
        <v>8.42</v>
      </c>
      <c r="AA10" s="67">
        <f t="shared" si="3"/>
        <v>0</v>
      </c>
      <c r="AB10" s="3"/>
      <c r="AC10" s="3"/>
      <c r="AD10" s="3"/>
      <c r="AE10" s="67">
        <f t="shared" si="4"/>
        <v>8.42</v>
      </c>
      <c r="AF10" s="67">
        <f t="shared" si="5"/>
        <v>0</v>
      </c>
    </row>
    <row r="11" spans="1:32" ht="62.4" hidden="1">
      <c r="A11" s="41">
        <f t="shared" si="6"/>
        <v>9</v>
      </c>
      <c r="B11" s="41" t="s">
        <v>41</v>
      </c>
      <c r="C11" s="41" t="s">
        <v>1002</v>
      </c>
      <c r="D11" s="34" t="s">
        <v>1016</v>
      </c>
      <c r="E11" s="41" t="s">
        <v>1062</v>
      </c>
      <c r="F11" s="43" t="s">
        <v>42</v>
      </c>
      <c r="G11" s="41" t="s">
        <v>28</v>
      </c>
      <c r="H11" s="63">
        <v>4</v>
      </c>
      <c r="I11" s="64">
        <v>42431</v>
      </c>
      <c r="J11" s="64">
        <v>42431</v>
      </c>
      <c r="K11" s="64">
        <v>42706</v>
      </c>
      <c r="L11" s="103">
        <v>16.690000000000001</v>
      </c>
      <c r="M11" s="65">
        <v>16.690000000000001</v>
      </c>
      <c r="N11" s="41" t="s">
        <v>32</v>
      </c>
      <c r="O11" s="103">
        <v>16.690000000000001</v>
      </c>
      <c r="P11" s="3">
        <v>0</v>
      </c>
      <c r="Q11" s="66">
        <v>15.19</v>
      </c>
      <c r="R11" s="3"/>
      <c r="S11" s="3"/>
      <c r="T11" s="3"/>
      <c r="U11" s="67">
        <f t="shared" si="0"/>
        <v>0</v>
      </c>
      <c r="V11" s="67">
        <f t="shared" si="1"/>
        <v>15.19</v>
      </c>
      <c r="W11" s="91"/>
      <c r="X11" s="91"/>
      <c r="Y11" s="3"/>
      <c r="Z11" s="67">
        <f t="shared" si="2"/>
        <v>0</v>
      </c>
      <c r="AA11" s="67">
        <f t="shared" si="3"/>
        <v>15.19</v>
      </c>
      <c r="AB11" s="91"/>
      <c r="AC11" s="91"/>
      <c r="AD11" s="3"/>
      <c r="AE11" s="67">
        <f t="shared" si="4"/>
        <v>0</v>
      </c>
      <c r="AF11" s="67">
        <f t="shared" si="5"/>
        <v>15.19</v>
      </c>
    </row>
    <row r="12" spans="1:32" ht="46.8" hidden="1">
      <c r="A12" s="41">
        <f t="shared" si="6"/>
        <v>10</v>
      </c>
      <c r="B12" s="41" t="s">
        <v>43</v>
      </c>
      <c r="C12" s="41" t="s">
        <v>1002</v>
      </c>
      <c r="D12" s="34" t="s">
        <v>1016</v>
      </c>
      <c r="E12" s="41" t="s">
        <v>1063</v>
      </c>
      <c r="F12" s="43" t="s">
        <v>44</v>
      </c>
      <c r="G12" s="41" t="s">
        <v>28</v>
      </c>
      <c r="H12" s="63">
        <v>2</v>
      </c>
      <c r="I12" s="64">
        <v>41683</v>
      </c>
      <c r="J12" s="64">
        <v>41683</v>
      </c>
      <c r="K12" s="64">
        <v>42047</v>
      </c>
      <c r="L12" s="103">
        <v>8.5399999999999991</v>
      </c>
      <c r="M12" s="65">
        <v>8.5399999999999991</v>
      </c>
      <c r="N12" s="41" t="s">
        <v>29</v>
      </c>
      <c r="O12" s="103">
        <v>8.5399999999999991</v>
      </c>
      <c r="P12" s="66">
        <v>9.0299999999999994</v>
      </c>
      <c r="Q12" s="3">
        <v>0</v>
      </c>
      <c r="R12" s="3"/>
      <c r="S12" s="3"/>
      <c r="T12" s="3"/>
      <c r="U12" s="67">
        <f t="shared" si="0"/>
        <v>9.0299999999999994</v>
      </c>
      <c r="V12" s="67">
        <f t="shared" si="1"/>
        <v>0</v>
      </c>
      <c r="W12" s="91"/>
      <c r="X12" s="91"/>
      <c r="Y12" s="3"/>
      <c r="Z12" s="67">
        <f t="shared" si="2"/>
        <v>9.0299999999999994</v>
      </c>
      <c r="AA12" s="67">
        <f t="shared" si="3"/>
        <v>0</v>
      </c>
      <c r="AB12" s="91"/>
      <c r="AC12" s="91"/>
      <c r="AD12" s="3"/>
      <c r="AE12" s="67">
        <f t="shared" si="4"/>
        <v>9.0299999999999994</v>
      </c>
      <c r="AF12" s="67">
        <f t="shared" si="5"/>
        <v>0</v>
      </c>
    </row>
    <row r="13" spans="1:32" ht="46.8" hidden="1">
      <c r="A13" s="41">
        <f t="shared" si="6"/>
        <v>11</v>
      </c>
      <c r="B13" s="41" t="s">
        <v>45</v>
      </c>
      <c r="C13" s="41" t="s">
        <v>1002</v>
      </c>
      <c r="D13" s="34" t="s">
        <v>1016</v>
      </c>
      <c r="E13" s="41" t="s">
        <v>1064</v>
      </c>
      <c r="F13" s="43" t="s">
        <v>46</v>
      </c>
      <c r="G13" s="41" t="s">
        <v>28</v>
      </c>
      <c r="H13" s="63">
        <v>2</v>
      </c>
      <c r="I13" s="64">
        <v>41683</v>
      </c>
      <c r="J13" s="64">
        <v>41683</v>
      </c>
      <c r="K13" s="64">
        <v>42047</v>
      </c>
      <c r="L13" s="103">
        <v>18.690000000000001</v>
      </c>
      <c r="M13" s="65">
        <v>18.690000000000001</v>
      </c>
      <c r="N13" s="41" t="s">
        <v>29</v>
      </c>
      <c r="O13" s="103">
        <v>18.829999999999998</v>
      </c>
      <c r="P13" s="66">
        <v>19.399999999999999</v>
      </c>
      <c r="Q13" s="3">
        <v>0</v>
      </c>
      <c r="R13" s="3"/>
      <c r="S13" s="3"/>
      <c r="T13" s="3"/>
      <c r="U13" s="67">
        <f t="shared" si="0"/>
        <v>19.399999999999999</v>
      </c>
      <c r="V13" s="67">
        <f t="shared" si="1"/>
        <v>0</v>
      </c>
      <c r="W13" s="91"/>
      <c r="X13" s="91"/>
      <c r="Y13" s="3"/>
      <c r="Z13" s="67">
        <f t="shared" si="2"/>
        <v>19.399999999999999</v>
      </c>
      <c r="AA13" s="67">
        <f t="shared" si="3"/>
        <v>0</v>
      </c>
      <c r="AB13" s="91"/>
      <c r="AC13" s="91"/>
      <c r="AD13" s="3"/>
      <c r="AE13" s="67">
        <f t="shared" si="4"/>
        <v>19.399999999999999</v>
      </c>
      <c r="AF13" s="67">
        <f t="shared" si="5"/>
        <v>0</v>
      </c>
    </row>
    <row r="14" spans="1:32" ht="46.8" hidden="1">
      <c r="A14" s="41">
        <f t="shared" si="6"/>
        <v>12</v>
      </c>
      <c r="B14" s="41" t="s">
        <v>47</v>
      </c>
      <c r="C14" s="41" t="s">
        <v>1002</v>
      </c>
      <c r="D14" s="34" t="s">
        <v>1016</v>
      </c>
      <c r="E14" s="41" t="s">
        <v>1065</v>
      </c>
      <c r="F14" s="43" t="s">
        <v>48</v>
      </c>
      <c r="G14" s="41" t="s">
        <v>28</v>
      </c>
      <c r="H14" s="63">
        <v>2</v>
      </c>
      <c r="I14" s="64">
        <v>41683</v>
      </c>
      <c r="J14" s="64">
        <v>41683</v>
      </c>
      <c r="K14" s="64">
        <v>42445</v>
      </c>
      <c r="L14" s="103">
        <v>27.42</v>
      </c>
      <c r="M14" s="65">
        <v>27.42</v>
      </c>
      <c r="N14" s="41" t="s">
        <v>29</v>
      </c>
      <c r="O14" s="103">
        <v>28.16</v>
      </c>
      <c r="P14" s="66">
        <v>30.07</v>
      </c>
      <c r="Q14" s="3">
        <v>0</v>
      </c>
      <c r="R14" s="3"/>
      <c r="S14" s="3"/>
      <c r="T14" s="3"/>
      <c r="U14" s="67">
        <f t="shared" si="0"/>
        <v>30.07</v>
      </c>
      <c r="V14" s="67">
        <f t="shared" si="1"/>
        <v>0</v>
      </c>
      <c r="W14" s="91"/>
      <c r="X14" s="91"/>
      <c r="Y14" s="3"/>
      <c r="Z14" s="67">
        <f t="shared" si="2"/>
        <v>30.07</v>
      </c>
      <c r="AA14" s="67">
        <f t="shared" si="3"/>
        <v>0</v>
      </c>
      <c r="AB14" s="91"/>
      <c r="AC14" s="91"/>
      <c r="AD14" s="3"/>
      <c r="AE14" s="67">
        <f t="shared" si="4"/>
        <v>30.07</v>
      </c>
      <c r="AF14" s="67">
        <f t="shared" si="5"/>
        <v>0</v>
      </c>
    </row>
    <row r="15" spans="1:32" ht="46.8" hidden="1">
      <c r="A15" s="41">
        <f t="shared" si="6"/>
        <v>13</v>
      </c>
      <c r="B15" s="41" t="s">
        <v>49</v>
      </c>
      <c r="C15" s="41" t="s">
        <v>1002</v>
      </c>
      <c r="D15" s="41" t="s">
        <v>1016</v>
      </c>
      <c r="E15" s="41" t="s">
        <v>1066</v>
      </c>
      <c r="F15" s="43" t="s">
        <v>50</v>
      </c>
      <c r="G15" s="41" t="s">
        <v>28</v>
      </c>
      <c r="H15" s="63">
        <v>2</v>
      </c>
      <c r="I15" s="64">
        <v>41683</v>
      </c>
      <c r="J15" s="64">
        <v>41683</v>
      </c>
      <c r="K15" s="64">
        <v>42405</v>
      </c>
      <c r="L15" s="103">
        <v>7.02</v>
      </c>
      <c r="M15" s="65">
        <v>7.02</v>
      </c>
      <c r="N15" s="41" t="s">
        <v>29</v>
      </c>
      <c r="O15" s="103">
        <v>7.02</v>
      </c>
      <c r="P15" s="66">
        <v>7.55</v>
      </c>
      <c r="Q15" s="3">
        <v>0</v>
      </c>
      <c r="R15" s="3"/>
      <c r="S15" s="3"/>
      <c r="T15" s="3"/>
      <c r="U15" s="67">
        <f t="shared" si="0"/>
        <v>7.55</v>
      </c>
      <c r="V15" s="67">
        <f t="shared" si="1"/>
        <v>0</v>
      </c>
      <c r="W15" s="91"/>
      <c r="X15" s="91"/>
      <c r="Y15" s="3"/>
      <c r="Z15" s="67">
        <f t="shared" si="2"/>
        <v>7.55</v>
      </c>
      <c r="AA15" s="67">
        <f t="shared" si="3"/>
        <v>0</v>
      </c>
      <c r="AB15" s="91"/>
      <c r="AC15" s="91"/>
      <c r="AD15" s="3"/>
      <c r="AE15" s="67">
        <f t="shared" si="4"/>
        <v>7.55</v>
      </c>
      <c r="AF15" s="67">
        <f t="shared" si="5"/>
        <v>0</v>
      </c>
    </row>
    <row r="16" spans="1:32" ht="46.8" hidden="1">
      <c r="A16" s="41">
        <f t="shared" si="6"/>
        <v>14</v>
      </c>
      <c r="B16" s="41" t="s">
        <v>51</v>
      </c>
      <c r="C16" s="41" t="s">
        <v>1002</v>
      </c>
      <c r="D16" s="34" t="s">
        <v>1016</v>
      </c>
      <c r="E16" s="41" t="s">
        <v>1067</v>
      </c>
      <c r="F16" s="43" t="s">
        <v>52</v>
      </c>
      <c r="G16" s="41" t="s">
        <v>28</v>
      </c>
      <c r="H16" s="63">
        <v>2</v>
      </c>
      <c r="I16" s="64">
        <v>42044</v>
      </c>
      <c r="J16" s="64">
        <v>42044</v>
      </c>
      <c r="K16" s="64">
        <v>42408</v>
      </c>
      <c r="L16" s="103">
        <v>10.8</v>
      </c>
      <c r="M16" s="65">
        <v>12.67</v>
      </c>
      <c r="N16" s="41" t="s">
        <v>29</v>
      </c>
      <c r="O16" s="103">
        <v>12.67</v>
      </c>
      <c r="P16" s="66">
        <v>12.57</v>
      </c>
      <c r="Q16" s="3">
        <v>0</v>
      </c>
      <c r="R16" s="3"/>
      <c r="S16" s="3"/>
      <c r="T16" s="3"/>
      <c r="U16" s="67">
        <f t="shared" si="0"/>
        <v>12.57</v>
      </c>
      <c r="V16" s="67">
        <f t="shared" si="1"/>
        <v>0</v>
      </c>
      <c r="W16" s="91"/>
      <c r="X16" s="91"/>
      <c r="Y16" s="3"/>
      <c r="Z16" s="67">
        <f t="shared" si="2"/>
        <v>12.57</v>
      </c>
      <c r="AA16" s="67">
        <f t="shared" si="3"/>
        <v>0</v>
      </c>
      <c r="AB16" s="91"/>
      <c r="AC16" s="91"/>
      <c r="AD16" s="3"/>
      <c r="AE16" s="67">
        <f t="shared" si="4"/>
        <v>12.57</v>
      </c>
      <c r="AF16" s="67">
        <f t="shared" si="5"/>
        <v>0</v>
      </c>
    </row>
    <row r="17" spans="1:32" ht="46.8" hidden="1">
      <c r="A17" s="41">
        <f t="shared" si="6"/>
        <v>15</v>
      </c>
      <c r="B17" s="41" t="s">
        <v>53</v>
      </c>
      <c r="C17" s="41" t="s">
        <v>1002</v>
      </c>
      <c r="D17" s="34" t="s">
        <v>1016</v>
      </c>
      <c r="E17" s="41" t="s">
        <v>1068</v>
      </c>
      <c r="F17" s="43" t="s">
        <v>54</v>
      </c>
      <c r="G17" s="41" t="s">
        <v>28</v>
      </c>
      <c r="H17" s="63">
        <v>5</v>
      </c>
      <c r="I17" s="64">
        <v>42084</v>
      </c>
      <c r="J17" s="64">
        <v>42084</v>
      </c>
      <c r="K17" s="64">
        <v>42449</v>
      </c>
      <c r="L17" s="103">
        <v>110.8</v>
      </c>
      <c r="M17" s="65">
        <v>129.79</v>
      </c>
      <c r="N17" s="41" t="s">
        <v>29</v>
      </c>
      <c r="O17" s="103">
        <v>127.77</v>
      </c>
      <c r="P17" s="66">
        <v>137.66999999999999</v>
      </c>
      <c r="Q17" s="3">
        <v>0</v>
      </c>
      <c r="R17" s="3"/>
      <c r="S17" s="3"/>
      <c r="T17" s="3"/>
      <c r="U17" s="67">
        <f t="shared" si="0"/>
        <v>137.66999999999999</v>
      </c>
      <c r="V17" s="67">
        <f t="shared" si="1"/>
        <v>0</v>
      </c>
      <c r="W17" s="91"/>
      <c r="X17" s="91"/>
      <c r="Y17" s="3"/>
      <c r="Z17" s="67">
        <f t="shared" si="2"/>
        <v>137.66999999999999</v>
      </c>
      <c r="AA17" s="67">
        <f t="shared" si="3"/>
        <v>0</v>
      </c>
      <c r="AB17" s="91"/>
      <c r="AC17" s="91"/>
      <c r="AD17" s="3"/>
      <c r="AE17" s="67">
        <f t="shared" si="4"/>
        <v>137.66999999999999</v>
      </c>
      <c r="AF17" s="67">
        <f t="shared" si="5"/>
        <v>0</v>
      </c>
    </row>
    <row r="18" spans="1:32" ht="46.8" hidden="1">
      <c r="A18" s="41">
        <f t="shared" si="6"/>
        <v>16</v>
      </c>
      <c r="B18" s="41" t="s">
        <v>55</v>
      </c>
      <c r="C18" s="41" t="s">
        <v>1002</v>
      </c>
      <c r="D18" s="34" t="s">
        <v>1016</v>
      </c>
      <c r="E18" s="41" t="s">
        <v>1069</v>
      </c>
      <c r="F18" s="43" t="s">
        <v>56</v>
      </c>
      <c r="G18" s="41" t="s">
        <v>28</v>
      </c>
      <c r="H18" s="63">
        <v>4</v>
      </c>
      <c r="I18" s="64">
        <v>42084</v>
      </c>
      <c r="J18" s="64">
        <v>42084</v>
      </c>
      <c r="K18" s="64">
        <v>42449</v>
      </c>
      <c r="L18" s="103">
        <v>94.6</v>
      </c>
      <c r="M18" s="65">
        <v>103.95</v>
      </c>
      <c r="N18" s="41" t="s">
        <v>29</v>
      </c>
      <c r="O18" s="103">
        <v>103.84</v>
      </c>
      <c r="P18" s="66">
        <v>107.83</v>
      </c>
      <c r="Q18" s="3">
        <v>0</v>
      </c>
      <c r="R18" s="3"/>
      <c r="S18" s="3"/>
      <c r="T18" s="3"/>
      <c r="U18" s="67">
        <f t="shared" si="0"/>
        <v>107.83</v>
      </c>
      <c r="V18" s="67">
        <f t="shared" si="1"/>
        <v>0</v>
      </c>
      <c r="W18" s="91"/>
      <c r="X18" s="91"/>
      <c r="Y18" s="3"/>
      <c r="Z18" s="67">
        <f t="shared" si="2"/>
        <v>107.83</v>
      </c>
      <c r="AA18" s="67">
        <f t="shared" si="3"/>
        <v>0</v>
      </c>
      <c r="AB18" s="91"/>
      <c r="AC18" s="91"/>
      <c r="AD18" s="3"/>
      <c r="AE18" s="67">
        <f t="shared" si="4"/>
        <v>107.83</v>
      </c>
      <c r="AF18" s="67">
        <f t="shared" si="5"/>
        <v>0</v>
      </c>
    </row>
    <row r="19" spans="1:32" ht="46.8" hidden="1">
      <c r="A19" s="41">
        <f t="shared" si="6"/>
        <v>17</v>
      </c>
      <c r="B19" s="41" t="s">
        <v>57</v>
      </c>
      <c r="C19" s="41" t="s">
        <v>1002</v>
      </c>
      <c r="D19" s="41" t="s">
        <v>1016</v>
      </c>
      <c r="E19" s="41" t="s">
        <v>1070</v>
      </c>
      <c r="F19" s="43" t="s">
        <v>58</v>
      </c>
      <c r="G19" s="41" t="s">
        <v>28</v>
      </c>
      <c r="H19" s="63">
        <v>2</v>
      </c>
      <c r="I19" s="64">
        <v>42241</v>
      </c>
      <c r="J19" s="64">
        <v>42241</v>
      </c>
      <c r="K19" s="64">
        <v>42698</v>
      </c>
      <c r="L19" s="103">
        <v>97.2</v>
      </c>
      <c r="M19" s="65">
        <v>125.26</v>
      </c>
      <c r="N19" s="41" t="s">
        <v>32</v>
      </c>
      <c r="O19" s="103">
        <v>115.75</v>
      </c>
      <c r="P19" s="66">
        <v>123.89</v>
      </c>
      <c r="Q19" s="3">
        <v>0</v>
      </c>
      <c r="R19" s="3"/>
      <c r="S19" s="3"/>
      <c r="T19" s="3"/>
      <c r="U19" s="67">
        <f t="shared" si="0"/>
        <v>123.89</v>
      </c>
      <c r="V19" s="67">
        <f t="shared" si="1"/>
        <v>0</v>
      </c>
      <c r="W19" s="91"/>
      <c r="X19" s="91"/>
      <c r="Y19" s="3"/>
      <c r="Z19" s="67">
        <f t="shared" si="2"/>
        <v>123.89</v>
      </c>
      <c r="AA19" s="67">
        <f t="shared" si="3"/>
        <v>0</v>
      </c>
      <c r="AB19" s="91"/>
      <c r="AC19" s="91"/>
      <c r="AD19" s="3"/>
      <c r="AE19" s="67">
        <f t="shared" si="4"/>
        <v>123.89</v>
      </c>
      <c r="AF19" s="67">
        <f t="shared" si="5"/>
        <v>0</v>
      </c>
    </row>
    <row r="20" spans="1:32" ht="46.8" hidden="1">
      <c r="A20" s="41">
        <f t="shared" si="6"/>
        <v>18</v>
      </c>
      <c r="B20" s="41" t="s">
        <v>59</v>
      </c>
      <c r="C20" s="41" t="s">
        <v>1002</v>
      </c>
      <c r="D20" s="34" t="s">
        <v>1016</v>
      </c>
      <c r="E20" s="41" t="s">
        <v>1071</v>
      </c>
      <c r="F20" s="43" t="s">
        <v>60</v>
      </c>
      <c r="G20" s="41" t="s">
        <v>28</v>
      </c>
      <c r="H20" s="63">
        <v>2</v>
      </c>
      <c r="I20" s="64">
        <v>42229</v>
      </c>
      <c r="J20" s="64">
        <v>42229</v>
      </c>
      <c r="K20" s="64">
        <v>42594</v>
      </c>
      <c r="L20" s="103">
        <v>29.37</v>
      </c>
      <c r="M20" s="65">
        <v>35.24</v>
      </c>
      <c r="N20" s="41" t="s">
        <v>29</v>
      </c>
      <c r="O20" s="103">
        <v>34.380000000000003</v>
      </c>
      <c r="P20" s="66">
        <v>36.86</v>
      </c>
      <c r="Q20" s="3">
        <v>0</v>
      </c>
      <c r="R20" s="3"/>
      <c r="S20" s="3"/>
      <c r="T20" s="3"/>
      <c r="U20" s="67">
        <f t="shared" si="0"/>
        <v>36.86</v>
      </c>
      <c r="V20" s="67">
        <f t="shared" si="1"/>
        <v>0</v>
      </c>
      <c r="W20" s="91"/>
      <c r="X20" s="91"/>
      <c r="Y20" s="3"/>
      <c r="Z20" s="67">
        <f t="shared" si="2"/>
        <v>36.86</v>
      </c>
      <c r="AA20" s="67">
        <f t="shared" si="3"/>
        <v>0</v>
      </c>
      <c r="AB20" s="91"/>
      <c r="AC20" s="91"/>
      <c r="AD20" s="3"/>
      <c r="AE20" s="67">
        <f t="shared" si="4"/>
        <v>36.86</v>
      </c>
      <c r="AF20" s="67">
        <f t="shared" si="5"/>
        <v>0</v>
      </c>
    </row>
    <row r="21" spans="1:32" ht="46.8" hidden="1">
      <c r="A21" s="41">
        <f t="shared" si="6"/>
        <v>19</v>
      </c>
      <c r="B21" s="41" t="s">
        <v>61</v>
      </c>
      <c r="C21" s="41" t="s">
        <v>1002</v>
      </c>
      <c r="D21" s="34" t="s">
        <v>1016</v>
      </c>
      <c r="E21" s="41" t="s">
        <v>1072</v>
      </c>
      <c r="F21" s="43" t="s">
        <v>62</v>
      </c>
      <c r="G21" s="41" t="s">
        <v>28</v>
      </c>
      <c r="H21" s="63">
        <v>6</v>
      </c>
      <c r="I21" s="64">
        <v>43105</v>
      </c>
      <c r="J21" s="64">
        <v>43105</v>
      </c>
      <c r="K21" s="64">
        <v>43104</v>
      </c>
      <c r="L21" s="103">
        <v>32.299999999999997</v>
      </c>
      <c r="M21" s="65">
        <v>32.299999999999997</v>
      </c>
      <c r="N21" s="41" t="s">
        <v>32</v>
      </c>
      <c r="O21" s="103">
        <v>31.43</v>
      </c>
      <c r="P21" s="66">
        <v>32.950000000000003</v>
      </c>
      <c r="Q21" s="3">
        <v>0</v>
      </c>
      <c r="R21" s="3"/>
      <c r="S21" s="3"/>
      <c r="T21" s="3"/>
      <c r="U21" s="67">
        <f t="shared" si="0"/>
        <v>32.950000000000003</v>
      </c>
      <c r="V21" s="67">
        <f t="shared" si="1"/>
        <v>0</v>
      </c>
      <c r="W21" s="91"/>
      <c r="X21" s="91"/>
      <c r="Y21" s="3"/>
      <c r="Z21" s="67">
        <f t="shared" si="2"/>
        <v>32.950000000000003</v>
      </c>
      <c r="AA21" s="67">
        <f t="shared" si="3"/>
        <v>0</v>
      </c>
      <c r="AB21" s="91"/>
      <c r="AC21" s="91"/>
      <c r="AD21" s="3"/>
      <c r="AE21" s="67">
        <f t="shared" si="4"/>
        <v>32.950000000000003</v>
      </c>
      <c r="AF21" s="67">
        <f t="shared" si="5"/>
        <v>0</v>
      </c>
    </row>
    <row r="22" spans="1:32" ht="62.4" hidden="1">
      <c r="A22" s="41">
        <f t="shared" si="6"/>
        <v>20</v>
      </c>
      <c r="B22" s="41" t="s">
        <v>63</v>
      </c>
      <c r="C22" s="41" t="s">
        <v>1002</v>
      </c>
      <c r="D22" s="34" t="s">
        <v>1016</v>
      </c>
      <c r="E22" s="41" t="s">
        <v>1073</v>
      </c>
      <c r="F22" s="43" t="s">
        <v>64</v>
      </c>
      <c r="G22" s="41" t="s">
        <v>28</v>
      </c>
      <c r="H22" s="63">
        <v>3</v>
      </c>
      <c r="I22" s="64">
        <v>43087</v>
      </c>
      <c r="J22" s="64">
        <v>43087</v>
      </c>
      <c r="K22" s="64">
        <v>43451</v>
      </c>
      <c r="L22" s="103">
        <v>14.94</v>
      </c>
      <c r="M22" s="65">
        <v>15.28</v>
      </c>
      <c r="N22" s="41" t="s">
        <v>32</v>
      </c>
      <c r="O22" s="103">
        <v>15.17</v>
      </c>
      <c r="P22" s="66">
        <v>15.03</v>
      </c>
      <c r="Q22" s="3">
        <v>0</v>
      </c>
      <c r="R22" s="3"/>
      <c r="S22" s="3"/>
      <c r="T22" s="3"/>
      <c r="U22" s="67">
        <f t="shared" si="0"/>
        <v>15.03</v>
      </c>
      <c r="V22" s="67">
        <f t="shared" si="1"/>
        <v>0</v>
      </c>
      <c r="W22" s="91"/>
      <c r="X22" s="91"/>
      <c r="Y22" s="3"/>
      <c r="Z22" s="67">
        <f t="shared" si="2"/>
        <v>15.03</v>
      </c>
      <c r="AA22" s="67">
        <f t="shared" si="3"/>
        <v>0</v>
      </c>
      <c r="AB22" s="91"/>
      <c r="AC22" s="91"/>
      <c r="AD22" s="3"/>
      <c r="AE22" s="67">
        <f t="shared" si="4"/>
        <v>15.03</v>
      </c>
      <c r="AF22" s="67">
        <f t="shared" si="5"/>
        <v>0</v>
      </c>
    </row>
    <row r="23" spans="1:32" ht="78" hidden="1">
      <c r="A23" s="41">
        <f t="shared" si="6"/>
        <v>21</v>
      </c>
      <c r="B23" s="41" t="s">
        <v>65</v>
      </c>
      <c r="C23" s="41" t="s">
        <v>1002</v>
      </c>
      <c r="D23" s="34" t="s">
        <v>1016</v>
      </c>
      <c r="E23" s="41" t="s">
        <v>1074</v>
      </c>
      <c r="F23" s="43" t="s">
        <v>66</v>
      </c>
      <c r="G23" s="41" t="s">
        <v>28</v>
      </c>
      <c r="H23" s="63">
        <v>2</v>
      </c>
      <c r="I23" s="64">
        <v>43080</v>
      </c>
      <c r="J23" s="64">
        <v>43080</v>
      </c>
      <c r="K23" s="64">
        <v>43404</v>
      </c>
      <c r="L23" s="103">
        <v>10.42</v>
      </c>
      <c r="M23" s="65">
        <v>12.43</v>
      </c>
      <c r="N23" s="41" t="s">
        <v>67</v>
      </c>
      <c r="O23" s="103">
        <v>11.49</v>
      </c>
      <c r="P23" s="66">
        <v>11.23</v>
      </c>
      <c r="Q23" s="66">
        <v>0.26</v>
      </c>
      <c r="R23" s="3"/>
      <c r="S23" s="3"/>
      <c r="T23" s="3"/>
      <c r="U23" s="67">
        <f t="shared" si="0"/>
        <v>11.23</v>
      </c>
      <c r="V23" s="67">
        <f t="shared" si="1"/>
        <v>0.26</v>
      </c>
      <c r="W23" s="91"/>
      <c r="X23" s="91"/>
      <c r="Y23" s="3"/>
      <c r="Z23" s="67">
        <f t="shared" si="2"/>
        <v>11.23</v>
      </c>
      <c r="AA23" s="67">
        <f t="shared" si="3"/>
        <v>0.26</v>
      </c>
      <c r="AB23" s="91"/>
      <c r="AC23" s="91"/>
      <c r="AD23" s="3"/>
      <c r="AE23" s="67">
        <f t="shared" si="4"/>
        <v>11.23</v>
      </c>
      <c r="AF23" s="67">
        <f t="shared" si="5"/>
        <v>0.26</v>
      </c>
    </row>
    <row r="24" spans="1:32" ht="140.4" hidden="1">
      <c r="A24" s="41">
        <f t="shared" si="6"/>
        <v>22</v>
      </c>
      <c r="B24" s="41" t="s">
        <v>69</v>
      </c>
      <c r="C24" s="41" t="s">
        <v>1002</v>
      </c>
      <c r="D24" s="34" t="s">
        <v>1016</v>
      </c>
      <c r="E24" s="41" t="s">
        <v>1075</v>
      </c>
      <c r="F24" s="43" t="s">
        <v>70</v>
      </c>
      <c r="G24" s="41" t="s">
        <v>28</v>
      </c>
      <c r="H24" s="63">
        <v>2</v>
      </c>
      <c r="I24" s="64">
        <v>42084</v>
      </c>
      <c r="J24" s="64">
        <v>42084</v>
      </c>
      <c r="K24" s="64">
        <v>42643</v>
      </c>
      <c r="L24" s="103">
        <v>28.46</v>
      </c>
      <c r="M24" s="65">
        <v>39.18</v>
      </c>
      <c r="N24" s="41" t="s">
        <v>32</v>
      </c>
      <c r="O24" s="103">
        <v>39.32</v>
      </c>
      <c r="P24" s="66">
        <v>40.61</v>
      </c>
      <c r="Q24" s="3">
        <v>0</v>
      </c>
      <c r="R24" s="3"/>
      <c r="S24" s="3"/>
      <c r="T24" s="3"/>
      <c r="U24" s="67">
        <f t="shared" si="0"/>
        <v>40.61</v>
      </c>
      <c r="V24" s="67">
        <f t="shared" si="1"/>
        <v>0</v>
      </c>
      <c r="W24" s="91"/>
      <c r="X24" s="91"/>
      <c r="Y24" s="3"/>
      <c r="Z24" s="67">
        <f t="shared" si="2"/>
        <v>40.61</v>
      </c>
      <c r="AA24" s="67">
        <f t="shared" si="3"/>
        <v>0</v>
      </c>
      <c r="AB24" s="91"/>
      <c r="AC24" s="91"/>
      <c r="AD24" s="3"/>
      <c r="AE24" s="67">
        <f t="shared" si="4"/>
        <v>40.61</v>
      </c>
      <c r="AF24" s="67">
        <f t="shared" si="5"/>
        <v>0</v>
      </c>
    </row>
    <row r="25" spans="1:32" ht="46.8" hidden="1">
      <c r="A25" s="41">
        <f t="shared" si="6"/>
        <v>23</v>
      </c>
      <c r="B25" s="41" t="s">
        <v>71</v>
      </c>
      <c r="C25" s="41" t="s">
        <v>1002</v>
      </c>
      <c r="D25" s="41" t="s">
        <v>1016</v>
      </c>
      <c r="E25" s="41" t="s">
        <v>1076</v>
      </c>
      <c r="F25" s="43" t="s">
        <v>72</v>
      </c>
      <c r="G25" s="41" t="s">
        <v>28</v>
      </c>
      <c r="H25" s="41"/>
      <c r="I25" s="64">
        <v>42035</v>
      </c>
      <c r="J25" s="64">
        <v>42035</v>
      </c>
      <c r="K25" s="64">
        <v>42525</v>
      </c>
      <c r="L25" s="103">
        <v>73.95</v>
      </c>
      <c r="M25" s="65">
        <v>85.07</v>
      </c>
      <c r="N25" s="41" t="s">
        <v>29</v>
      </c>
      <c r="O25" s="103">
        <v>85.07</v>
      </c>
      <c r="P25" s="66">
        <v>84.87</v>
      </c>
      <c r="Q25" s="3">
        <v>0</v>
      </c>
      <c r="R25" s="3"/>
      <c r="S25" s="3"/>
      <c r="T25" s="3"/>
      <c r="U25" s="67">
        <f t="shared" si="0"/>
        <v>84.87</v>
      </c>
      <c r="V25" s="67">
        <f t="shared" si="1"/>
        <v>0</v>
      </c>
      <c r="W25" s="91"/>
      <c r="X25" s="91"/>
      <c r="Y25" s="3"/>
      <c r="Z25" s="67">
        <f t="shared" si="2"/>
        <v>84.87</v>
      </c>
      <c r="AA25" s="67">
        <f t="shared" si="3"/>
        <v>0</v>
      </c>
      <c r="AB25" s="91"/>
      <c r="AC25" s="91"/>
      <c r="AD25" s="3"/>
      <c r="AE25" s="67">
        <f t="shared" si="4"/>
        <v>84.87</v>
      </c>
      <c r="AF25" s="67">
        <f t="shared" si="5"/>
        <v>0</v>
      </c>
    </row>
    <row r="26" spans="1:32" ht="46.8" hidden="1">
      <c r="A26" s="41">
        <f t="shared" si="6"/>
        <v>24</v>
      </c>
      <c r="B26" s="42" t="s">
        <v>996</v>
      </c>
      <c r="C26" s="41" t="s">
        <v>1002</v>
      </c>
      <c r="D26" s="41" t="s">
        <v>1016</v>
      </c>
      <c r="E26" s="41" t="s">
        <v>1077</v>
      </c>
      <c r="F26" s="43" t="s">
        <v>73</v>
      </c>
      <c r="G26" s="41" t="s">
        <v>28</v>
      </c>
      <c r="H26" s="41"/>
      <c r="I26" s="64">
        <v>41817</v>
      </c>
      <c r="J26" s="64">
        <v>41817</v>
      </c>
      <c r="K26" s="64">
        <v>42273</v>
      </c>
      <c r="L26" s="103">
        <v>148.21</v>
      </c>
      <c r="M26" s="65">
        <v>193.14</v>
      </c>
      <c r="N26" s="41" t="s">
        <v>29</v>
      </c>
      <c r="O26" s="103">
        <v>193.14</v>
      </c>
      <c r="P26" s="66">
        <v>193.05</v>
      </c>
      <c r="Q26" s="3">
        <v>0</v>
      </c>
      <c r="R26" s="3"/>
      <c r="S26" s="3"/>
      <c r="T26" s="3"/>
      <c r="U26" s="67">
        <f t="shared" si="0"/>
        <v>193.05</v>
      </c>
      <c r="V26" s="67">
        <f t="shared" si="1"/>
        <v>0</v>
      </c>
      <c r="W26" s="91"/>
      <c r="X26" s="91"/>
      <c r="Y26" s="3"/>
      <c r="Z26" s="67">
        <f t="shared" si="2"/>
        <v>193.05</v>
      </c>
      <c r="AA26" s="67">
        <f t="shared" si="3"/>
        <v>0</v>
      </c>
      <c r="AB26" s="91"/>
      <c r="AC26" s="91"/>
      <c r="AD26" s="3"/>
      <c r="AE26" s="67">
        <f t="shared" si="4"/>
        <v>193.05</v>
      </c>
      <c r="AF26" s="67">
        <f t="shared" si="5"/>
        <v>0</v>
      </c>
    </row>
    <row r="27" spans="1:32" ht="46.8" hidden="1">
      <c r="A27" s="41">
        <f t="shared" si="6"/>
        <v>25</v>
      </c>
      <c r="B27" s="42" t="s">
        <v>995</v>
      </c>
      <c r="C27" s="41" t="s">
        <v>1002</v>
      </c>
      <c r="D27" s="34" t="s">
        <v>1016</v>
      </c>
      <c r="E27" s="41" t="s">
        <v>1078</v>
      </c>
      <c r="F27" s="43" t="s">
        <v>76</v>
      </c>
      <c r="G27" s="41" t="s">
        <v>28</v>
      </c>
      <c r="H27" s="41"/>
      <c r="I27" s="64">
        <v>42033</v>
      </c>
      <c r="J27" s="64">
        <v>42033</v>
      </c>
      <c r="K27" s="64">
        <v>42436</v>
      </c>
      <c r="L27" s="103">
        <v>88.72</v>
      </c>
      <c r="M27" s="65">
        <v>123.09</v>
      </c>
      <c r="N27" s="41" t="s">
        <v>29</v>
      </c>
      <c r="O27" s="103">
        <v>123.09</v>
      </c>
      <c r="P27" s="66">
        <v>92.85</v>
      </c>
      <c r="Q27" s="66">
        <v>14.77</v>
      </c>
      <c r="R27" s="3"/>
      <c r="S27" s="3"/>
      <c r="T27" s="3"/>
      <c r="U27" s="67">
        <f t="shared" si="0"/>
        <v>92.85</v>
      </c>
      <c r="V27" s="67">
        <f t="shared" si="1"/>
        <v>14.77</v>
      </c>
      <c r="W27" s="91"/>
      <c r="X27" s="91"/>
      <c r="Y27" s="3"/>
      <c r="Z27" s="67">
        <f t="shared" si="2"/>
        <v>92.85</v>
      </c>
      <c r="AA27" s="67">
        <f t="shared" si="3"/>
        <v>14.77</v>
      </c>
      <c r="AB27" s="91"/>
      <c r="AC27" s="91"/>
      <c r="AD27" s="3"/>
      <c r="AE27" s="67">
        <f t="shared" si="4"/>
        <v>92.85</v>
      </c>
      <c r="AF27" s="67">
        <f t="shared" si="5"/>
        <v>14.77</v>
      </c>
    </row>
    <row r="28" spans="1:32" ht="93.6" hidden="1">
      <c r="A28" s="41">
        <f t="shared" si="6"/>
        <v>26</v>
      </c>
      <c r="B28" s="42" t="s">
        <v>74</v>
      </c>
      <c r="C28" s="41" t="s">
        <v>1002</v>
      </c>
      <c r="D28" s="34" t="s">
        <v>1016</v>
      </c>
      <c r="E28" s="41" t="s">
        <v>1079</v>
      </c>
      <c r="F28" s="43" t="s">
        <v>75</v>
      </c>
      <c r="G28" s="41" t="s">
        <v>28</v>
      </c>
      <c r="H28" s="41"/>
      <c r="I28" s="64">
        <v>42084</v>
      </c>
      <c r="J28" s="64">
        <v>42084</v>
      </c>
      <c r="K28" s="64">
        <v>42541</v>
      </c>
      <c r="L28" s="103">
        <v>126.24</v>
      </c>
      <c r="M28" s="65">
        <v>126.24</v>
      </c>
      <c r="N28" s="41" t="s">
        <v>29</v>
      </c>
      <c r="O28" s="103">
        <v>102.2</v>
      </c>
      <c r="P28" s="66">
        <v>108.37</v>
      </c>
      <c r="Q28" s="3">
        <v>0</v>
      </c>
      <c r="R28" s="3"/>
      <c r="S28" s="3"/>
      <c r="T28" s="3"/>
      <c r="U28" s="67">
        <f t="shared" si="0"/>
        <v>108.37</v>
      </c>
      <c r="V28" s="67">
        <f t="shared" si="1"/>
        <v>0</v>
      </c>
      <c r="W28" s="91"/>
      <c r="X28" s="91"/>
      <c r="Y28" s="3"/>
      <c r="Z28" s="67">
        <f t="shared" si="2"/>
        <v>108.37</v>
      </c>
      <c r="AA28" s="67">
        <f t="shared" si="3"/>
        <v>0</v>
      </c>
      <c r="AB28" s="91"/>
      <c r="AC28" s="91"/>
      <c r="AD28" s="3"/>
      <c r="AE28" s="67">
        <f t="shared" si="4"/>
        <v>108.37</v>
      </c>
      <c r="AF28" s="67">
        <f t="shared" si="5"/>
        <v>0</v>
      </c>
    </row>
    <row r="29" spans="1:32" ht="46.8" hidden="1">
      <c r="A29" s="41">
        <f t="shared" si="6"/>
        <v>27</v>
      </c>
      <c r="B29" s="42" t="s">
        <v>77</v>
      </c>
      <c r="C29" s="41" t="s">
        <v>1002</v>
      </c>
      <c r="D29" s="34" t="s">
        <v>1016</v>
      </c>
      <c r="E29" s="41" t="s">
        <v>1080</v>
      </c>
      <c r="F29" s="43" t="s">
        <v>78</v>
      </c>
      <c r="G29" s="41" t="s">
        <v>28</v>
      </c>
      <c r="H29" s="63">
        <v>3</v>
      </c>
      <c r="I29" s="41" t="s">
        <v>79</v>
      </c>
      <c r="J29" s="41" t="s">
        <v>79</v>
      </c>
      <c r="K29" s="64">
        <v>42307</v>
      </c>
      <c r="L29" s="103">
        <v>84.46</v>
      </c>
      <c r="M29" s="65">
        <v>89.51</v>
      </c>
      <c r="N29" s="41" t="s">
        <v>29</v>
      </c>
      <c r="O29" s="103">
        <v>90.02</v>
      </c>
      <c r="P29" s="66">
        <v>80.03</v>
      </c>
      <c r="Q29" s="66">
        <v>0.56000000000000005</v>
      </c>
      <c r="R29" s="3"/>
      <c r="S29" s="3"/>
      <c r="T29" s="3"/>
      <c r="U29" s="67">
        <f t="shared" si="0"/>
        <v>80.03</v>
      </c>
      <c r="V29" s="67">
        <f t="shared" si="1"/>
        <v>0.56000000000000005</v>
      </c>
      <c r="W29" s="91"/>
      <c r="X29" s="91"/>
      <c r="Y29" s="3"/>
      <c r="Z29" s="67">
        <f t="shared" si="2"/>
        <v>80.03</v>
      </c>
      <c r="AA29" s="67">
        <f t="shared" si="3"/>
        <v>0.56000000000000005</v>
      </c>
      <c r="AB29" s="91"/>
      <c r="AC29" s="91"/>
      <c r="AD29" s="3"/>
      <c r="AE29" s="67">
        <f t="shared" si="4"/>
        <v>80.03</v>
      </c>
      <c r="AF29" s="67">
        <f t="shared" si="5"/>
        <v>0.56000000000000005</v>
      </c>
    </row>
    <row r="30" spans="1:32" ht="46.8">
      <c r="A30" s="41">
        <f t="shared" si="6"/>
        <v>28</v>
      </c>
      <c r="B30" s="34"/>
      <c r="C30" s="34" t="s">
        <v>876</v>
      </c>
      <c r="D30" s="41" t="s">
        <v>1016</v>
      </c>
      <c r="E30" s="41" t="s">
        <v>1081</v>
      </c>
      <c r="F30" s="43" t="s">
        <v>80</v>
      </c>
      <c r="G30" s="41" t="s">
        <v>81</v>
      </c>
      <c r="H30" s="63">
        <v>2</v>
      </c>
      <c r="I30" s="64">
        <v>42674</v>
      </c>
      <c r="J30" s="64">
        <v>42674</v>
      </c>
      <c r="K30" s="64">
        <v>42766</v>
      </c>
      <c r="L30" s="103">
        <v>48.13</v>
      </c>
      <c r="M30" s="65">
        <v>48.13</v>
      </c>
      <c r="N30" s="41" t="s">
        <v>82</v>
      </c>
      <c r="O30" s="103">
        <v>48.65</v>
      </c>
      <c r="P30" s="66">
        <v>46.31</v>
      </c>
      <c r="Q30" s="3">
        <v>0</v>
      </c>
      <c r="R30" s="3"/>
      <c r="S30" s="3"/>
      <c r="T30" s="3"/>
      <c r="U30" s="67">
        <f t="shared" si="0"/>
        <v>46.31</v>
      </c>
      <c r="V30" s="67">
        <f t="shared" si="1"/>
        <v>0</v>
      </c>
      <c r="W30" s="91"/>
      <c r="X30" s="91"/>
      <c r="Y30" s="3"/>
      <c r="Z30" s="67">
        <f t="shared" si="2"/>
        <v>46.31</v>
      </c>
      <c r="AA30" s="67">
        <f t="shared" si="3"/>
        <v>0</v>
      </c>
      <c r="AB30" s="91"/>
      <c r="AC30" s="91"/>
      <c r="AD30" s="3"/>
      <c r="AE30" s="67">
        <f t="shared" si="4"/>
        <v>46.31</v>
      </c>
      <c r="AF30" s="67">
        <f t="shared" si="5"/>
        <v>0</v>
      </c>
    </row>
    <row r="31" spans="1:32" ht="46.8">
      <c r="A31" s="41">
        <f t="shared" si="6"/>
        <v>29</v>
      </c>
      <c r="B31" s="34"/>
      <c r="C31" s="34" t="s">
        <v>876</v>
      </c>
      <c r="D31" s="34" t="s">
        <v>1016</v>
      </c>
      <c r="E31" s="41" t="s">
        <v>1082</v>
      </c>
      <c r="F31" s="43" t="s">
        <v>83</v>
      </c>
      <c r="G31" s="41" t="s">
        <v>81</v>
      </c>
      <c r="H31" s="63">
        <v>3</v>
      </c>
      <c r="I31" s="64">
        <v>42672</v>
      </c>
      <c r="J31" s="64">
        <v>42672</v>
      </c>
      <c r="K31" s="64">
        <v>43036</v>
      </c>
      <c r="L31" s="103">
        <v>28.28</v>
      </c>
      <c r="M31" s="65">
        <v>28.28</v>
      </c>
      <c r="N31" s="41" t="s">
        <v>82</v>
      </c>
      <c r="O31" s="103">
        <v>34.57</v>
      </c>
      <c r="P31" s="66">
        <v>33.11</v>
      </c>
      <c r="Q31" s="3">
        <v>0</v>
      </c>
      <c r="R31" s="3"/>
      <c r="S31" s="3"/>
      <c r="T31" s="3"/>
      <c r="U31" s="67">
        <f t="shared" si="0"/>
        <v>33.11</v>
      </c>
      <c r="V31" s="67">
        <f t="shared" si="1"/>
        <v>0</v>
      </c>
      <c r="W31" s="91"/>
      <c r="X31" s="91"/>
      <c r="Y31" s="3"/>
      <c r="Z31" s="67">
        <f t="shared" si="2"/>
        <v>33.11</v>
      </c>
      <c r="AA31" s="67">
        <f t="shared" si="3"/>
        <v>0</v>
      </c>
      <c r="AB31" s="91"/>
      <c r="AC31" s="91"/>
      <c r="AD31" s="3"/>
      <c r="AE31" s="67">
        <f t="shared" si="4"/>
        <v>33.11</v>
      </c>
      <c r="AF31" s="67">
        <f t="shared" si="5"/>
        <v>0</v>
      </c>
    </row>
    <row r="32" spans="1:32" ht="46.8">
      <c r="A32" s="41">
        <f t="shared" si="6"/>
        <v>30</v>
      </c>
      <c r="B32" s="34"/>
      <c r="C32" s="34" t="s">
        <v>876</v>
      </c>
      <c r="D32" s="34" t="s">
        <v>1016</v>
      </c>
      <c r="E32" s="41" t="s">
        <v>1083</v>
      </c>
      <c r="F32" s="43" t="s">
        <v>84</v>
      </c>
      <c r="G32" s="41" t="s">
        <v>81</v>
      </c>
      <c r="H32" s="63">
        <v>1</v>
      </c>
      <c r="I32" s="64">
        <v>42674</v>
      </c>
      <c r="J32" s="64">
        <v>42674</v>
      </c>
      <c r="K32" s="64">
        <v>42766</v>
      </c>
      <c r="L32" s="103">
        <v>59.09</v>
      </c>
      <c r="M32" s="65">
        <v>59.09</v>
      </c>
      <c r="N32" s="41" t="s">
        <v>82</v>
      </c>
      <c r="O32" s="103">
        <v>76.95</v>
      </c>
      <c r="P32" s="66">
        <v>76.180000000000007</v>
      </c>
      <c r="Q32" s="66">
        <v>0.19</v>
      </c>
      <c r="R32" s="3"/>
      <c r="S32" s="3"/>
      <c r="T32" s="3"/>
      <c r="U32" s="67">
        <f t="shared" si="0"/>
        <v>76.180000000000007</v>
      </c>
      <c r="V32" s="67">
        <f t="shared" si="1"/>
        <v>0.19</v>
      </c>
      <c r="W32" s="91"/>
      <c r="X32" s="91"/>
      <c r="Y32" s="3"/>
      <c r="Z32" s="67">
        <f t="shared" si="2"/>
        <v>76.180000000000007</v>
      </c>
      <c r="AA32" s="67">
        <f t="shared" si="3"/>
        <v>0.19</v>
      </c>
      <c r="AB32" s="91"/>
      <c r="AC32" s="91"/>
      <c r="AD32" s="3"/>
      <c r="AE32" s="67">
        <f t="shared" si="4"/>
        <v>76.180000000000007</v>
      </c>
      <c r="AF32" s="67">
        <f t="shared" si="5"/>
        <v>0.19</v>
      </c>
    </row>
    <row r="33" spans="1:32" ht="46.8">
      <c r="A33" s="41">
        <f t="shared" si="6"/>
        <v>31</v>
      </c>
      <c r="B33" s="34"/>
      <c r="C33" s="34" t="s">
        <v>876</v>
      </c>
      <c r="D33" s="34" t="s">
        <v>1016</v>
      </c>
      <c r="E33" s="41" t="s">
        <v>1084</v>
      </c>
      <c r="F33" s="43" t="s">
        <v>85</v>
      </c>
      <c r="G33" s="41" t="s">
        <v>81</v>
      </c>
      <c r="H33" s="63">
        <v>2</v>
      </c>
      <c r="I33" s="64">
        <v>42672</v>
      </c>
      <c r="J33" s="64">
        <v>42672</v>
      </c>
      <c r="K33" s="64">
        <v>42671</v>
      </c>
      <c r="L33" s="103">
        <v>25.2</v>
      </c>
      <c r="M33" s="65">
        <v>25.2</v>
      </c>
      <c r="N33" s="41" t="s">
        <v>82</v>
      </c>
      <c r="O33" s="103">
        <v>35.65</v>
      </c>
      <c r="P33" s="66">
        <v>35.619999999999997</v>
      </c>
      <c r="Q33" s="3">
        <v>0</v>
      </c>
      <c r="R33" s="3"/>
      <c r="S33" s="3"/>
      <c r="T33" s="3"/>
      <c r="U33" s="67">
        <f t="shared" si="0"/>
        <v>35.619999999999997</v>
      </c>
      <c r="V33" s="67">
        <f t="shared" si="1"/>
        <v>0</v>
      </c>
      <c r="W33" s="91"/>
      <c r="X33" s="91"/>
      <c r="Y33" s="3"/>
      <c r="Z33" s="67">
        <f t="shared" si="2"/>
        <v>35.619999999999997</v>
      </c>
      <c r="AA33" s="67">
        <f t="shared" si="3"/>
        <v>0</v>
      </c>
      <c r="AB33" s="91"/>
      <c r="AC33" s="91"/>
      <c r="AD33" s="3"/>
      <c r="AE33" s="67">
        <f t="shared" si="4"/>
        <v>35.619999999999997</v>
      </c>
      <c r="AF33" s="67">
        <f t="shared" si="5"/>
        <v>0</v>
      </c>
    </row>
    <row r="34" spans="1:32" ht="78">
      <c r="A34" s="41">
        <f t="shared" si="6"/>
        <v>32</v>
      </c>
      <c r="B34" s="42" t="s">
        <v>86</v>
      </c>
      <c r="C34" s="34" t="s">
        <v>876</v>
      </c>
      <c r="D34" s="34" t="s">
        <v>1016</v>
      </c>
      <c r="E34" s="41" t="s">
        <v>1085</v>
      </c>
      <c r="F34" s="43" t="s">
        <v>87</v>
      </c>
      <c r="G34" s="41" t="s">
        <v>28</v>
      </c>
      <c r="H34" s="63">
        <v>2</v>
      </c>
      <c r="I34" s="64">
        <v>41669</v>
      </c>
      <c r="J34" s="64">
        <v>41669</v>
      </c>
      <c r="K34" s="64">
        <v>42033</v>
      </c>
      <c r="L34" s="103">
        <v>72.03</v>
      </c>
      <c r="M34" s="65">
        <v>72.03</v>
      </c>
      <c r="N34" s="41" t="s">
        <v>32</v>
      </c>
      <c r="O34" s="103">
        <v>72.03</v>
      </c>
      <c r="P34" s="66">
        <v>75.94</v>
      </c>
      <c r="Q34" s="66">
        <v>0.85</v>
      </c>
      <c r="R34" s="3"/>
      <c r="S34" s="3"/>
      <c r="T34" s="3"/>
      <c r="U34" s="67">
        <f t="shared" si="0"/>
        <v>75.94</v>
      </c>
      <c r="V34" s="67">
        <f t="shared" si="1"/>
        <v>0.85</v>
      </c>
      <c r="W34" s="91"/>
      <c r="X34" s="91"/>
      <c r="Y34" s="3"/>
      <c r="Z34" s="67">
        <f t="shared" si="2"/>
        <v>75.94</v>
      </c>
      <c r="AA34" s="67">
        <f t="shared" si="3"/>
        <v>0.85</v>
      </c>
      <c r="AB34" s="91"/>
      <c r="AC34" s="91"/>
      <c r="AD34" s="3"/>
      <c r="AE34" s="67">
        <f t="shared" si="4"/>
        <v>75.94</v>
      </c>
      <c r="AF34" s="67">
        <f t="shared" si="5"/>
        <v>0.85</v>
      </c>
    </row>
    <row r="35" spans="1:32" ht="124.8">
      <c r="A35" s="41">
        <f t="shared" si="6"/>
        <v>33</v>
      </c>
      <c r="B35" s="34"/>
      <c r="C35" s="34" t="s">
        <v>876</v>
      </c>
      <c r="D35" s="34" t="s">
        <v>1016</v>
      </c>
      <c r="E35" s="41" t="s">
        <v>1086</v>
      </c>
      <c r="F35" s="43" t="s">
        <v>88</v>
      </c>
      <c r="G35" s="41" t="s">
        <v>28</v>
      </c>
      <c r="H35" s="63">
        <v>4</v>
      </c>
      <c r="I35" s="64">
        <v>42431</v>
      </c>
      <c r="J35" s="64">
        <v>42431</v>
      </c>
      <c r="K35" s="64">
        <v>42705</v>
      </c>
      <c r="L35" s="103">
        <v>20.34</v>
      </c>
      <c r="M35" s="65">
        <v>20.34</v>
      </c>
      <c r="N35" s="41" t="s">
        <v>32</v>
      </c>
      <c r="O35" s="103">
        <v>20.34</v>
      </c>
      <c r="P35" s="66">
        <v>21.59</v>
      </c>
      <c r="Q35" s="3">
        <v>0</v>
      </c>
      <c r="R35" s="3"/>
      <c r="S35" s="3"/>
      <c r="T35" s="3"/>
      <c r="U35" s="67">
        <f t="shared" si="0"/>
        <v>21.59</v>
      </c>
      <c r="V35" s="67">
        <f t="shared" si="1"/>
        <v>0</v>
      </c>
      <c r="W35" s="91"/>
      <c r="X35" s="91"/>
      <c r="Y35" s="3"/>
      <c r="Z35" s="67">
        <f t="shared" si="2"/>
        <v>21.59</v>
      </c>
      <c r="AA35" s="67">
        <f t="shared" si="3"/>
        <v>0</v>
      </c>
      <c r="AB35" s="91"/>
      <c r="AC35" s="91"/>
      <c r="AD35" s="3"/>
      <c r="AE35" s="67">
        <f t="shared" si="4"/>
        <v>21.59</v>
      </c>
      <c r="AF35" s="67">
        <f t="shared" si="5"/>
        <v>0</v>
      </c>
    </row>
    <row r="36" spans="1:32" ht="62.4">
      <c r="A36" s="41">
        <f t="shared" si="6"/>
        <v>34</v>
      </c>
      <c r="B36" s="42" t="s">
        <v>89</v>
      </c>
      <c r="C36" s="34" t="s">
        <v>876</v>
      </c>
      <c r="D36" s="34" t="s">
        <v>1016</v>
      </c>
      <c r="E36" s="41" t="s">
        <v>1087</v>
      </c>
      <c r="F36" s="43" t="s">
        <v>90</v>
      </c>
      <c r="G36" s="41" t="s">
        <v>81</v>
      </c>
      <c r="H36" s="63">
        <v>3</v>
      </c>
      <c r="I36" s="64">
        <v>42672</v>
      </c>
      <c r="J36" s="64">
        <v>42672</v>
      </c>
      <c r="K36" s="64">
        <v>43036</v>
      </c>
      <c r="L36" s="103">
        <v>18.91</v>
      </c>
      <c r="M36" s="65">
        <v>18.91</v>
      </c>
      <c r="N36" s="41" t="s">
        <v>82</v>
      </c>
      <c r="O36" s="103">
        <v>23.38</v>
      </c>
      <c r="P36" s="66">
        <v>22.33</v>
      </c>
      <c r="Q36" s="3">
        <v>0</v>
      </c>
      <c r="R36" s="3"/>
      <c r="S36" s="3"/>
      <c r="T36" s="3"/>
      <c r="U36" s="67">
        <f t="shared" si="0"/>
        <v>22.33</v>
      </c>
      <c r="V36" s="67">
        <f t="shared" si="1"/>
        <v>0</v>
      </c>
      <c r="W36" s="94"/>
      <c r="X36" s="91"/>
      <c r="Y36" s="3"/>
      <c r="Z36" s="67">
        <f t="shared" si="2"/>
        <v>22.33</v>
      </c>
      <c r="AA36" s="67">
        <f t="shared" si="3"/>
        <v>0</v>
      </c>
      <c r="AB36" s="91"/>
      <c r="AC36" s="91"/>
      <c r="AD36" s="3"/>
      <c r="AE36" s="67">
        <f t="shared" si="4"/>
        <v>22.33</v>
      </c>
      <c r="AF36" s="67">
        <f t="shared" si="5"/>
        <v>0</v>
      </c>
    </row>
    <row r="37" spans="1:32" ht="46.8">
      <c r="A37" s="41">
        <f t="shared" si="6"/>
        <v>35</v>
      </c>
      <c r="B37" s="42" t="s">
        <v>91</v>
      </c>
      <c r="C37" s="34" t="s">
        <v>876</v>
      </c>
      <c r="D37" s="34" t="s">
        <v>1016</v>
      </c>
      <c r="E37" s="41" t="s">
        <v>1088</v>
      </c>
      <c r="F37" s="43" t="s">
        <v>92</v>
      </c>
      <c r="G37" s="41" t="s">
        <v>81</v>
      </c>
      <c r="H37" s="63">
        <v>3</v>
      </c>
      <c r="I37" s="64">
        <v>42674</v>
      </c>
      <c r="J37" s="64">
        <v>42674</v>
      </c>
      <c r="K37" s="64">
        <v>43131</v>
      </c>
      <c r="L37" s="103">
        <v>40.86</v>
      </c>
      <c r="M37" s="65">
        <v>40.86</v>
      </c>
      <c r="N37" s="41" t="s">
        <v>82</v>
      </c>
      <c r="O37" s="103">
        <v>41.32</v>
      </c>
      <c r="P37" s="66">
        <v>40.409999999999997</v>
      </c>
      <c r="Q37" s="66">
        <v>2.82</v>
      </c>
      <c r="R37" s="3"/>
      <c r="S37" s="3"/>
      <c r="T37" s="3"/>
      <c r="U37" s="67">
        <f t="shared" si="0"/>
        <v>40.409999999999997</v>
      </c>
      <c r="V37" s="67">
        <f t="shared" si="1"/>
        <v>2.82</v>
      </c>
      <c r="W37" s="91"/>
      <c r="X37" s="91"/>
      <c r="Y37" s="3"/>
      <c r="Z37" s="67">
        <f t="shared" si="2"/>
        <v>40.409999999999997</v>
      </c>
      <c r="AA37" s="67">
        <f t="shared" si="3"/>
        <v>2.82</v>
      </c>
      <c r="AB37" s="91"/>
      <c r="AC37" s="91"/>
      <c r="AD37" s="3"/>
      <c r="AE37" s="67">
        <f t="shared" si="4"/>
        <v>40.409999999999997</v>
      </c>
      <c r="AF37" s="67">
        <f t="shared" si="5"/>
        <v>2.82</v>
      </c>
    </row>
    <row r="38" spans="1:32" ht="156">
      <c r="A38" s="41">
        <f t="shared" si="6"/>
        <v>36</v>
      </c>
      <c r="B38" s="34"/>
      <c r="C38" s="34" t="s">
        <v>876</v>
      </c>
      <c r="D38" s="34" t="s">
        <v>1016</v>
      </c>
      <c r="E38" s="41" t="s">
        <v>1089</v>
      </c>
      <c r="F38" s="43" t="s">
        <v>93</v>
      </c>
      <c r="G38" s="43" t="s">
        <v>28</v>
      </c>
      <c r="H38" s="51">
        <v>3</v>
      </c>
      <c r="I38" s="52">
        <v>42368</v>
      </c>
      <c r="J38" s="52">
        <v>42368</v>
      </c>
      <c r="K38" s="53">
        <v>42734</v>
      </c>
      <c r="L38" s="126">
        <v>56.17</v>
      </c>
      <c r="M38" s="54">
        <v>56.17</v>
      </c>
      <c r="N38" s="41" t="s">
        <v>32</v>
      </c>
      <c r="O38" s="127">
        <v>36.909999999999997</v>
      </c>
      <c r="P38" s="66">
        <v>37.159999999999997</v>
      </c>
      <c r="Q38" s="66">
        <v>0</v>
      </c>
      <c r="R38" s="3"/>
      <c r="S38" s="3"/>
      <c r="T38" s="3"/>
      <c r="U38" s="67">
        <f t="shared" si="0"/>
        <v>37.159999999999997</v>
      </c>
      <c r="V38" s="67">
        <f t="shared" si="1"/>
        <v>0</v>
      </c>
      <c r="W38" s="91"/>
      <c r="X38" s="91"/>
      <c r="Y38" s="3"/>
      <c r="Z38" s="67">
        <f t="shared" si="2"/>
        <v>37.159999999999997</v>
      </c>
      <c r="AA38" s="67">
        <f t="shared" si="3"/>
        <v>0</v>
      </c>
      <c r="AB38" s="91"/>
      <c r="AC38" s="91"/>
      <c r="AD38" s="3"/>
      <c r="AE38" s="67">
        <f t="shared" si="4"/>
        <v>37.159999999999997</v>
      </c>
      <c r="AF38" s="67">
        <f t="shared" si="5"/>
        <v>0</v>
      </c>
    </row>
    <row r="39" spans="1:32" ht="46.8">
      <c r="A39" s="41">
        <f t="shared" si="6"/>
        <v>37</v>
      </c>
      <c r="B39" s="41" t="s">
        <v>527</v>
      </c>
      <c r="C39" s="34" t="s">
        <v>876</v>
      </c>
      <c r="D39" s="34" t="s">
        <v>1016</v>
      </c>
      <c r="E39" s="41" t="s">
        <v>1090</v>
      </c>
      <c r="F39" s="43" t="s">
        <v>94</v>
      </c>
      <c r="G39" s="41" t="s">
        <v>81</v>
      </c>
      <c r="H39" s="63">
        <v>2</v>
      </c>
      <c r="I39" s="64">
        <v>41082</v>
      </c>
      <c r="J39" s="64">
        <v>41082</v>
      </c>
      <c r="K39" s="64">
        <v>41629</v>
      </c>
      <c r="L39" s="103">
        <v>58.23</v>
      </c>
      <c r="M39" s="65">
        <v>58.23</v>
      </c>
      <c r="N39" s="41" t="s">
        <v>82</v>
      </c>
      <c r="O39" s="103">
        <v>81.09</v>
      </c>
      <c r="P39" s="3">
        <v>82.741272215000009</v>
      </c>
      <c r="Q39" s="66">
        <v>-5.8112722150000025</v>
      </c>
      <c r="R39" s="3"/>
      <c r="S39" s="22"/>
      <c r="T39" s="3"/>
      <c r="U39" s="67">
        <f t="shared" si="0"/>
        <v>82.741272215000009</v>
      </c>
      <c r="V39" s="79">
        <f t="shared" si="1"/>
        <v>-5.8112722150000025</v>
      </c>
      <c r="W39" s="91"/>
      <c r="X39" s="91"/>
      <c r="Y39" s="3"/>
      <c r="Z39" s="67">
        <f t="shared" si="2"/>
        <v>82.741272215000009</v>
      </c>
      <c r="AA39" s="67">
        <f t="shared" si="3"/>
        <v>-5.8112722150000025</v>
      </c>
      <c r="AB39" s="91"/>
      <c r="AC39" s="91"/>
      <c r="AD39" s="3"/>
      <c r="AE39" s="67">
        <f t="shared" si="4"/>
        <v>82.741272215000009</v>
      </c>
      <c r="AF39" s="67">
        <f t="shared" si="5"/>
        <v>-5.8112722150000025</v>
      </c>
    </row>
    <row r="40" spans="1:32" ht="46.8">
      <c r="A40" s="41">
        <f t="shared" si="6"/>
        <v>38</v>
      </c>
      <c r="B40" s="34" t="s">
        <v>1046</v>
      </c>
      <c r="C40" s="34" t="s">
        <v>876</v>
      </c>
      <c r="D40" s="34" t="s">
        <v>1016</v>
      </c>
      <c r="E40" s="41" t="s">
        <v>1091</v>
      </c>
      <c r="F40" s="43" t="s">
        <v>95</v>
      </c>
      <c r="G40" s="41" t="s">
        <v>81</v>
      </c>
      <c r="H40" s="63">
        <v>2</v>
      </c>
      <c r="I40" s="64">
        <v>41082</v>
      </c>
      <c r="J40" s="64">
        <v>41082</v>
      </c>
      <c r="K40" s="64">
        <v>41629</v>
      </c>
      <c r="L40" s="103">
        <v>41.52</v>
      </c>
      <c r="M40" s="65">
        <v>41.52</v>
      </c>
      <c r="N40" s="41" t="s">
        <v>82</v>
      </c>
      <c r="O40" s="103">
        <v>41.52</v>
      </c>
      <c r="P40" s="3">
        <v>0</v>
      </c>
      <c r="Q40" s="66">
        <v>31.55</v>
      </c>
      <c r="R40" s="3"/>
      <c r="S40" s="3"/>
      <c r="T40" s="3"/>
      <c r="U40" s="67">
        <f t="shared" si="0"/>
        <v>0</v>
      </c>
      <c r="V40" s="67">
        <f t="shared" si="1"/>
        <v>31.55</v>
      </c>
      <c r="W40" s="91"/>
      <c r="X40" s="91"/>
      <c r="Y40" s="3"/>
      <c r="Z40" s="67">
        <f t="shared" si="2"/>
        <v>0</v>
      </c>
      <c r="AA40" s="67">
        <f t="shared" si="3"/>
        <v>31.55</v>
      </c>
      <c r="AB40" s="91"/>
      <c r="AC40" s="91"/>
      <c r="AD40" s="3"/>
      <c r="AE40" s="67">
        <f t="shared" si="4"/>
        <v>0</v>
      </c>
      <c r="AF40" s="67">
        <f t="shared" si="5"/>
        <v>31.55</v>
      </c>
    </row>
    <row r="41" spans="1:32" ht="62.4">
      <c r="A41" s="41">
        <f t="shared" si="6"/>
        <v>39</v>
      </c>
      <c r="B41" s="34"/>
      <c r="C41" s="34" t="s">
        <v>876</v>
      </c>
      <c r="D41" s="34" t="s">
        <v>1016</v>
      </c>
      <c r="E41" s="41" t="s">
        <v>1092</v>
      </c>
      <c r="F41" s="43" t="s">
        <v>96</v>
      </c>
      <c r="G41" s="41" t="s">
        <v>81</v>
      </c>
      <c r="H41" s="63">
        <v>1</v>
      </c>
      <c r="I41" s="64">
        <v>42674</v>
      </c>
      <c r="J41" s="64">
        <v>42674</v>
      </c>
      <c r="K41" s="64">
        <v>43038</v>
      </c>
      <c r="L41" s="103">
        <v>33.020000000000003</v>
      </c>
      <c r="M41" s="65">
        <v>33.020000000000003</v>
      </c>
      <c r="N41" s="41" t="s">
        <v>82</v>
      </c>
      <c r="O41" s="103">
        <v>46.84</v>
      </c>
      <c r="P41" s="66">
        <v>42.68</v>
      </c>
      <c r="Q41" s="3">
        <v>0</v>
      </c>
      <c r="R41" s="3"/>
      <c r="S41" s="3"/>
      <c r="T41" s="3"/>
      <c r="U41" s="67">
        <f t="shared" si="0"/>
        <v>42.68</v>
      </c>
      <c r="V41" s="67">
        <f t="shared" si="1"/>
        <v>0</v>
      </c>
      <c r="W41" s="91"/>
      <c r="X41" s="91"/>
      <c r="Y41" s="3"/>
      <c r="Z41" s="67">
        <f t="shared" si="2"/>
        <v>42.68</v>
      </c>
      <c r="AA41" s="67">
        <f t="shared" si="3"/>
        <v>0</v>
      </c>
      <c r="AB41" s="91"/>
      <c r="AC41" s="91"/>
      <c r="AD41" s="3"/>
      <c r="AE41" s="67">
        <f t="shared" si="4"/>
        <v>42.68</v>
      </c>
      <c r="AF41" s="67">
        <f t="shared" si="5"/>
        <v>0</v>
      </c>
    </row>
    <row r="42" spans="1:32" ht="46.8">
      <c r="A42" s="41">
        <f t="shared" si="6"/>
        <v>40</v>
      </c>
      <c r="B42" s="34"/>
      <c r="C42" s="34" t="s">
        <v>876</v>
      </c>
      <c r="D42" s="34" t="s">
        <v>1016</v>
      </c>
      <c r="E42" s="41" t="s">
        <v>1093</v>
      </c>
      <c r="F42" s="43" t="s">
        <v>97</v>
      </c>
      <c r="G42" s="41" t="s">
        <v>81</v>
      </c>
      <c r="H42" s="63">
        <v>2</v>
      </c>
      <c r="I42" s="64">
        <v>42674</v>
      </c>
      <c r="J42" s="64">
        <v>42674</v>
      </c>
      <c r="K42" s="64">
        <v>43130</v>
      </c>
      <c r="L42" s="103">
        <v>66.790000000000006</v>
      </c>
      <c r="M42" s="65">
        <v>66.790000000000006</v>
      </c>
      <c r="N42" s="41" t="s">
        <v>82</v>
      </c>
      <c r="O42" s="128">
        <v>83</v>
      </c>
      <c r="P42" s="66">
        <v>82.72</v>
      </c>
      <c r="Q42" s="3">
        <v>0</v>
      </c>
      <c r="R42" s="3"/>
      <c r="S42" s="3"/>
      <c r="T42" s="3"/>
      <c r="U42" s="67">
        <f t="shared" si="0"/>
        <v>82.72</v>
      </c>
      <c r="V42" s="67">
        <f t="shared" si="1"/>
        <v>0</v>
      </c>
      <c r="W42" s="91"/>
      <c r="X42" s="91"/>
      <c r="Y42" s="3"/>
      <c r="Z42" s="67">
        <f t="shared" si="2"/>
        <v>82.72</v>
      </c>
      <c r="AA42" s="67">
        <f t="shared" si="3"/>
        <v>0</v>
      </c>
      <c r="AB42" s="91"/>
      <c r="AC42" s="91"/>
      <c r="AD42" s="3"/>
      <c r="AE42" s="67">
        <f t="shared" si="4"/>
        <v>82.72</v>
      </c>
      <c r="AF42" s="67">
        <f t="shared" si="5"/>
        <v>0</v>
      </c>
    </row>
    <row r="43" spans="1:32" ht="46.8">
      <c r="A43" s="41">
        <f t="shared" si="6"/>
        <v>41</v>
      </c>
      <c r="B43" s="34"/>
      <c r="C43" s="34" t="s">
        <v>876</v>
      </c>
      <c r="D43" s="34" t="s">
        <v>1016</v>
      </c>
      <c r="E43" s="41" t="s">
        <v>1094</v>
      </c>
      <c r="F43" s="43" t="s">
        <v>98</v>
      </c>
      <c r="G43" s="41" t="s">
        <v>81</v>
      </c>
      <c r="H43" s="63">
        <v>2</v>
      </c>
      <c r="I43" s="64">
        <v>42674</v>
      </c>
      <c r="J43" s="64">
        <v>42674</v>
      </c>
      <c r="K43" s="64">
        <v>43130</v>
      </c>
      <c r="L43" s="103">
        <v>35.450000000000003</v>
      </c>
      <c r="M43" s="65">
        <v>35.450000000000003</v>
      </c>
      <c r="N43" s="41" t="s">
        <v>82</v>
      </c>
      <c r="O43" s="103">
        <v>35.549999999999997</v>
      </c>
      <c r="P43" s="66">
        <v>35.03</v>
      </c>
      <c r="Q43" s="3">
        <v>0</v>
      </c>
      <c r="R43" s="3"/>
      <c r="S43" s="3"/>
      <c r="T43" s="3"/>
      <c r="U43" s="67">
        <f t="shared" si="0"/>
        <v>35.03</v>
      </c>
      <c r="V43" s="67">
        <f t="shared" si="1"/>
        <v>0</v>
      </c>
      <c r="W43" s="91"/>
      <c r="X43" s="91"/>
      <c r="Y43" s="3"/>
      <c r="Z43" s="67">
        <f t="shared" si="2"/>
        <v>35.03</v>
      </c>
      <c r="AA43" s="67">
        <f t="shared" si="3"/>
        <v>0</v>
      </c>
      <c r="AB43" s="91"/>
      <c r="AC43" s="91"/>
      <c r="AD43" s="3"/>
      <c r="AE43" s="67">
        <f t="shared" si="4"/>
        <v>35.03</v>
      </c>
      <c r="AF43" s="67">
        <f t="shared" si="5"/>
        <v>0</v>
      </c>
    </row>
    <row r="44" spans="1:32" ht="62.4">
      <c r="A44" s="41">
        <f t="shared" si="6"/>
        <v>42</v>
      </c>
      <c r="B44" s="42" t="s">
        <v>100</v>
      </c>
      <c r="C44" s="42" t="s">
        <v>876</v>
      </c>
      <c r="D44" s="3" t="s">
        <v>1016</v>
      </c>
      <c r="E44" s="41" t="s">
        <v>1095</v>
      </c>
      <c r="F44" s="43" t="s">
        <v>101</v>
      </c>
      <c r="G44" s="41" t="s">
        <v>28</v>
      </c>
      <c r="H44" s="63">
        <v>3</v>
      </c>
      <c r="I44" s="64">
        <v>42612</v>
      </c>
      <c r="J44" s="64">
        <v>42612</v>
      </c>
      <c r="K44" s="64">
        <v>42977</v>
      </c>
      <c r="L44" s="103">
        <v>11.62</v>
      </c>
      <c r="M44" s="65">
        <v>11.62</v>
      </c>
      <c r="N44" s="41" t="s">
        <v>32</v>
      </c>
      <c r="O44" s="103">
        <v>10.25</v>
      </c>
      <c r="P44" s="66">
        <v>12.06</v>
      </c>
      <c r="Q44" s="3">
        <v>0</v>
      </c>
      <c r="R44" s="3"/>
      <c r="S44" s="3"/>
      <c r="T44" s="3"/>
      <c r="U44" s="67">
        <f t="shared" si="0"/>
        <v>12.06</v>
      </c>
      <c r="V44" s="67">
        <f t="shared" si="1"/>
        <v>0</v>
      </c>
      <c r="W44" s="91"/>
      <c r="X44" s="91"/>
      <c r="Y44" s="3"/>
      <c r="Z44" s="67">
        <f t="shared" si="2"/>
        <v>12.06</v>
      </c>
      <c r="AA44" s="67">
        <f t="shared" si="3"/>
        <v>0</v>
      </c>
      <c r="AB44" s="91"/>
      <c r="AC44" s="91"/>
      <c r="AD44" s="3"/>
      <c r="AE44" s="67">
        <f t="shared" si="4"/>
        <v>12.06</v>
      </c>
      <c r="AF44" s="67">
        <f t="shared" si="5"/>
        <v>0</v>
      </c>
    </row>
    <row r="45" spans="1:32" ht="46.8">
      <c r="A45" s="41">
        <f t="shared" si="6"/>
        <v>43</v>
      </c>
      <c r="B45" s="42" t="s">
        <v>102</v>
      </c>
      <c r="C45" s="42" t="s">
        <v>876</v>
      </c>
      <c r="D45" s="41" t="s">
        <v>1016</v>
      </c>
      <c r="E45" s="41" t="s">
        <v>1096</v>
      </c>
      <c r="F45" s="43" t="s">
        <v>103</v>
      </c>
      <c r="G45" s="41" t="s">
        <v>28</v>
      </c>
      <c r="H45" s="63">
        <v>2</v>
      </c>
      <c r="I45" s="64">
        <v>42084</v>
      </c>
      <c r="J45" s="64">
        <v>42084</v>
      </c>
      <c r="K45" s="64">
        <v>42449</v>
      </c>
      <c r="L45" s="103">
        <v>15.9</v>
      </c>
      <c r="M45" s="65">
        <v>15.89</v>
      </c>
      <c r="N45" s="41" t="s">
        <v>29</v>
      </c>
      <c r="O45" s="104">
        <v>15.9</v>
      </c>
      <c r="P45" s="3">
        <v>0</v>
      </c>
      <c r="Q45" s="66">
        <v>17.05</v>
      </c>
      <c r="R45" s="3"/>
      <c r="S45" s="3"/>
      <c r="T45" s="3"/>
      <c r="U45" s="67">
        <f t="shared" si="0"/>
        <v>0</v>
      </c>
      <c r="V45" s="67">
        <f t="shared" si="1"/>
        <v>17.05</v>
      </c>
      <c r="W45" s="92">
        <v>0.31280580000000002</v>
      </c>
      <c r="X45" s="91"/>
      <c r="Y45" s="3"/>
      <c r="Z45" s="67">
        <f t="shared" si="2"/>
        <v>0</v>
      </c>
      <c r="AA45" s="67">
        <f t="shared" si="3"/>
        <v>17.3628058</v>
      </c>
      <c r="AB45" s="91"/>
      <c r="AC45" s="91"/>
      <c r="AD45" s="3"/>
      <c r="AE45" s="67">
        <f t="shared" si="4"/>
        <v>0</v>
      </c>
      <c r="AF45" s="67">
        <f t="shared" si="5"/>
        <v>17.3628058</v>
      </c>
    </row>
    <row r="46" spans="1:32" ht="46.8">
      <c r="A46" s="41">
        <f t="shared" si="6"/>
        <v>44</v>
      </c>
      <c r="B46" s="34"/>
      <c r="C46" s="34" t="s">
        <v>876</v>
      </c>
      <c r="D46" s="41" t="s">
        <v>1016</v>
      </c>
      <c r="E46" s="41" t="s">
        <v>1097</v>
      </c>
      <c r="F46" s="43" t="s">
        <v>104</v>
      </c>
      <c r="G46" s="41" t="s">
        <v>28</v>
      </c>
      <c r="H46" s="63">
        <v>2</v>
      </c>
      <c r="I46" s="64">
        <v>42084</v>
      </c>
      <c r="J46" s="64">
        <v>42084</v>
      </c>
      <c r="K46" s="64">
        <v>42449</v>
      </c>
      <c r="L46" s="103">
        <v>21.16</v>
      </c>
      <c r="M46" s="65">
        <v>21.16</v>
      </c>
      <c r="N46" s="41" t="s">
        <v>29</v>
      </c>
      <c r="O46" s="103">
        <v>21.07</v>
      </c>
      <c r="P46" s="66">
        <v>22.07</v>
      </c>
      <c r="Q46" s="3">
        <v>0</v>
      </c>
      <c r="R46" s="3"/>
      <c r="S46" s="3"/>
      <c r="T46" s="3"/>
      <c r="U46" s="67">
        <f t="shared" si="0"/>
        <v>22.07</v>
      </c>
      <c r="V46" s="67">
        <f t="shared" si="1"/>
        <v>0</v>
      </c>
      <c r="W46" s="91"/>
      <c r="X46" s="91"/>
      <c r="Y46" s="3"/>
      <c r="Z46" s="67">
        <f t="shared" si="2"/>
        <v>22.07</v>
      </c>
      <c r="AA46" s="67">
        <f t="shared" si="3"/>
        <v>0</v>
      </c>
      <c r="AB46" s="91"/>
      <c r="AC46" s="91"/>
      <c r="AD46" s="3"/>
      <c r="AE46" s="67">
        <f t="shared" si="4"/>
        <v>22.07</v>
      </c>
      <c r="AF46" s="67">
        <f t="shared" si="5"/>
        <v>0</v>
      </c>
    </row>
    <row r="47" spans="1:32" ht="78">
      <c r="A47" s="41">
        <f t="shared" si="6"/>
        <v>45</v>
      </c>
      <c r="B47" s="34"/>
      <c r="C47" s="34" t="s">
        <v>876</v>
      </c>
      <c r="D47" s="34" t="s">
        <v>1016</v>
      </c>
      <c r="E47" s="41" t="s">
        <v>1098</v>
      </c>
      <c r="F47" s="43" t="s">
        <v>105</v>
      </c>
      <c r="G47" s="41" t="s">
        <v>28</v>
      </c>
      <c r="H47" s="63">
        <v>3</v>
      </c>
      <c r="I47" s="64">
        <v>43186</v>
      </c>
      <c r="J47" s="64">
        <v>43186</v>
      </c>
      <c r="K47" s="64">
        <v>43369</v>
      </c>
      <c r="L47" s="103">
        <v>1.46</v>
      </c>
      <c r="M47" s="65">
        <v>1.46</v>
      </c>
      <c r="N47" s="41" t="s">
        <v>29</v>
      </c>
      <c r="O47" s="103">
        <v>1.46</v>
      </c>
      <c r="P47" s="3">
        <v>0</v>
      </c>
      <c r="Q47" s="3">
        <v>0</v>
      </c>
      <c r="R47" s="3"/>
      <c r="S47" s="3"/>
      <c r="T47" s="3"/>
      <c r="U47" s="67">
        <f t="shared" si="0"/>
        <v>0</v>
      </c>
      <c r="V47" s="67">
        <f t="shared" si="1"/>
        <v>0</v>
      </c>
      <c r="W47" s="91"/>
      <c r="X47" s="91"/>
      <c r="Y47" s="3"/>
      <c r="Z47" s="67">
        <f t="shared" si="2"/>
        <v>0</v>
      </c>
      <c r="AA47" s="67">
        <f t="shared" si="3"/>
        <v>0</v>
      </c>
      <c r="AB47" s="91"/>
      <c r="AC47" s="91"/>
      <c r="AD47" s="3"/>
      <c r="AE47" s="67">
        <f t="shared" si="4"/>
        <v>0</v>
      </c>
      <c r="AF47" s="67">
        <f t="shared" si="5"/>
        <v>0</v>
      </c>
    </row>
    <row r="48" spans="1:32" ht="62.4">
      <c r="A48" s="41">
        <f t="shared" si="6"/>
        <v>46</v>
      </c>
      <c r="B48" s="34"/>
      <c r="C48" s="34" t="s">
        <v>876</v>
      </c>
      <c r="D48" s="41" t="s">
        <v>1016</v>
      </c>
      <c r="E48" s="41" t="s">
        <v>1099</v>
      </c>
      <c r="F48" s="43" t="s">
        <v>106</v>
      </c>
      <c r="G48" s="41" t="s">
        <v>28</v>
      </c>
      <c r="H48" s="63">
        <v>2</v>
      </c>
      <c r="I48" s="64">
        <v>42825</v>
      </c>
      <c r="J48" s="64">
        <v>42825</v>
      </c>
      <c r="K48" s="64">
        <v>43434</v>
      </c>
      <c r="L48" s="103">
        <v>107.62</v>
      </c>
      <c r="M48" s="65">
        <v>107.62</v>
      </c>
      <c r="N48" s="41" t="s">
        <v>32</v>
      </c>
      <c r="O48" s="104">
        <v>106.5</v>
      </c>
      <c r="P48" s="66">
        <v>110.41</v>
      </c>
      <c r="Q48" s="3">
        <v>0</v>
      </c>
      <c r="R48" s="3"/>
      <c r="S48" s="3"/>
      <c r="T48" s="3"/>
      <c r="U48" s="67">
        <f t="shared" si="0"/>
        <v>110.41</v>
      </c>
      <c r="V48" s="67">
        <f t="shared" si="1"/>
        <v>0</v>
      </c>
      <c r="W48" s="91"/>
      <c r="X48" s="91"/>
      <c r="Y48" s="3"/>
      <c r="Z48" s="67">
        <f t="shared" si="2"/>
        <v>110.41</v>
      </c>
      <c r="AA48" s="67">
        <f t="shared" si="3"/>
        <v>0</v>
      </c>
      <c r="AB48" s="91"/>
      <c r="AC48" s="91"/>
      <c r="AD48" s="3"/>
      <c r="AE48" s="67">
        <f t="shared" si="4"/>
        <v>110.41</v>
      </c>
      <c r="AF48" s="67">
        <f t="shared" si="5"/>
        <v>0</v>
      </c>
    </row>
    <row r="49" spans="1:32" ht="46.8">
      <c r="A49" s="41">
        <f t="shared" si="6"/>
        <v>47</v>
      </c>
      <c r="B49" s="34" t="s">
        <v>887</v>
      </c>
      <c r="C49" s="34" t="s">
        <v>876</v>
      </c>
      <c r="D49" s="34" t="s">
        <v>1017</v>
      </c>
      <c r="E49" s="41" t="s">
        <v>1100</v>
      </c>
      <c r="F49" s="43" t="s">
        <v>107</v>
      </c>
      <c r="G49" s="41" t="s">
        <v>81</v>
      </c>
      <c r="H49" s="41"/>
      <c r="I49" s="41"/>
      <c r="J49" s="41"/>
      <c r="K49" s="41"/>
      <c r="L49" s="103">
        <v>36.54</v>
      </c>
      <c r="M49" s="65">
        <v>36.54</v>
      </c>
      <c r="N49" s="41" t="s">
        <v>82</v>
      </c>
      <c r="O49" s="103">
        <v>48.98</v>
      </c>
      <c r="P49" s="66">
        <v>47.32</v>
      </c>
      <c r="Q49" s="3">
        <v>0</v>
      </c>
      <c r="R49" s="3"/>
      <c r="S49" s="3"/>
      <c r="T49" s="3"/>
      <c r="U49" s="67">
        <f t="shared" si="0"/>
        <v>47.32</v>
      </c>
      <c r="V49" s="67">
        <f t="shared" si="1"/>
        <v>0</v>
      </c>
      <c r="W49" s="91"/>
      <c r="X49" s="91"/>
      <c r="Y49" s="3"/>
      <c r="Z49" s="67">
        <f t="shared" si="2"/>
        <v>47.32</v>
      </c>
      <c r="AA49" s="67">
        <f t="shared" si="3"/>
        <v>0</v>
      </c>
      <c r="AB49" s="91"/>
      <c r="AC49" s="91"/>
      <c r="AD49" s="3"/>
      <c r="AE49" s="67">
        <f t="shared" si="4"/>
        <v>47.32</v>
      </c>
      <c r="AF49" s="67">
        <f t="shared" si="5"/>
        <v>0</v>
      </c>
    </row>
    <row r="50" spans="1:32" ht="46.8">
      <c r="A50" s="41">
        <f t="shared" si="6"/>
        <v>48</v>
      </c>
      <c r="B50" s="34" t="s">
        <v>884</v>
      </c>
      <c r="C50" s="34" t="s">
        <v>876</v>
      </c>
      <c r="D50" s="34" t="s">
        <v>1017</v>
      </c>
      <c r="E50" s="41" t="s">
        <v>1101</v>
      </c>
      <c r="F50" s="43" t="s">
        <v>108</v>
      </c>
      <c r="G50" s="41"/>
      <c r="H50" s="41"/>
      <c r="I50" s="41"/>
      <c r="J50" s="41"/>
      <c r="K50" s="41"/>
      <c r="L50" s="107"/>
      <c r="M50" s="65">
        <v>123.67</v>
      </c>
      <c r="N50" s="41" t="s">
        <v>32</v>
      </c>
      <c r="O50" s="91">
        <v>0</v>
      </c>
      <c r="P50" s="66">
        <v>2.08</v>
      </c>
      <c r="Q50" s="3">
        <v>0</v>
      </c>
      <c r="R50" s="3"/>
      <c r="S50" s="3"/>
      <c r="T50" s="3"/>
      <c r="U50" s="67">
        <f t="shared" si="0"/>
        <v>2.08</v>
      </c>
      <c r="V50" s="67">
        <f t="shared" si="1"/>
        <v>0</v>
      </c>
      <c r="W50" s="91"/>
      <c r="X50" s="91"/>
      <c r="Y50" s="3"/>
      <c r="Z50" s="67">
        <f t="shared" si="2"/>
        <v>2.08</v>
      </c>
      <c r="AA50" s="67">
        <f t="shared" si="3"/>
        <v>0</v>
      </c>
      <c r="AB50" s="91"/>
      <c r="AC50" s="91"/>
      <c r="AD50" s="3"/>
      <c r="AE50" s="67">
        <f t="shared" si="4"/>
        <v>2.08</v>
      </c>
      <c r="AF50" s="67">
        <f t="shared" si="5"/>
        <v>0</v>
      </c>
    </row>
    <row r="51" spans="1:32" ht="46.8" hidden="1">
      <c r="A51" s="41">
        <f t="shared" si="6"/>
        <v>49</v>
      </c>
      <c r="B51" s="42" t="s">
        <v>109</v>
      </c>
      <c r="C51" s="42" t="s">
        <v>1002</v>
      </c>
      <c r="D51" s="34" t="s">
        <v>1017</v>
      </c>
      <c r="E51" s="41" t="s">
        <v>1102</v>
      </c>
      <c r="F51" s="43" t="s">
        <v>110</v>
      </c>
      <c r="G51" s="41" t="s">
        <v>28</v>
      </c>
      <c r="H51" s="41"/>
      <c r="I51" s="41"/>
      <c r="J51" s="41"/>
      <c r="K51" s="41"/>
      <c r="L51" s="107"/>
      <c r="M51" s="41"/>
      <c r="N51" s="41" t="s">
        <v>32</v>
      </c>
      <c r="O51" s="91">
        <v>0</v>
      </c>
      <c r="P51" s="66">
        <v>0.91</v>
      </c>
      <c r="Q51" s="3">
        <v>0</v>
      </c>
      <c r="R51" s="3"/>
      <c r="S51" s="3"/>
      <c r="T51" s="3"/>
      <c r="U51" s="67">
        <f t="shared" si="0"/>
        <v>0.91</v>
      </c>
      <c r="V51" s="67">
        <f t="shared" si="1"/>
        <v>0</v>
      </c>
      <c r="W51" s="91"/>
      <c r="X51" s="91"/>
      <c r="Y51" s="3"/>
      <c r="Z51" s="67">
        <f t="shared" si="2"/>
        <v>0.91</v>
      </c>
      <c r="AA51" s="67">
        <f t="shared" si="3"/>
        <v>0</v>
      </c>
      <c r="AB51" s="91"/>
      <c r="AC51" s="91"/>
      <c r="AD51" s="3"/>
      <c r="AE51" s="67">
        <f t="shared" si="4"/>
        <v>0.91</v>
      </c>
      <c r="AF51" s="67">
        <f t="shared" si="5"/>
        <v>0</v>
      </c>
    </row>
    <row r="52" spans="1:32" ht="46.8" hidden="1">
      <c r="A52" s="41">
        <f t="shared" si="6"/>
        <v>50</v>
      </c>
      <c r="B52" s="34"/>
      <c r="C52" s="42" t="s">
        <v>1002</v>
      </c>
      <c r="D52" s="42" t="s">
        <v>1017</v>
      </c>
      <c r="E52" s="41" t="s">
        <v>1103</v>
      </c>
      <c r="F52" s="43" t="s">
        <v>111</v>
      </c>
      <c r="G52" s="41" t="s">
        <v>28</v>
      </c>
      <c r="H52" s="41"/>
      <c r="I52" s="41"/>
      <c r="J52" s="41"/>
      <c r="K52" s="41"/>
      <c r="L52" s="107"/>
      <c r="M52" s="41"/>
      <c r="N52" s="41" t="s">
        <v>29</v>
      </c>
      <c r="O52" s="91">
        <v>0</v>
      </c>
      <c r="P52" s="3">
        <v>0</v>
      </c>
      <c r="Q52" s="3">
        <v>0</v>
      </c>
      <c r="R52" s="3"/>
      <c r="S52" s="3"/>
      <c r="T52" s="3"/>
      <c r="U52" s="67">
        <f t="shared" si="0"/>
        <v>0</v>
      </c>
      <c r="V52" s="67">
        <f t="shared" si="1"/>
        <v>0</v>
      </c>
      <c r="W52" s="91"/>
      <c r="X52" s="91"/>
      <c r="Y52" s="3"/>
      <c r="Z52" s="67">
        <f t="shared" si="2"/>
        <v>0</v>
      </c>
      <c r="AA52" s="67">
        <f t="shared" si="3"/>
        <v>0</v>
      </c>
      <c r="AB52" s="91"/>
      <c r="AC52" s="91"/>
      <c r="AD52" s="3"/>
      <c r="AE52" s="67">
        <f t="shared" si="4"/>
        <v>0</v>
      </c>
      <c r="AF52" s="67">
        <f t="shared" si="5"/>
        <v>0</v>
      </c>
    </row>
    <row r="53" spans="1:32" ht="46.8">
      <c r="A53" s="41">
        <f t="shared" si="6"/>
        <v>51</v>
      </c>
      <c r="B53" s="42" t="s">
        <v>888</v>
      </c>
      <c r="C53" s="42" t="s">
        <v>876</v>
      </c>
      <c r="D53" s="42" t="s">
        <v>1017</v>
      </c>
      <c r="E53" s="41" t="s">
        <v>1104</v>
      </c>
      <c r="F53" s="43" t="s">
        <v>112</v>
      </c>
      <c r="G53" s="41" t="s">
        <v>28</v>
      </c>
      <c r="H53" s="41"/>
      <c r="I53" s="41"/>
      <c r="J53" s="41"/>
      <c r="K53" s="41"/>
      <c r="L53" s="107"/>
      <c r="M53" s="41"/>
      <c r="N53" s="41" t="s">
        <v>29</v>
      </c>
      <c r="O53" s="91">
        <v>0</v>
      </c>
      <c r="P53" s="66">
        <v>35.57</v>
      </c>
      <c r="Q53" s="3">
        <v>0</v>
      </c>
      <c r="R53" s="3"/>
      <c r="S53" s="3"/>
      <c r="T53" s="3"/>
      <c r="U53" s="67">
        <f t="shared" si="0"/>
        <v>35.57</v>
      </c>
      <c r="V53" s="67">
        <f t="shared" si="1"/>
        <v>0</v>
      </c>
      <c r="W53" s="91"/>
      <c r="X53" s="91"/>
      <c r="Y53" s="3"/>
      <c r="Z53" s="67">
        <f t="shared" si="2"/>
        <v>35.57</v>
      </c>
      <c r="AA53" s="67">
        <f t="shared" si="3"/>
        <v>0</v>
      </c>
      <c r="AB53" s="91"/>
      <c r="AC53" s="91"/>
      <c r="AD53" s="3"/>
      <c r="AE53" s="67">
        <f t="shared" si="4"/>
        <v>35.57</v>
      </c>
      <c r="AF53" s="67">
        <f t="shared" si="5"/>
        <v>0</v>
      </c>
    </row>
    <row r="54" spans="1:32" ht="46.8" hidden="1">
      <c r="A54" s="41">
        <f t="shared" si="6"/>
        <v>52</v>
      </c>
      <c r="B54" s="42" t="s">
        <v>889</v>
      </c>
      <c r="C54" s="42" t="s">
        <v>1002</v>
      </c>
      <c r="D54" s="42" t="s">
        <v>1017</v>
      </c>
      <c r="E54" s="41" t="s">
        <v>1105</v>
      </c>
      <c r="F54" s="43" t="s">
        <v>113</v>
      </c>
      <c r="G54" s="41" t="s">
        <v>28</v>
      </c>
      <c r="H54" s="41">
        <v>2</v>
      </c>
      <c r="I54" s="41" t="s">
        <v>114</v>
      </c>
      <c r="J54" s="41" t="s">
        <v>114</v>
      </c>
      <c r="K54" s="41" t="s">
        <v>115</v>
      </c>
      <c r="L54" s="107">
        <v>23.7</v>
      </c>
      <c r="M54" s="41"/>
      <c r="N54" s="41" t="s">
        <v>29</v>
      </c>
      <c r="O54" s="103">
        <v>26.75</v>
      </c>
      <c r="P54" s="66">
        <v>27.37</v>
      </c>
      <c r="Q54" s="3">
        <v>0</v>
      </c>
      <c r="R54" s="25">
        <v>0.30615059999999999</v>
      </c>
      <c r="S54" s="3"/>
      <c r="T54" s="3"/>
      <c r="U54" s="67">
        <f t="shared" si="0"/>
        <v>27.37</v>
      </c>
      <c r="V54" s="67">
        <f t="shared" si="1"/>
        <v>0.30615059999999999</v>
      </c>
      <c r="W54" s="91"/>
      <c r="X54" s="91"/>
      <c r="Y54" s="3"/>
      <c r="Z54" s="67">
        <f t="shared" si="2"/>
        <v>27.37</v>
      </c>
      <c r="AA54" s="67">
        <f t="shared" si="3"/>
        <v>0.30615059999999999</v>
      </c>
      <c r="AB54" s="91"/>
      <c r="AC54" s="91"/>
      <c r="AD54" s="3"/>
      <c r="AE54" s="67">
        <f t="shared" si="4"/>
        <v>27.37</v>
      </c>
      <c r="AF54" s="67">
        <f t="shared" si="5"/>
        <v>0.30615059999999999</v>
      </c>
    </row>
    <row r="55" spans="1:32" ht="46.8" hidden="1">
      <c r="A55" s="41">
        <f t="shared" si="6"/>
        <v>53</v>
      </c>
      <c r="B55" s="42" t="s">
        <v>116</v>
      </c>
      <c r="C55" s="42" t="s">
        <v>1002</v>
      </c>
      <c r="D55" s="42" t="s">
        <v>1017</v>
      </c>
      <c r="E55" s="41" t="s">
        <v>1106</v>
      </c>
      <c r="F55" s="43" t="s">
        <v>117</v>
      </c>
      <c r="G55" s="41" t="s">
        <v>28</v>
      </c>
      <c r="H55" s="41"/>
      <c r="I55" s="41"/>
      <c r="J55" s="41"/>
      <c r="K55" s="41"/>
      <c r="L55" s="107"/>
      <c r="M55" s="41"/>
      <c r="N55" s="41" t="s">
        <v>29</v>
      </c>
      <c r="O55" s="91">
        <v>0</v>
      </c>
      <c r="P55" s="66">
        <v>5.99</v>
      </c>
      <c r="Q55" s="3">
        <v>0</v>
      </c>
      <c r="R55" s="3"/>
      <c r="S55" s="3"/>
      <c r="T55" s="3"/>
      <c r="U55" s="67">
        <f t="shared" si="0"/>
        <v>5.99</v>
      </c>
      <c r="V55" s="67">
        <f t="shared" si="1"/>
        <v>0</v>
      </c>
      <c r="W55" s="91"/>
      <c r="X55" s="91"/>
      <c r="Y55" s="3"/>
      <c r="Z55" s="67">
        <f t="shared" si="2"/>
        <v>5.99</v>
      </c>
      <c r="AA55" s="67">
        <f t="shared" si="3"/>
        <v>0</v>
      </c>
      <c r="AB55" s="91"/>
      <c r="AC55" s="91"/>
      <c r="AD55" s="3"/>
      <c r="AE55" s="67">
        <f t="shared" si="4"/>
        <v>5.99</v>
      </c>
      <c r="AF55" s="67">
        <f t="shared" si="5"/>
        <v>0</v>
      </c>
    </row>
    <row r="56" spans="1:32" ht="46.8" hidden="1">
      <c r="A56" s="41">
        <f t="shared" si="6"/>
        <v>54</v>
      </c>
      <c r="B56" s="42" t="s">
        <v>118</v>
      </c>
      <c r="C56" s="42" t="s">
        <v>1002</v>
      </c>
      <c r="D56" s="34" t="s">
        <v>1017</v>
      </c>
      <c r="E56" s="41" t="s">
        <v>1107</v>
      </c>
      <c r="F56" s="43" t="s">
        <v>119</v>
      </c>
      <c r="G56" s="41" t="s">
        <v>28</v>
      </c>
      <c r="H56" s="41"/>
      <c r="I56" s="41"/>
      <c r="J56" s="41"/>
      <c r="K56" s="41"/>
      <c r="L56" s="107"/>
      <c r="M56" s="41"/>
      <c r="N56" s="41" t="s">
        <v>29</v>
      </c>
      <c r="O56" s="91">
        <v>0</v>
      </c>
      <c r="P56" s="66">
        <v>7.58</v>
      </c>
      <c r="Q56" s="3">
        <v>0</v>
      </c>
      <c r="R56" s="3"/>
      <c r="S56" s="3"/>
      <c r="T56" s="3"/>
      <c r="U56" s="67">
        <f t="shared" si="0"/>
        <v>7.58</v>
      </c>
      <c r="V56" s="67">
        <f t="shared" si="1"/>
        <v>0</v>
      </c>
      <c r="W56" s="91"/>
      <c r="X56" s="91"/>
      <c r="Y56" s="3"/>
      <c r="Z56" s="67">
        <f t="shared" si="2"/>
        <v>7.58</v>
      </c>
      <c r="AA56" s="67">
        <f t="shared" si="3"/>
        <v>0</v>
      </c>
      <c r="AB56" s="91"/>
      <c r="AC56" s="91"/>
      <c r="AD56" s="3"/>
      <c r="AE56" s="67">
        <f t="shared" si="4"/>
        <v>7.58</v>
      </c>
      <c r="AF56" s="67">
        <f t="shared" si="5"/>
        <v>0</v>
      </c>
    </row>
    <row r="57" spans="1:32" ht="46.8" hidden="1">
      <c r="A57" s="41">
        <f t="shared" si="6"/>
        <v>55</v>
      </c>
      <c r="B57" s="42" t="s">
        <v>120</v>
      </c>
      <c r="C57" s="42" t="s">
        <v>1002</v>
      </c>
      <c r="D57" s="42" t="s">
        <v>1017</v>
      </c>
      <c r="E57" s="41" t="s">
        <v>1108</v>
      </c>
      <c r="F57" s="43" t="s">
        <v>121</v>
      </c>
      <c r="G57" s="41" t="s">
        <v>28</v>
      </c>
      <c r="H57" s="41"/>
      <c r="I57" s="41"/>
      <c r="J57" s="41"/>
      <c r="K57" s="41"/>
      <c r="L57" s="107"/>
      <c r="M57" s="41"/>
      <c r="N57" s="41" t="s">
        <v>29</v>
      </c>
      <c r="O57" s="91">
        <v>0</v>
      </c>
      <c r="P57" s="66">
        <v>6.5</v>
      </c>
      <c r="Q57" s="3">
        <v>0</v>
      </c>
      <c r="R57" s="3"/>
      <c r="S57" s="3"/>
      <c r="T57" s="3"/>
      <c r="U57" s="67">
        <f t="shared" si="0"/>
        <v>6.5</v>
      </c>
      <c r="V57" s="67">
        <f t="shared" si="1"/>
        <v>0</v>
      </c>
      <c r="W57" s="91"/>
      <c r="X57" s="91"/>
      <c r="Y57" s="3"/>
      <c r="Z57" s="67">
        <f t="shared" si="2"/>
        <v>6.5</v>
      </c>
      <c r="AA57" s="67">
        <f t="shared" si="3"/>
        <v>0</v>
      </c>
      <c r="AB57" s="91"/>
      <c r="AC57" s="91"/>
      <c r="AD57" s="3"/>
      <c r="AE57" s="67">
        <f t="shared" si="4"/>
        <v>6.5</v>
      </c>
      <c r="AF57" s="67">
        <f t="shared" si="5"/>
        <v>0</v>
      </c>
    </row>
    <row r="58" spans="1:32" ht="46.8" hidden="1">
      <c r="A58" s="41">
        <f t="shared" si="6"/>
        <v>56</v>
      </c>
      <c r="B58" s="42" t="s">
        <v>122</v>
      </c>
      <c r="C58" s="42" t="s">
        <v>1002</v>
      </c>
      <c r="D58" s="34" t="s">
        <v>1017</v>
      </c>
      <c r="E58" s="41" t="s">
        <v>1109</v>
      </c>
      <c r="F58" s="43" t="s">
        <v>123</v>
      </c>
      <c r="G58" s="41" t="s">
        <v>28</v>
      </c>
      <c r="H58" s="41"/>
      <c r="I58" s="41"/>
      <c r="J58" s="41"/>
      <c r="K58" s="41"/>
      <c r="L58" s="107"/>
      <c r="M58" s="41"/>
      <c r="N58" s="41" t="s">
        <v>29</v>
      </c>
      <c r="O58" s="91">
        <v>0</v>
      </c>
      <c r="P58" s="3">
        <v>0</v>
      </c>
      <c r="Q58" s="3">
        <v>0</v>
      </c>
      <c r="R58" s="3"/>
      <c r="S58" s="3"/>
      <c r="T58" s="3"/>
      <c r="U58" s="67">
        <f t="shared" si="0"/>
        <v>0</v>
      </c>
      <c r="V58" s="67">
        <f t="shared" si="1"/>
        <v>0</v>
      </c>
      <c r="W58" s="91"/>
      <c r="X58" s="91"/>
      <c r="Y58" s="3"/>
      <c r="Z58" s="67">
        <f t="shared" si="2"/>
        <v>0</v>
      </c>
      <c r="AA58" s="67">
        <f t="shared" si="3"/>
        <v>0</v>
      </c>
      <c r="AB58" s="91"/>
      <c r="AC58" s="91"/>
      <c r="AD58" s="3"/>
      <c r="AE58" s="67">
        <f t="shared" si="4"/>
        <v>0</v>
      </c>
      <c r="AF58" s="67">
        <f t="shared" si="5"/>
        <v>0</v>
      </c>
    </row>
    <row r="59" spans="1:32" ht="46.8" hidden="1">
      <c r="A59" s="41">
        <f t="shared" si="6"/>
        <v>57</v>
      </c>
      <c r="B59" s="42" t="s">
        <v>124</v>
      </c>
      <c r="C59" s="42" t="s">
        <v>1002</v>
      </c>
      <c r="D59" s="42" t="s">
        <v>1017</v>
      </c>
      <c r="E59" s="41" t="s">
        <v>1110</v>
      </c>
      <c r="F59" s="43" t="s">
        <v>878</v>
      </c>
      <c r="G59" s="41" t="s">
        <v>28</v>
      </c>
      <c r="H59" s="70"/>
      <c r="I59" s="70"/>
      <c r="J59" s="70"/>
      <c r="K59" s="70"/>
      <c r="L59" s="108"/>
      <c r="M59" s="41"/>
      <c r="N59" s="41" t="s">
        <v>29</v>
      </c>
      <c r="O59" s="91">
        <v>0</v>
      </c>
      <c r="P59" s="66">
        <v>1.56</v>
      </c>
      <c r="Q59" s="3">
        <v>0</v>
      </c>
      <c r="R59" s="3"/>
      <c r="S59" s="3"/>
      <c r="T59" s="3"/>
      <c r="U59" s="67">
        <f t="shared" si="0"/>
        <v>1.56</v>
      </c>
      <c r="V59" s="67">
        <f t="shared" si="1"/>
        <v>0</v>
      </c>
      <c r="W59" s="91"/>
      <c r="X59" s="91"/>
      <c r="Y59" s="3"/>
      <c r="Z59" s="67">
        <f t="shared" si="2"/>
        <v>1.56</v>
      </c>
      <c r="AA59" s="67">
        <f t="shared" si="3"/>
        <v>0</v>
      </c>
      <c r="AB59" s="91"/>
      <c r="AC59" s="91"/>
      <c r="AD59" s="3"/>
      <c r="AE59" s="67">
        <f t="shared" si="4"/>
        <v>1.56</v>
      </c>
      <c r="AF59" s="67">
        <f t="shared" si="5"/>
        <v>0</v>
      </c>
    </row>
    <row r="60" spans="1:32" ht="46.8" hidden="1">
      <c r="A60" s="41">
        <f t="shared" si="6"/>
        <v>58</v>
      </c>
      <c r="B60" s="42" t="s">
        <v>125</v>
      </c>
      <c r="C60" s="42" t="s">
        <v>1002</v>
      </c>
      <c r="D60" s="34" t="s">
        <v>1017</v>
      </c>
      <c r="E60" s="41" t="s">
        <v>1111</v>
      </c>
      <c r="F60" s="43" t="s">
        <v>126</v>
      </c>
      <c r="G60" s="41" t="s">
        <v>28</v>
      </c>
      <c r="H60" s="41">
        <v>2</v>
      </c>
      <c r="I60" s="41" t="s">
        <v>127</v>
      </c>
      <c r="J60" s="41" t="s">
        <v>127</v>
      </c>
      <c r="K60" s="41" t="s">
        <v>128</v>
      </c>
      <c r="L60" s="107">
        <v>11.67</v>
      </c>
      <c r="M60" s="41">
        <v>11.72</v>
      </c>
      <c r="N60" s="41" t="s">
        <v>29</v>
      </c>
      <c r="O60" s="103">
        <v>11.77</v>
      </c>
      <c r="P60" s="66">
        <v>11.52</v>
      </c>
      <c r="Q60" s="3">
        <v>0</v>
      </c>
      <c r="R60" s="3"/>
      <c r="S60" s="3"/>
      <c r="T60" s="3"/>
      <c r="U60" s="67">
        <f t="shared" si="0"/>
        <v>11.52</v>
      </c>
      <c r="V60" s="67">
        <f t="shared" si="1"/>
        <v>0</v>
      </c>
      <c r="W60" s="91"/>
      <c r="X60" s="91"/>
      <c r="Y60" s="3"/>
      <c r="Z60" s="67">
        <f t="shared" si="2"/>
        <v>11.52</v>
      </c>
      <c r="AA60" s="67">
        <f t="shared" si="3"/>
        <v>0</v>
      </c>
      <c r="AB60" s="91"/>
      <c r="AC60" s="91"/>
      <c r="AD60" s="3"/>
      <c r="AE60" s="67">
        <f t="shared" si="4"/>
        <v>11.52</v>
      </c>
      <c r="AF60" s="67">
        <f t="shared" si="5"/>
        <v>0</v>
      </c>
    </row>
    <row r="61" spans="1:32" ht="46.8" hidden="1">
      <c r="A61" s="41">
        <f t="shared" si="6"/>
        <v>59</v>
      </c>
      <c r="B61" s="42" t="s">
        <v>129</v>
      </c>
      <c r="C61" s="42" t="s">
        <v>1002</v>
      </c>
      <c r="D61" s="34" t="s">
        <v>1017</v>
      </c>
      <c r="E61" s="41" t="s">
        <v>1112</v>
      </c>
      <c r="F61" s="43" t="s">
        <v>130</v>
      </c>
      <c r="G61" s="41" t="s">
        <v>28</v>
      </c>
      <c r="H61" s="41"/>
      <c r="I61" s="41"/>
      <c r="J61" s="41"/>
      <c r="K61" s="41"/>
      <c r="L61" s="107"/>
      <c r="M61" s="41"/>
      <c r="N61" s="41" t="s">
        <v>29</v>
      </c>
      <c r="O61" s="91">
        <v>0</v>
      </c>
      <c r="P61" s="66">
        <v>2.3199999999999998</v>
      </c>
      <c r="Q61" s="3">
        <v>0</v>
      </c>
      <c r="R61" s="3"/>
      <c r="S61" s="3"/>
      <c r="T61" s="3"/>
      <c r="U61" s="67">
        <f t="shared" si="0"/>
        <v>2.3199999999999998</v>
      </c>
      <c r="V61" s="67">
        <f t="shared" si="1"/>
        <v>0</v>
      </c>
      <c r="W61" s="91"/>
      <c r="X61" s="91"/>
      <c r="Y61" s="3"/>
      <c r="Z61" s="67">
        <f t="shared" si="2"/>
        <v>2.3199999999999998</v>
      </c>
      <c r="AA61" s="67">
        <f t="shared" si="3"/>
        <v>0</v>
      </c>
      <c r="AB61" s="91"/>
      <c r="AC61" s="91"/>
      <c r="AD61" s="3"/>
      <c r="AE61" s="67">
        <f t="shared" si="4"/>
        <v>2.3199999999999998</v>
      </c>
      <c r="AF61" s="67">
        <f t="shared" si="5"/>
        <v>0</v>
      </c>
    </row>
    <row r="62" spans="1:32" ht="46.8" hidden="1">
      <c r="A62" s="41">
        <f t="shared" si="6"/>
        <v>60</v>
      </c>
      <c r="B62" s="42" t="s">
        <v>131</v>
      </c>
      <c r="C62" s="42" t="s">
        <v>1002</v>
      </c>
      <c r="D62" s="34" t="s">
        <v>1017</v>
      </c>
      <c r="E62" s="41" t="s">
        <v>1113</v>
      </c>
      <c r="F62" s="43" t="s">
        <v>132</v>
      </c>
      <c r="G62" s="41" t="s">
        <v>28</v>
      </c>
      <c r="H62" s="41"/>
      <c r="I62" s="41"/>
      <c r="J62" s="41"/>
      <c r="K62" s="41"/>
      <c r="L62" s="107"/>
      <c r="M62" s="41"/>
      <c r="N62" s="41" t="s">
        <v>29</v>
      </c>
      <c r="O62" s="91">
        <v>0</v>
      </c>
      <c r="P62" s="66">
        <v>56.6</v>
      </c>
      <c r="Q62" s="3">
        <v>0</v>
      </c>
      <c r="R62" s="3"/>
      <c r="S62" s="3"/>
      <c r="T62" s="3"/>
      <c r="U62" s="67">
        <f t="shared" si="0"/>
        <v>56.6</v>
      </c>
      <c r="V62" s="67">
        <f t="shared" si="1"/>
        <v>0</v>
      </c>
      <c r="W62" s="91"/>
      <c r="X62" s="91"/>
      <c r="Y62" s="3"/>
      <c r="Z62" s="67">
        <f t="shared" si="2"/>
        <v>56.6</v>
      </c>
      <c r="AA62" s="67">
        <f t="shared" si="3"/>
        <v>0</v>
      </c>
      <c r="AB62" s="91"/>
      <c r="AC62" s="91"/>
      <c r="AD62" s="3"/>
      <c r="AE62" s="67">
        <f t="shared" si="4"/>
        <v>56.6</v>
      </c>
      <c r="AF62" s="67">
        <f t="shared" si="5"/>
        <v>0</v>
      </c>
    </row>
    <row r="63" spans="1:32" ht="46.8" hidden="1">
      <c r="A63" s="41">
        <f t="shared" si="6"/>
        <v>61</v>
      </c>
      <c r="B63" s="42" t="s">
        <v>133</v>
      </c>
      <c r="C63" s="42" t="s">
        <v>1002</v>
      </c>
      <c r="D63" s="34" t="s">
        <v>1017</v>
      </c>
      <c r="E63" s="41" t="s">
        <v>1114</v>
      </c>
      <c r="F63" s="43" t="s">
        <v>134</v>
      </c>
      <c r="G63" s="41" t="s">
        <v>28</v>
      </c>
      <c r="H63" s="41"/>
      <c r="I63" s="41"/>
      <c r="J63" s="41"/>
      <c r="K63" s="41"/>
      <c r="L63" s="107"/>
      <c r="M63" s="41"/>
      <c r="N63" s="41" t="s">
        <v>32</v>
      </c>
      <c r="O63" s="91">
        <v>0</v>
      </c>
      <c r="P63" s="66">
        <v>0.52</v>
      </c>
      <c r="Q63" s="3">
        <v>0</v>
      </c>
      <c r="R63" s="3"/>
      <c r="S63" s="3"/>
      <c r="T63" s="3"/>
      <c r="U63" s="67">
        <f t="shared" si="0"/>
        <v>0.52</v>
      </c>
      <c r="V63" s="67">
        <f t="shared" si="1"/>
        <v>0</v>
      </c>
      <c r="W63" s="91"/>
      <c r="X63" s="91"/>
      <c r="Y63" s="3"/>
      <c r="Z63" s="67">
        <f t="shared" si="2"/>
        <v>0.52</v>
      </c>
      <c r="AA63" s="67">
        <f t="shared" si="3"/>
        <v>0</v>
      </c>
      <c r="AB63" s="91"/>
      <c r="AC63" s="91"/>
      <c r="AD63" s="3"/>
      <c r="AE63" s="67">
        <f t="shared" si="4"/>
        <v>0.52</v>
      </c>
      <c r="AF63" s="67">
        <f t="shared" si="5"/>
        <v>0</v>
      </c>
    </row>
    <row r="64" spans="1:32" ht="46.8" hidden="1">
      <c r="A64" s="41">
        <f t="shared" si="6"/>
        <v>62</v>
      </c>
      <c r="B64" s="42" t="s">
        <v>135</v>
      </c>
      <c r="C64" s="42" t="s">
        <v>1002</v>
      </c>
      <c r="D64" s="42" t="s">
        <v>1017</v>
      </c>
      <c r="E64" s="41" t="s">
        <v>1115</v>
      </c>
      <c r="F64" s="43" t="s">
        <v>136</v>
      </c>
      <c r="G64" s="41" t="s">
        <v>28</v>
      </c>
      <c r="H64" s="41"/>
      <c r="I64" s="41"/>
      <c r="J64" s="41"/>
      <c r="K64" s="41"/>
      <c r="L64" s="107"/>
      <c r="M64" s="41"/>
      <c r="N64" s="41" t="s">
        <v>32</v>
      </c>
      <c r="O64" s="91">
        <v>0</v>
      </c>
      <c r="P64" s="66">
        <v>0.96</v>
      </c>
      <c r="Q64" s="3">
        <v>0</v>
      </c>
      <c r="R64" s="3"/>
      <c r="S64" s="3"/>
      <c r="T64" s="3"/>
      <c r="U64" s="67">
        <f t="shared" si="0"/>
        <v>0.96</v>
      </c>
      <c r="V64" s="67">
        <f t="shared" si="1"/>
        <v>0</v>
      </c>
      <c r="W64" s="91"/>
      <c r="X64" s="91"/>
      <c r="Y64" s="3"/>
      <c r="Z64" s="67">
        <f t="shared" si="2"/>
        <v>0.96</v>
      </c>
      <c r="AA64" s="67">
        <f t="shared" si="3"/>
        <v>0</v>
      </c>
      <c r="AB64" s="91"/>
      <c r="AC64" s="91"/>
      <c r="AD64" s="3"/>
      <c r="AE64" s="67">
        <f t="shared" si="4"/>
        <v>0.96</v>
      </c>
      <c r="AF64" s="67">
        <f t="shared" si="5"/>
        <v>0</v>
      </c>
    </row>
    <row r="65" spans="1:32" ht="46.8" hidden="1">
      <c r="A65" s="41">
        <f t="shared" si="6"/>
        <v>63</v>
      </c>
      <c r="B65" s="42" t="s">
        <v>137</v>
      </c>
      <c r="C65" s="42" t="s">
        <v>1002</v>
      </c>
      <c r="D65" s="34" t="s">
        <v>1017</v>
      </c>
      <c r="E65" s="41" t="s">
        <v>1116</v>
      </c>
      <c r="F65" s="43" t="s">
        <v>138</v>
      </c>
      <c r="G65" s="41" t="s">
        <v>28</v>
      </c>
      <c r="H65" s="41"/>
      <c r="I65" s="41"/>
      <c r="J65" s="41"/>
      <c r="K65" s="41"/>
      <c r="L65" s="107"/>
      <c r="M65" s="41"/>
      <c r="N65" s="41" t="s">
        <v>32</v>
      </c>
      <c r="O65" s="91">
        <v>0</v>
      </c>
      <c r="P65" s="66">
        <v>8.48</v>
      </c>
      <c r="Q65" s="3">
        <v>0</v>
      </c>
      <c r="R65" s="3"/>
      <c r="S65" s="3"/>
      <c r="T65" s="3"/>
      <c r="U65" s="67">
        <f t="shared" si="0"/>
        <v>8.48</v>
      </c>
      <c r="V65" s="67">
        <f t="shared" si="1"/>
        <v>0</v>
      </c>
      <c r="W65" s="91"/>
      <c r="X65" s="91"/>
      <c r="Y65" s="3"/>
      <c r="Z65" s="67">
        <f t="shared" si="2"/>
        <v>8.48</v>
      </c>
      <c r="AA65" s="67">
        <f t="shared" si="3"/>
        <v>0</v>
      </c>
      <c r="AB65" s="91"/>
      <c r="AC65" s="91"/>
      <c r="AD65" s="3"/>
      <c r="AE65" s="67">
        <f t="shared" si="4"/>
        <v>8.48</v>
      </c>
      <c r="AF65" s="67">
        <f t="shared" si="5"/>
        <v>0</v>
      </c>
    </row>
    <row r="66" spans="1:32" ht="46.8" hidden="1">
      <c r="A66" s="41">
        <f t="shared" si="6"/>
        <v>64</v>
      </c>
      <c r="B66" s="42" t="s">
        <v>139</v>
      </c>
      <c r="C66" s="42" t="s">
        <v>1002</v>
      </c>
      <c r="D66" s="42" t="s">
        <v>1017</v>
      </c>
      <c r="E66" s="41" t="s">
        <v>1117</v>
      </c>
      <c r="F66" s="43" t="s">
        <v>140</v>
      </c>
      <c r="G66" s="41" t="s">
        <v>28</v>
      </c>
      <c r="H66" s="41"/>
      <c r="I66" s="41"/>
      <c r="J66" s="41"/>
      <c r="K66" s="41"/>
      <c r="L66" s="107"/>
      <c r="M66" s="41"/>
      <c r="N66" s="41" t="s">
        <v>32</v>
      </c>
      <c r="O66" s="91">
        <v>0</v>
      </c>
      <c r="P66" s="66">
        <v>6.04</v>
      </c>
      <c r="Q66" s="3">
        <v>0</v>
      </c>
      <c r="R66" s="3"/>
      <c r="S66" s="3"/>
      <c r="T66" s="3"/>
      <c r="U66" s="67">
        <f t="shared" si="0"/>
        <v>6.04</v>
      </c>
      <c r="V66" s="67">
        <f t="shared" si="1"/>
        <v>0</v>
      </c>
      <c r="W66" s="91"/>
      <c r="X66" s="91"/>
      <c r="Y66" s="3"/>
      <c r="Z66" s="67">
        <f t="shared" si="2"/>
        <v>6.04</v>
      </c>
      <c r="AA66" s="67">
        <f t="shared" si="3"/>
        <v>0</v>
      </c>
      <c r="AB66" s="91"/>
      <c r="AC66" s="91"/>
      <c r="AD66" s="3"/>
      <c r="AE66" s="67">
        <f t="shared" si="4"/>
        <v>6.04</v>
      </c>
      <c r="AF66" s="67">
        <f t="shared" si="5"/>
        <v>0</v>
      </c>
    </row>
    <row r="67" spans="1:32" ht="78" hidden="1">
      <c r="A67" s="41">
        <f t="shared" si="6"/>
        <v>65</v>
      </c>
      <c r="B67" s="42" t="s">
        <v>141</v>
      </c>
      <c r="C67" s="42" t="s">
        <v>1002</v>
      </c>
      <c r="D67" s="34" t="s">
        <v>1017</v>
      </c>
      <c r="E67" s="41" t="s">
        <v>1118</v>
      </c>
      <c r="F67" s="43" t="s">
        <v>142</v>
      </c>
      <c r="G67" s="41" t="s">
        <v>28</v>
      </c>
      <c r="H67" s="41"/>
      <c r="I67" s="41"/>
      <c r="J67" s="41"/>
      <c r="K67" s="41"/>
      <c r="L67" s="107"/>
      <c r="M67" s="41"/>
      <c r="N67" s="41" t="s">
        <v>29</v>
      </c>
      <c r="O67" s="91">
        <v>0</v>
      </c>
      <c r="P67" s="66">
        <v>1.82</v>
      </c>
      <c r="Q67" s="3">
        <v>0</v>
      </c>
      <c r="R67" s="3"/>
      <c r="S67" s="3"/>
      <c r="T67" s="3"/>
      <c r="U67" s="67">
        <f t="shared" si="0"/>
        <v>1.82</v>
      </c>
      <c r="V67" s="67">
        <f t="shared" si="1"/>
        <v>0</v>
      </c>
      <c r="W67" s="91"/>
      <c r="X67" s="91"/>
      <c r="Y67" s="3"/>
      <c r="Z67" s="67">
        <f t="shared" si="2"/>
        <v>1.82</v>
      </c>
      <c r="AA67" s="67">
        <f t="shared" si="3"/>
        <v>0</v>
      </c>
      <c r="AB67" s="91"/>
      <c r="AC67" s="91"/>
      <c r="AD67" s="3"/>
      <c r="AE67" s="67">
        <f t="shared" si="4"/>
        <v>1.82</v>
      </c>
      <c r="AF67" s="67">
        <f t="shared" si="5"/>
        <v>0</v>
      </c>
    </row>
    <row r="68" spans="1:32" ht="124.8" hidden="1">
      <c r="A68" s="41">
        <f t="shared" si="6"/>
        <v>66</v>
      </c>
      <c r="B68" s="42" t="s">
        <v>143</v>
      </c>
      <c r="C68" s="42" t="s">
        <v>1002</v>
      </c>
      <c r="D68" s="34" t="s">
        <v>1017</v>
      </c>
      <c r="E68" s="41" t="s">
        <v>1119</v>
      </c>
      <c r="F68" s="43" t="s">
        <v>144</v>
      </c>
      <c r="G68" s="41" t="s">
        <v>28</v>
      </c>
      <c r="H68" s="41"/>
      <c r="I68" s="41"/>
      <c r="J68" s="41"/>
      <c r="K68" s="41"/>
      <c r="L68" s="107"/>
      <c r="M68" s="41"/>
      <c r="N68" s="41" t="s">
        <v>29</v>
      </c>
      <c r="O68" s="91">
        <v>0</v>
      </c>
      <c r="P68" s="66">
        <v>0.83</v>
      </c>
      <c r="Q68" s="3">
        <v>0</v>
      </c>
      <c r="R68" s="3"/>
      <c r="S68" s="3"/>
      <c r="T68" s="3"/>
      <c r="U68" s="67">
        <f t="shared" ref="U68:U131" si="7">P68+S68+T68</f>
        <v>0.83</v>
      </c>
      <c r="V68" s="67">
        <f t="shared" ref="V68:V131" si="8">Q68+R68-S68-T68</f>
        <v>0</v>
      </c>
      <c r="W68" s="91"/>
      <c r="X68" s="91"/>
      <c r="Y68" s="3"/>
      <c r="Z68" s="67">
        <f t="shared" ref="Z68:Z131" si="9">U68+X68+Y68</f>
        <v>0.83</v>
      </c>
      <c r="AA68" s="67">
        <f t="shared" ref="AA68:AA131" si="10">V68+W68-X68-Y68</f>
        <v>0</v>
      </c>
      <c r="AB68" s="91"/>
      <c r="AC68" s="91"/>
      <c r="AD68" s="3"/>
      <c r="AE68" s="67">
        <f t="shared" ref="AE68:AE131" si="11">Z68+AC68+AD68</f>
        <v>0.83</v>
      </c>
      <c r="AF68" s="67">
        <f t="shared" ref="AF68:AF131" si="12">AA68+AB68-AC68-AD68</f>
        <v>0</v>
      </c>
    </row>
    <row r="69" spans="1:32" ht="109.2" hidden="1">
      <c r="A69" s="41">
        <f t="shared" ref="A69:A132" si="13">A68+1</f>
        <v>67</v>
      </c>
      <c r="B69" s="42" t="s">
        <v>145</v>
      </c>
      <c r="C69" s="42" t="s">
        <v>1002</v>
      </c>
      <c r="D69" s="42" t="s">
        <v>1017</v>
      </c>
      <c r="E69" s="41" t="s">
        <v>1124</v>
      </c>
      <c r="F69" s="43" t="s">
        <v>879</v>
      </c>
      <c r="G69" s="41" t="s">
        <v>28</v>
      </c>
      <c r="H69" s="41"/>
      <c r="I69" s="41"/>
      <c r="J69" s="41"/>
      <c r="K69" s="41"/>
      <c r="L69" s="107"/>
      <c r="M69" s="41"/>
      <c r="N69" s="41" t="s">
        <v>29</v>
      </c>
      <c r="O69" s="91">
        <v>0</v>
      </c>
      <c r="P69" s="66">
        <v>1.02</v>
      </c>
      <c r="Q69" s="3">
        <v>0</v>
      </c>
      <c r="R69" s="3"/>
      <c r="S69" s="3"/>
      <c r="T69" s="3"/>
      <c r="U69" s="67">
        <f t="shared" si="7"/>
        <v>1.02</v>
      </c>
      <c r="V69" s="67">
        <f t="shared" si="8"/>
        <v>0</v>
      </c>
      <c r="W69" s="91"/>
      <c r="X69" s="91"/>
      <c r="Y69" s="3"/>
      <c r="Z69" s="67">
        <f t="shared" si="9"/>
        <v>1.02</v>
      </c>
      <c r="AA69" s="67">
        <f t="shared" si="10"/>
        <v>0</v>
      </c>
      <c r="AB69" s="91"/>
      <c r="AC69" s="91"/>
      <c r="AD69" s="3"/>
      <c r="AE69" s="67">
        <f t="shared" si="11"/>
        <v>1.02</v>
      </c>
      <c r="AF69" s="67">
        <f t="shared" si="12"/>
        <v>0</v>
      </c>
    </row>
    <row r="70" spans="1:32" ht="46.8" hidden="1">
      <c r="A70" s="41">
        <f t="shared" si="13"/>
        <v>68</v>
      </c>
      <c r="B70" s="42" t="s">
        <v>146</v>
      </c>
      <c r="C70" s="42" t="s">
        <v>1002</v>
      </c>
      <c r="D70" s="34" t="s">
        <v>1017</v>
      </c>
      <c r="E70" s="41" t="s">
        <v>1123</v>
      </c>
      <c r="F70" s="43" t="s">
        <v>147</v>
      </c>
      <c r="G70" s="41" t="s">
        <v>28</v>
      </c>
      <c r="H70" s="41"/>
      <c r="I70" s="41"/>
      <c r="J70" s="41"/>
      <c r="K70" s="41"/>
      <c r="L70" s="107"/>
      <c r="M70" s="41"/>
      <c r="N70" s="41" t="s">
        <v>29</v>
      </c>
      <c r="O70" s="91">
        <v>0</v>
      </c>
      <c r="P70" s="66">
        <v>16.34</v>
      </c>
      <c r="Q70" s="3">
        <v>0</v>
      </c>
      <c r="R70" s="3"/>
      <c r="S70" s="3"/>
      <c r="T70" s="3"/>
      <c r="U70" s="67">
        <f t="shared" si="7"/>
        <v>16.34</v>
      </c>
      <c r="V70" s="67">
        <f t="shared" si="8"/>
        <v>0</v>
      </c>
      <c r="W70" s="91"/>
      <c r="X70" s="91"/>
      <c r="Y70" s="3"/>
      <c r="Z70" s="67">
        <f t="shared" si="9"/>
        <v>16.34</v>
      </c>
      <c r="AA70" s="67">
        <f t="shared" si="10"/>
        <v>0</v>
      </c>
      <c r="AB70" s="91"/>
      <c r="AC70" s="91"/>
      <c r="AD70" s="3"/>
      <c r="AE70" s="67">
        <f t="shared" si="11"/>
        <v>16.34</v>
      </c>
      <c r="AF70" s="67">
        <f t="shared" si="12"/>
        <v>0</v>
      </c>
    </row>
    <row r="71" spans="1:32" ht="62.4" hidden="1">
      <c r="A71" s="41">
        <f t="shared" si="13"/>
        <v>69</v>
      </c>
      <c r="B71" s="42" t="s">
        <v>148</v>
      </c>
      <c r="C71" s="42" t="s">
        <v>1002</v>
      </c>
      <c r="D71" s="42" t="s">
        <v>1017</v>
      </c>
      <c r="E71" s="41" t="s">
        <v>1122</v>
      </c>
      <c r="F71" s="43" t="s">
        <v>149</v>
      </c>
      <c r="G71" s="41" t="s">
        <v>28</v>
      </c>
      <c r="H71" s="41"/>
      <c r="I71" s="41"/>
      <c r="J71" s="41"/>
      <c r="K71" s="41"/>
      <c r="L71" s="107"/>
      <c r="M71" s="65">
        <v>472.53</v>
      </c>
      <c r="N71" s="41" t="s">
        <v>29</v>
      </c>
      <c r="O71" s="91">
        <v>0</v>
      </c>
      <c r="P71" s="66">
        <v>3.56</v>
      </c>
      <c r="Q71" s="3">
        <v>0</v>
      </c>
      <c r="R71" s="3"/>
      <c r="S71" s="3"/>
      <c r="T71" s="3"/>
      <c r="U71" s="67">
        <f t="shared" si="7"/>
        <v>3.56</v>
      </c>
      <c r="V71" s="67">
        <f t="shared" si="8"/>
        <v>0</v>
      </c>
      <c r="W71" s="91"/>
      <c r="X71" s="91"/>
      <c r="Y71" s="3"/>
      <c r="Z71" s="67">
        <f t="shared" si="9"/>
        <v>3.56</v>
      </c>
      <c r="AA71" s="67">
        <f t="shared" si="10"/>
        <v>0</v>
      </c>
      <c r="AB71" s="91"/>
      <c r="AC71" s="91"/>
      <c r="AD71" s="3"/>
      <c r="AE71" s="67">
        <f t="shared" si="11"/>
        <v>3.56</v>
      </c>
      <c r="AF71" s="67">
        <f t="shared" si="12"/>
        <v>0</v>
      </c>
    </row>
    <row r="72" spans="1:32" ht="93.6" hidden="1">
      <c r="A72" s="41">
        <f t="shared" si="13"/>
        <v>70</v>
      </c>
      <c r="B72" s="42" t="s">
        <v>150</v>
      </c>
      <c r="C72" s="42" t="s">
        <v>1002</v>
      </c>
      <c r="D72" s="34" t="s">
        <v>1017</v>
      </c>
      <c r="E72" s="41" t="s">
        <v>1121</v>
      </c>
      <c r="F72" s="43" t="s">
        <v>151</v>
      </c>
      <c r="G72" s="41" t="s">
        <v>28</v>
      </c>
      <c r="H72" s="41"/>
      <c r="I72" s="41"/>
      <c r="J72" s="41"/>
      <c r="K72" s="41"/>
      <c r="L72" s="107"/>
      <c r="M72" s="65">
        <v>472.53</v>
      </c>
      <c r="N72" s="41" t="s">
        <v>29</v>
      </c>
      <c r="O72" s="91">
        <v>0</v>
      </c>
      <c r="P72" s="66">
        <v>4.2699999999999996</v>
      </c>
      <c r="Q72" s="3">
        <v>0</v>
      </c>
      <c r="R72" s="3"/>
      <c r="S72" s="3"/>
      <c r="T72" s="3"/>
      <c r="U72" s="67">
        <f t="shared" si="7"/>
        <v>4.2699999999999996</v>
      </c>
      <c r="V72" s="67">
        <f t="shared" si="8"/>
        <v>0</v>
      </c>
      <c r="W72" s="91"/>
      <c r="X72" s="91"/>
      <c r="Y72" s="3"/>
      <c r="Z72" s="67">
        <f t="shared" si="9"/>
        <v>4.2699999999999996</v>
      </c>
      <c r="AA72" s="67">
        <f t="shared" si="10"/>
        <v>0</v>
      </c>
      <c r="AB72" s="91"/>
      <c r="AC72" s="91"/>
      <c r="AD72" s="3"/>
      <c r="AE72" s="67">
        <f t="shared" si="11"/>
        <v>4.2699999999999996</v>
      </c>
      <c r="AF72" s="67">
        <f t="shared" si="12"/>
        <v>0</v>
      </c>
    </row>
    <row r="73" spans="1:32" ht="78" hidden="1">
      <c r="A73" s="41">
        <f t="shared" si="13"/>
        <v>71</v>
      </c>
      <c r="B73" s="42" t="s">
        <v>152</v>
      </c>
      <c r="C73" s="42" t="s">
        <v>1002</v>
      </c>
      <c r="D73" s="34" t="s">
        <v>1017</v>
      </c>
      <c r="E73" s="41" t="s">
        <v>1120</v>
      </c>
      <c r="F73" s="43" t="s">
        <v>153</v>
      </c>
      <c r="G73" s="41" t="s">
        <v>28</v>
      </c>
      <c r="H73" s="41"/>
      <c r="I73" s="41"/>
      <c r="J73" s="41"/>
      <c r="K73" s="41"/>
      <c r="L73" s="107"/>
      <c r="M73" s="71">
        <v>1370.02</v>
      </c>
      <c r="N73" s="41" t="s">
        <v>29</v>
      </c>
      <c r="O73" s="91">
        <v>0</v>
      </c>
      <c r="P73" s="66">
        <v>3.74</v>
      </c>
      <c r="Q73" s="3">
        <v>0</v>
      </c>
      <c r="R73" s="3"/>
      <c r="S73" s="3"/>
      <c r="T73" s="3"/>
      <c r="U73" s="67">
        <f t="shared" si="7"/>
        <v>3.74</v>
      </c>
      <c r="V73" s="67">
        <f t="shared" si="8"/>
        <v>0</v>
      </c>
      <c r="W73" s="91"/>
      <c r="X73" s="91"/>
      <c r="Y73" s="3"/>
      <c r="Z73" s="67">
        <f t="shared" si="9"/>
        <v>3.74</v>
      </c>
      <c r="AA73" s="67">
        <f t="shared" si="10"/>
        <v>0</v>
      </c>
      <c r="AB73" s="91"/>
      <c r="AC73" s="91"/>
      <c r="AD73" s="3"/>
      <c r="AE73" s="67">
        <f t="shared" si="11"/>
        <v>3.74</v>
      </c>
      <c r="AF73" s="67">
        <f t="shared" si="12"/>
        <v>0</v>
      </c>
    </row>
    <row r="74" spans="1:32" ht="46.8" hidden="1">
      <c r="A74" s="41">
        <f t="shared" si="13"/>
        <v>72</v>
      </c>
      <c r="B74" s="42" t="s">
        <v>154</v>
      </c>
      <c r="C74" s="42" t="s">
        <v>1002</v>
      </c>
      <c r="D74" s="34" t="s">
        <v>1017</v>
      </c>
      <c r="E74" s="41" t="s">
        <v>1125</v>
      </c>
      <c r="F74" s="43" t="s">
        <v>155</v>
      </c>
      <c r="G74" s="41" t="s">
        <v>28</v>
      </c>
      <c r="H74" s="41"/>
      <c r="I74" s="41"/>
      <c r="J74" s="41"/>
      <c r="K74" s="41"/>
      <c r="L74" s="107"/>
      <c r="M74" s="65">
        <v>472.53</v>
      </c>
      <c r="N74" s="41" t="s">
        <v>29</v>
      </c>
      <c r="O74" s="91">
        <v>0</v>
      </c>
      <c r="P74" s="66">
        <v>10.09</v>
      </c>
      <c r="Q74" s="3">
        <v>0</v>
      </c>
      <c r="R74" s="3"/>
      <c r="S74" s="3"/>
      <c r="T74" s="3"/>
      <c r="U74" s="67">
        <f t="shared" si="7"/>
        <v>10.09</v>
      </c>
      <c r="V74" s="67">
        <f t="shared" si="8"/>
        <v>0</v>
      </c>
      <c r="W74" s="91"/>
      <c r="X74" s="91"/>
      <c r="Y74" s="3"/>
      <c r="Z74" s="67">
        <f t="shared" si="9"/>
        <v>10.09</v>
      </c>
      <c r="AA74" s="67">
        <f t="shared" si="10"/>
        <v>0</v>
      </c>
      <c r="AB74" s="91"/>
      <c r="AC74" s="91"/>
      <c r="AD74" s="3"/>
      <c r="AE74" s="67">
        <f t="shared" si="11"/>
        <v>10.09</v>
      </c>
      <c r="AF74" s="67">
        <f t="shared" si="12"/>
        <v>0</v>
      </c>
    </row>
    <row r="75" spans="1:32" ht="46.8" hidden="1">
      <c r="A75" s="41">
        <f t="shared" si="13"/>
        <v>73</v>
      </c>
      <c r="B75" s="42" t="s">
        <v>156</v>
      </c>
      <c r="C75" s="42" t="s">
        <v>1002</v>
      </c>
      <c r="D75" s="34" t="s">
        <v>1017</v>
      </c>
      <c r="E75" s="41" t="s">
        <v>1126</v>
      </c>
      <c r="F75" s="43" t="s">
        <v>157</v>
      </c>
      <c r="G75" s="41" t="s">
        <v>28</v>
      </c>
      <c r="H75" s="41"/>
      <c r="I75" s="41"/>
      <c r="J75" s="41"/>
      <c r="K75" s="41"/>
      <c r="L75" s="107"/>
      <c r="M75" s="71">
        <v>1370.02</v>
      </c>
      <c r="N75" s="41" t="s">
        <v>29</v>
      </c>
      <c r="O75" s="103">
        <v>9.84</v>
      </c>
      <c r="P75" s="66">
        <v>10.4</v>
      </c>
      <c r="Q75" s="3">
        <v>0</v>
      </c>
      <c r="R75" s="3"/>
      <c r="S75" s="3"/>
      <c r="T75" s="3"/>
      <c r="U75" s="67">
        <f t="shared" si="7"/>
        <v>10.4</v>
      </c>
      <c r="V75" s="67">
        <f t="shared" si="8"/>
        <v>0</v>
      </c>
      <c r="W75" s="92">
        <v>0.2395398</v>
      </c>
      <c r="X75" s="91"/>
      <c r="Y75" s="3"/>
      <c r="Z75" s="67">
        <f t="shared" si="9"/>
        <v>10.4</v>
      </c>
      <c r="AA75" s="67">
        <f t="shared" si="10"/>
        <v>0.2395398</v>
      </c>
      <c r="AB75" s="91"/>
      <c r="AC75" s="91"/>
      <c r="AD75" s="3"/>
      <c r="AE75" s="67">
        <f t="shared" si="11"/>
        <v>10.4</v>
      </c>
      <c r="AF75" s="67">
        <f t="shared" si="12"/>
        <v>0.2395398</v>
      </c>
    </row>
    <row r="76" spans="1:32" ht="46.8" hidden="1">
      <c r="A76" s="41">
        <f t="shared" si="13"/>
        <v>74</v>
      </c>
      <c r="B76" s="42" t="s">
        <v>158</v>
      </c>
      <c r="C76" s="42" t="s">
        <v>1002</v>
      </c>
      <c r="D76" s="42" t="s">
        <v>1017</v>
      </c>
      <c r="E76" s="41" t="s">
        <v>1127</v>
      </c>
      <c r="F76" s="43" t="s">
        <v>159</v>
      </c>
      <c r="G76" s="41" t="s">
        <v>28</v>
      </c>
      <c r="H76" s="41"/>
      <c r="I76" s="41"/>
      <c r="J76" s="41"/>
      <c r="K76" s="41"/>
      <c r="L76" s="107"/>
      <c r="M76" s="65">
        <v>472.53</v>
      </c>
      <c r="N76" s="41" t="s">
        <v>29</v>
      </c>
      <c r="O76" s="91">
        <v>0</v>
      </c>
      <c r="P76" s="66">
        <v>56.97</v>
      </c>
      <c r="Q76" s="3">
        <v>0</v>
      </c>
      <c r="R76" s="3"/>
      <c r="S76" s="3"/>
      <c r="T76" s="3"/>
      <c r="U76" s="67">
        <f t="shared" si="7"/>
        <v>56.97</v>
      </c>
      <c r="V76" s="67">
        <f t="shared" si="8"/>
        <v>0</v>
      </c>
      <c r="W76" s="91"/>
      <c r="X76" s="91"/>
      <c r="Y76" s="3"/>
      <c r="Z76" s="67">
        <f t="shared" si="9"/>
        <v>56.97</v>
      </c>
      <c r="AA76" s="67">
        <f t="shared" si="10"/>
        <v>0</v>
      </c>
      <c r="AB76" s="91"/>
      <c r="AC76" s="91"/>
      <c r="AD76" s="3"/>
      <c r="AE76" s="67">
        <f t="shared" si="11"/>
        <v>56.97</v>
      </c>
      <c r="AF76" s="67">
        <f t="shared" si="12"/>
        <v>0</v>
      </c>
    </row>
    <row r="77" spans="1:32" ht="46.8" hidden="1">
      <c r="A77" s="41">
        <f t="shared" si="13"/>
        <v>75</v>
      </c>
      <c r="B77" s="42" t="s">
        <v>160</v>
      </c>
      <c r="C77" s="42" t="s">
        <v>1002</v>
      </c>
      <c r="D77" s="42" t="s">
        <v>1017</v>
      </c>
      <c r="E77" s="41" t="s">
        <v>1128</v>
      </c>
      <c r="F77" s="43" t="s">
        <v>161</v>
      </c>
      <c r="G77" s="41" t="s">
        <v>28</v>
      </c>
      <c r="H77" s="41">
        <v>1</v>
      </c>
      <c r="I77" s="41" t="s">
        <v>114</v>
      </c>
      <c r="J77" s="41" t="s">
        <v>114</v>
      </c>
      <c r="K77" s="41" t="s">
        <v>115</v>
      </c>
      <c r="L77" s="107">
        <v>17.75</v>
      </c>
      <c r="M77" s="71">
        <v>1370.02</v>
      </c>
      <c r="N77" s="41" t="s">
        <v>29</v>
      </c>
      <c r="O77" s="103">
        <v>17.739999999999998</v>
      </c>
      <c r="P77" s="66">
        <v>17.68</v>
      </c>
      <c r="Q77" s="66">
        <v>0.28999999999999998</v>
      </c>
      <c r="R77" s="3"/>
      <c r="S77" s="3"/>
      <c r="T77" s="3"/>
      <c r="U77" s="67">
        <f t="shared" si="7"/>
        <v>17.68</v>
      </c>
      <c r="V77" s="67">
        <f t="shared" si="8"/>
        <v>0.28999999999999998</v>
      </c>
      <c r="W77" s="91"/>
      <c r="X77" s="91"/>
      <c r="Y77" s="3"/>
      <c r="Z77" s="67">
        <f t="shared" si="9"/>
        <v>17.68</v>
      </c>
      <c r="AA77" s="67">
        <f t="shared" si="10"/>
        <v>0.28999999999999998</v>
      </c>
      <c r="AB77" s="91"/>
      <c r="AC77" s="91"/>
      <c r="AD77" s="3"/>
      <c r="AE77" s="67">
        <f t="shared" si="11"/>
        <v>17.68</v>
      </c>
      <c r="AF77" s="67">
        <f t="shared" si="12"/>
        <v>0.28999999999999998</v>
      </c>
    </row>
    <row r="78" spans="1:32" ht="62.4" hidden="1">
      <c r="A78" s="41">
        <f t="shared" si="13"/>
        <v>76</v>
      </c>
      <c r="B78" s="42" t="s">
        <v>162</v>
      </c>
      <c r="C78" s="42" t="s">
        <v>1002</v>
      </c>
      <c r="D78" s="34" t="s">
        <v>1017</v>
      </c>
      <c r="E78" s="41" t="s">
        <v>1129</v>
      </c>
      <c r="F78" s="43" t="s">
        <v>163</v>
      </c>
      <c r="G78" s="41" t="s">
        <v>28</v>
      </c>
      <c r="H78" s="41"/>
      <c r="I78" s="41"/>
      <c r="J78" s="41"/>
      <c r="K78" s="41"/>
      <c r="L78" s="107"/>
      <c r="M78" s="65">
        <v>472.53</v>
      </c>
      <c r="N78" s="41" t="s">
        <v>29</v>
      </c>
      <c r="O78" s="91">
        <v>0</v>
      </c>
      <c r="P78" s="66">
        <v>0.93</v>
      </c>
      <c r="Q78" s="3">
        <v>0</v>
      </c>
      <c r="R78" s="3"/>
      <c r="S78" s="3"/>
      <c r="T78" s="3"/>
      <c r="U78" s="67">
        <f t="shared" si="7"/>
        <v>0.93</v>
      </c>
      <c r="V78" s="67">
        <f t="shared" si="8"/>
        <v>0</v>
      </c>
      <c r="W78" s="91"/>
      <c r="X78" s="91"/>
      <c r="Y78" s="3"/>
      <c r="Z78" s="67">
        <f t="shared" si="9"/>
        <v>0.93</v>
      </c>
      <c r="AA78" s="67">
        <f t="shared" si="10"/>
        <v>0</v>
      </c>
      <c r="AB78" s="91"/>
      <c r="AC78" s="91"/>
      <c r="AD78" s="3"/>
      <c r="AE78" s="67">
        <f t="shared" si="11"/>
        <v>0.93</v>
      </c>
      <c r="AF78" s="67">
        <f t="shared" si="12"/>
        <v>0</v>
      </c>
    </row>
    <row r="79" spans="1:32" ht="46.8" hidden="1">
      <c r="A79" s="41">
        <f t="shared" si="13"/>
        <v>77</v>
      </c>
      <c r="B79" s="42" t="s">
        <v>164</v>
      </c>
      <c r="C79" s="42" t="s">
        <v>1002</v>
      </c>
      <c r="D79" s="34" t="s">
        <v>1017</v>
      </c>
      <c r="E79" s="41" t="s">
        <v>1130</v>
      </c>
      <c r="F79" s="43" t="s">
        <v>165</v>
      </c>
      <c r="G79" s="41" t="s">
        <v>28</v>
      </c>
      <c r="H79" s="41"/>
      <c r="I79" s="41"/>
      <c r="J79" s="41"/>
      <c r="K79" s="41"/>
      <c r="L79" s="107"/>
      <c r="M79" s="65">
        <v>472.53</v>
      </c>
      <c r="N79" s="41" t="s">
        <v>29</v>
      </c>
      <c r="O79" s="91">
        <v>0</v>
      </c>
      <c r="P79" s="66">
        <v>1.65</v>
      </c>
      <c r="Q79" s="3">
        <v>0</v>
      </c>
      <c r="R79" s="3"/>
      <c r="S79" s="3"/>
      <c r="T79" s="3"/>
      <c r="U79" s="67">
        <f t="shared" si="7"/>
        <v>1.65</v>
      </c>
      <c r="V79" s="67">
        <f t="shared" si="8"/>
        <v>0</v>
      </c>
      <c r="W79" s="91"/>
      <c r="X79" s="91"/>
      <c r="Y79" s="3"/>
      <c r="Z79" s="67">
        <f t="shared" si="9"/>
        <v>1.65</v>
      </c>
      <c r="AA79" s="67">
        <f t="shared" si="10"/>
        <v>0</v>
      </c>
      <c r="AB79" s="91"/>
      <c r="AC79" s="91"/>
      <c r="AD79" s="3"/>
      <c r="AE79" s="67">
        <f t="shared" si="11"/>
        <v>1.65</v>
      </c>
      <c r="AF79" s="67">
        <f t="shared" si="12"/>
        <v>0</v>
      </c>
    </row>
    <row r="80" spans="1:32" ht="140.4" hidden="1">
      <c r="A80" s="41">
        <f t="shared" si="13"/>
        <v>78</v>
      </c>
      <c r="B80" s="42" t="s">
        <v>166</v>
      </c>
      <c r="C80" s="42" t="s">
        <v>1002</v>
      </c>
      <c r="D80" s="42" t="s">
        <v>1017</v>
      </c>
      <c r="E80" s="41" t="s">
        <v>1131</v>
      </c>
      <c r="F80" s="43" t="s">
        <v>167</v>
      </c>
      <c r="G80" s="41" t="s">
        <v>28</v>
      </c>
      <c r="H80" s="41">
        <v>2</v>
      </c>
      <c r="I80" s="41" t="s">
        <v>168</v>
      </c>
      <c r="J80" s="41" t="s">
        <v>168</v>
      </c>
      <c r="K80" s="41" t="s">
        <v>169</v>
      </c>
      <c r="L80" s="107">
        <v>43.53</v>
      </c>
      <c r="M80" s="65">
        <v>58.46</v>
      </c>
      <c r="N80" s="41" t="s">
        <v>29</v>
      </c>
      <c r="O80" s="103">
        <v>36.619999999999997</v>
      </c>
      <c r="P80" s="66">
        <v>34.61</v>
      </c>
      <c r="Q80" s="3">
        <v>0</v>
      </c>
      <c r="R80" s="3"/>
      <c r="S80" s="3"/>
      <c r="T80" s="3"/>
      <c r="U80" s="67">
        <f t="shared" si="7"/>
        <v>34.61</v>
      </c>
      <c r="V80" s="67">
        <f t="shared" si="8"/>
        <v>0</v>
      </c>
      <c r="W80" s="91"/>
      <c r="X80" s="91"/>
      <c r="Y80" s="3"/>
      <c r="Z80" s="67">
        <f t="shared" si="9"/>
        <v>34.61</v>
      </c>
      <c r="AA80" s="67">
        <f t="shared" si="10"/>
        <v>0</v>
      </c>
      <c r="AB80" s="91"/>
      <c r="AC80" s="91"/>
      <c r="AD80" s="3"/>
      <c r="AE80" s="67">
        <f t="shared" si="11"/>
        <v>34.61</v>
      </c>
      <c r="AF80" s="67">
        <f t="shared" si="12"/>
        <v>0</v>
      </c>
    </row>
    <row r="81" spans="1:32" ht="46.8" hidden="1">
      <c r="A81" s="41">
        <f t="shared" si="13"/>
        <v>79</v>
      </c>
      <c r="B81" s="42" t="s">
        <v>170</v>
      </c>
      <c r="C81" s="42" t="s">
        <v>1002</v>
      </c>
      <c r="D81" s="42" t="s">
        <v>1017</v>
      </c>
      <c r="E81" s="41" t="s">
        <v>1132</v>
      </c>
      <c r="F81" s="43" t="s">
        <v>171</v>
      </c>
      <c r="G81" s="41" t="s">
        <v>28</v>
      </c>
      <c r="H81" s="41"/>
      <c r="I81" s="41"/>
      <c r="J81" s="41"/>
      <c r="K81" s="41"/>
      <c r="L81" s="107"/>
      <c r="M81" s="71">
        <v>1370.02</v>
      </c>
      <c r="N81" s="41" t="s">
        <v>29</v>
      </c>
      <c r="O81" s="91">
        <v>0</v>
      </c>
      <c r="P81" s="66">
        <v>23.78</v>
      </c>
      <c r="Q81" s="3">
        <v>0</v>
      </c>
      <c r="R81" s="3"/>
      <c r="S81" s="3"/>
      <c r="T81" s="3"/>
      <c r="U81" s="67">
        <f t="shared" si="7"/>
        <v>23.78</v>
      </c>
      <c r="V81" s="67">
        <f t="shared" si="8"/>
        <v>0</v>
      </c>
      <c r="W81" s="91"/>
      <c r="X81" s="91"/>
      <c r="Y81" s="3"/>
      <c r="Z81" s="67">
        <f t="shared" si="9"/>
        <v>23.78</v>
      </c>
      <c r="AA81" s="67">
        <f t="shared" si="10"/>
        <v>0</v>
      </c>
      <c r="AB81" s="91"/>
      <c r="AC81" s="91"/>
      <c r="AD81" s="3"/>
      <c r="AE81" s="67">
        <f t="shared" si="11"/>
        <v>23.78</v>
      </c>
      <c r="AF81" s="67">
        <f t="shared" si="12"/>
        <v>0</v>
      </c>
    </row>
    <row r="82" spans="1:32" ht="46.8" hidden="1">
      <c r="A82" s="41">
        <f t="shared" si="13"/>
        <v>80</v>
      </c>
      <c r="B82" s="42" t="s">
        <v>172</v>
      </c>
      <c r="C82" s="42" t="s">
        <v>1002</v>
      </c>
      <c r="D82" s="42" t="s">
        <v>1017</v>
      </c>
      <c r="E82" s="41" t="s">
        <v>1133</v>
      </c>
      <c r="F82" s="43" t="s">
        <v>173</v>
      </c>
      <c r="G82" s="41" t="s">
        <v>28</v>
      </c>
      <c r="H82" s="41"/>
      <c r="I82" s="41"/>
      <c r="J82" s="41"/>
      <c r="K82" s="41"/>
      <c r="L82" s="107"/>
      <c r="M82" s="41"/>
      <c r="N82" s="41" t="s">
        <v>29</v>
      </c>
      <c r="O82" s="103">
        <v>61.87</v>
      </c>
      <c r="P82" s="66">
        <v>0.09</v>
      </c>
      <c r="Q82" s="3">
        <v>0</v>
      </c>
      <c r="R82" s="3"/>
      <c r="S82" s="3"/>
      <c r="T82" s="3"/>
      <c r="U82" s="67">
        <f t="shared" si="7"/>
        <v>0.09</v>
      </c>
      <c r="V82" s="67">
        <f t="shared" si="8"/>
        <v>0</v>
      </c>
      <c r="W82" s="91"/>
      <c r="X82" s="91"/>
      <c r="Y82" s="3"/>
      <c r="Z82" s="67">
        <f t="shared" si="9"/>
        <v>0.09</v>
      </c>
      <c r="AA82" s="67">
        <f t="shared" si="10"/>
        <v>0</v>
      </c>
      <c r="AB82" s="91"/>
      <c r="AC82" s="91"/>
      <c r="AD82" s="3"/>
      <c r="AE82" s="67">
        <f t="shared" si="11"/>
        <v>0.09</v>
      </c>
      <c r="AF82" s="67">
        <f t="shared" si="12"/>
        <v>0</v>
      </c>
    </row>
    <row r="83" spans="1:32" ht="46.8" hidden="1">
      <c r="A83" s="41">
        <f t="shared" si="13"/>
        <v>81</v>
      </c>
      <c r="B83" s="34" t="s">
        <v>914</v>
      </c>
      <c r="C83" s="34" t="s">
        <v>1002</v>
      </c>
      <c r="D83" s="34" t="s">
        <v>1017</v>
      </c>
      <c r="E83" s="41" t="s">
        <v>1134</v>
      </c>
      <c r="F83" s="43" t="s">
        <v>367</v>
      </c>
      <c r="G83" s="41" t="s">
        <v>28</v>
      </c>
      <c r="H83" s="41"/>
      <c r="I83" s="167" t="s">
        <v>349</v>
      </c>
      <c r="J83" s="167"/>
      <c r="K83" s="167"/>
      <c r="L83" s="174"/>
      <c r="M83" s="167"/>
      <c r="N83" s="41" t="s">
        <v>32</v>
      </c>
      <c r="O83" s="91">
        <v>0</v>
      </c>
      <c r="P83" s="66">
        <v>0.83</v>
      </c>
      <c r="Q83" s="3">
        <v>0</v>
      </c>
      <c r="R83" s="3"/>
      <c r="S83" s="3"/>
      <c r="T83" s="3"/>
      <c r="U83" s="67">
        <f t="shared" si="7"/>
        <v>0.83</v>
      </c>
      <c r="V83" s="67">
        <f t="shared" si="8"/>
        <v>0</v>
      </c>
      <c r="W83" s="91"/>
      <c r="X83" s="91"/>
      <c r="Y83" s="3"/>
      <c r="Z83" s="67">
        <f t="shared" si="9"/>
        <v>0.83</v>
      </c>
      <c r="AA83" s="67">
        <f t="shared" si="10"/>
        <v>0</v>
      </c>
      <c r="AB83" s="91"/>
      <c r="AC83" s="91"/>
      <c r="AD83" s="3"/>
      <c r="AE83" s="67">
        <f t="shared" si="11"/>
        <v>0.83</v>
      </c>
      <c r="AF83" s="67">
        <f t="shared" si="12"/>
        <v>0</v>
      </c>
    </row>
    <row r="84" spans="1:32" ht="78" hidden="1">
      <c r="A84" s="41">
        <f t="shared" si="13"/>
        <v>82</v>
      </c>
      <c r="B84" s="42" t="s">
        <v>174</v>
      </c>
      <c r="C84" s="41" t="s">
        <v>1005</v>
      </c>
      <c r="D84" s="42" t="s">
        <v>1017</v>
      </c>
      <c r="E84" s="41" t="s">
        <v>1135</v>
      </c>
      <c r="F84" s="43" t="s">
        <v>175</v>
      </c>
      <c r="G84" s="41" t="s">
        <v>28</v>
      </c>
      <c r="H84" s="41"/>
      <c r="I84" s="41"/>
      <c r="J84" s="41"/>
      <c r="K84" s="41"/>
      <c r="L84" s="41"/>
      <c r="M84" s="41"/>
      <c r="N84" s="41" t="s">
        <v>29</v>
      </c>
      <c r="O84" s="3">
        <v>0</v>
      </c>
      <c r="P84" s="3">
        <v>0</v>
      </c>
      <c r="Q84" s="66">
        <v>2.39</v>
      </c>
      <c r="R84" s="3"/>
      <c r="S84" s="3"/>
      <c r="T84" s="3"/>
      <c r="U84" s="67">
        <f t="shared" si="7"/>
        <v>0</v>
      </c>
      <c r="V84" s="67">
        <f t="shared" si="8"/>
        <v>2.39</v>
      </c>
      <c r="W84" s="3"/>
      <c r="X84" s="3"/>
      <c r="Y84" s="3"/>
      <c r="Z84" s="67">
        <f t="shared" si="9"/>
        <v>0</v>
      </c>
      <c r="AA84" s="67">
        <f t="shared" si="10"/>
        <v>2.39</v>
      </c>
      <c r="AB84" s="3"/>
      <c r="AC84" s="3"/>
      <c r="AD84" s="3"/>
      <c r="AE84" s="67">
        <f t="shared" si="11"/>
        <v>0</v>
      </c>
      <c r="AF84" s="67">
        <f t="shared" si="12"/>
        <v>2.39</v>
      </c>
    </row>
    <row r="85" spans="1:32" ht="93.6" hidden="1">
      <c r="A85" s="41">
        <f t="shared" si="13"/>
        <v>83</v>
      </c>
      <c r="B85" s="42" t="s">
        <v>212</v>
      </c>
      <c r="C85" s="41" t="s">
        <v>1006</v>
      </c>
      <c r="D85" s="34" t="s">
        <v>1017</v>
      </c>
      <c r="E85" s="41" t="s">
        <v>1136</v>
      </c>
      <c r="F85" s="43" t="s">
        <v>213</v>
      </c>
      <c r="G85" s="41" t="s">
        <v>28</v>
      </c>
      <c r="H85" s="41"/>
      <c r="I85" s="41"/>
      <c r="J85" s="41"/>
      <c r="K85" s="41"/>
      <c r="L85" s="41"/>
      <c r="M85" s="41"/>
      <c r="N85" s="41" t="s">
        <v>32</v>
      </c>
      <c r="O85" s="3">
        <v>0</v>
      </c>
      <c r="P85" s="66">
        <v>2.39</v>
      </c>
      <c r="Q85" s="3">
        <v>0</v>
      </c>
      <c r="R85" s="3"/>
      <c r="S85" s="3"/>
      <c r="T85" s="3"/>
      <c r="U85" s="67">
        <f t="shared" si="7"/>
        <v>2.39</v>
      </c>
      <c r="V85" s="67">
        <f t="shared" si="8"/>
        <v>0</v>
      </c>
      <c r="W85" s="3"/>
      <c r="X85" s="3"/>
      <c r="Y85" s="3"/>
      <c r="Z85" s="67">
        <f t="shared" si="9"/>
        <v>2.39</v>
      </c>
      <c r="AA85" s="67">
        <f t="shared" si="10"/>
        <v>0</v>
      </c>
      <c r="AB85" s="3"/>
      <c r="AC85" s="3"/>
      <c r="AD85" s="3"/>
      <c r="AE85" s="67">
        <f t="shared" si="11"/>
        <v>2.39</v>
      </c>
      <c r="AF85" s="67">
        <f t="shared" si="12"/>
        <v>0</v>
      </c>
    </row>
    <row r="86" spans="1:32" ht="93.6" hidden="1">
      <c r="A86" s="41">
        <f t="shared" si="13"/>
        <v>84</v>
      </c>
      <c r="B86" s="42" t="s">
        <v>176</v>
      </c>
      <c r="C86" s="42" t="s">
        <v>1002</v>
      </c>
      <c r="D86" s="42" t="s">
        <v>1017</v>
      </c>
      <c r="E86" s="41" t="s">
        <v>1137</v>
      </c>
      <c r="F86" s="43" t="s">
        <v>177</v>
      </c>
      <c r="G86" s="41" t="s">
        <v>28</v>
      </c>
      <c r="H86" s="41"/>
      <c r="I86" s="41"/>
      <c r="J86" s="41"/>
      <c r="K86" s="41"/>
      <c r="L86" s="107"/>
      <c r="M86" s="41"/>
      <c r="N86" s="41" t="s">
        <v>32</v>
      </c>
      <c r="O86" s="103">
        <v>83.03</v>
      </c>
      <c r="P86" s="66">
        <v>1.1599999999999999</v>
      </c>
      <c r="Q86" s="3">
        <v>0</v>
      </c>
      <c r="R86" s="3"/>
      <c r="S86" s="3"/>
      <c r="T86" s="3"/>
      <c r="U86" s="67">
        <f t="shared" si="7"/>
        <v>1.1599999999999999</v>
      </c>
      <c r="V86" s="67">
        <f t="shared" si="8"/>
        <v>0</v>
      </c>
      <c r="W86" s="91"/>
      <c r="X86" s="91"/>
      <c r="Y86" s="3"/>
      <c r="Z86" s="67">
        <f t="shared" si="9"/>
        <v>1.1599999999999999</v>
      </c>
      <c r="AA86" s="67">
        <f t="shared" si="10"/>
        <v>0</v>
      </c>
      <c r="AB86" s="91"/>
      <c r="AC86" s="91"/>
      <c r="AD86" s="3"/>
      <c r="AE86" s="67">
        <f t="shared" si="11"/>
        <v>1.1599999999999999</v>
      </c>
      <c r="AF86" s="67">
        <f t="shared" si="12"/>
        <v>0</v>
      </c>
    </row>
    <row r="87" spans="1:32" ht="46.8" hidden="1">
      <c r="A87" s="41">
        <f t="shared" si="13"/>
        <v>85</v>
      </c>
      <c r="B87" s="42" t="s">
        <v>178</v>
      </c>
      <c r="C87" s="42" t="s">
        <v>1002</v>
      </c>
      <c r="D87" s="34" t="s">
        <v>1017</v>
      </c>
      <c r="E87" s="41" t="s">
        <v>1138</v>
      </c>
      <c r="F87" s="43" t="s">
        <v>179</v>
      </c>
      <c r="G87" s="41" t="s">
        <v>28</v>
      </c>
      <c r="H87" s="41"/>
      <c r="I87" s="41"/>
      <c r="J87" s="41"/>
      <c r="K87" s="41"/>
      <c r="L87" s="107"/>
      <c r="M87" s="41"/>
      <c r="N87" s="41" t="s">
        <v>32</v>
      </c>
      <c r="O87" s="91">
        <v>0</v>
      </c>
      <c r="P87" s="66">
        <v>0.6</v>
      </c>
      <c r="Q87" s="3">
        <v>0</v>
      </c>
      <c r="R87" s="3"/>
      <c r="S87" s="3"/>
      <c r="T87" s="3"/>
      <c r="U87" s="67">
        <f t="shared" si="7"/>
        <v>0.6</v>
      </c>
      <c r="V87" s="67">
        <f t="shared" si="8"/>
        <v>0</v>
      </c>
      <c r="W87" s="91"/>
      <c r="X87" s="91"/>
      <c r="Y87" s="3"/>
      <c r="Z87" s="67">
        <f t="shared" si="9"/>
        <v>0.6</v>
      </c>
      <c r="AA87" s="67">
        <f t="shared" si="10"/>
        <v>0</v>
      </c>
      <c r="AB87" s="91"/>
      <c r="AC87" s="91"/>
      <c r="AD87" s="3"/>
      <c r="AE87" s="67">
        <f t="shared" si="11"/>
        <v>0.6</v>
      </c>
      <c r="AF87" s="67">
        <f t="shared" si="12"/>
        <v>0</v>
      </c>
    </row>
    <row r="88" spans="1:32" ht="93.6" hidden="1">
      <c r="A88" s="41">
        <f t="shared" si="13"/>
        <v>86</v>
      </c>
      <c r="B88" s="42" t="s">
        <v>180</v>
      </c>
      <c r="C88" s="41" t="s">
        <v>1007</v>
      </c>
      <c r="D88" s="42" t="s">
        <v>1017</v>
      </c>
      <c r="E88" s="41" t="s">
        <v>1139</v>
      </c>
      <c r="F88" s="43" t="s">
        <v>181</v>
      </c>
      <c r="G88" s="41" t="s">
        <v>28</v>
      </c>
      <c r="H88" s="41"/>
      <c r="I88" s="41"/>
      <c r="J88" s="41"/>
      <c r="K88" s="41"/>
      <c r="L88" s="41"/>
      <c r="M88" s="41"/>
      <c r="N88" s="41" t="s">
        <v>32</v>
      </c>
      <c r="O88" s="3">
        <v>0</v>
      </c>
      <c r="P88" s="3">
        <v>0</v>
      </c>
      <c r="Q88" s="66">
        <v>3.61</v>
      </c>
      <c r="R88" s="3"/>
      <c r="S88" s="3"/>
      <c r="T88" s="3"/>
      <c r="U88" s="67">
        <f t="shared" si="7"/>
        <v>0</v>
      </c>
      <c r="V88" s="67">
        <f t="shared" si="8"/>
        <v>3.61</v>
      </c>
      <c r="W88" s="3"/>
      <c r="X88" s="3"/>
      <c r="Y88" s="3"/>
      <c r="Z88" s="67">
        <f t="shared" si="9"/>
        <v>0</v>
      </c>
      <c r="AA88" s="67">
        <f t="shared" si="10"/>
        <v>3.61</v>
      </c>
      <c r="AB88" s="3"/>
      <c r="AC88" s="3"/>
      <c r="AD88" s="3"/>
      <c r="AE88" s="67">
        <f t="shared" si="11"/>
        <v>0</v>
      </c>
      <c r="AF88" s="67">
        <f t="shared" si="12"/>
        <v>3.61</v>
      </c>
    </row>
    <row r="89" spans="1:32" ht="93.6" hidden="1">
      <c r="A89" s="41">
        <f t="shared" si="13"/>
        <v>87</v>
      </c>
      <c r="B89" s="42" t="s">
        <v>180</v>
      </c>
      <c r="C89" s="41" t="s">
        <v>1008</v>
      </c>
      <c r="D89" s="34" t="s">
        <v>1017</v>
      </c>
      <c r="E89" s="41" t="s">
        <v>1139</v>
      </c>
      <c r="F89" s="43" t="s">
        <v>270</v>
      </c>
      <c r="G89" s="41" t="s">
        <v>28</v>
      </c>
      <c r="H89" s="41"/>
      <c r="I89" s="41"/>
      <c r="J89" s="41"/>
      <c r="K89" s="41"/>
      <c r="L89" s="41"/>
      <c r="M89" s="41"/>
      <c r="N89" s="41" t="s">
        <v>516</v>
      </c>
      <c r="O89" s="3">
        <v>0</v>
      </c>
      <c r="P89" s="66">
        <v>3.61</v>
      </c>
      <c r="Q89" s="3">
        <v>0</v>
      </c>
      <c r="R89" s="3"/>
      <c r="S89" s="3"/>
      <c r="T89" s="3"/>
      <c r="U89" s="67">
        <f t="shared" si="7"/>
        <v>3.61</v>
      </c>
      <c r="V89" s="67">
        <f t="shared" si="8"/>
        <v>0</v>
      </c>
      <c r="W89" s="3"/>
      <c r="X89" s="3"/>
      <c r="Y89" s="3"/>
      <c r="Z89" s="67">
        <f t="shared" si="9"/>
        <v>3.61</v>
      </c>
      <c r="AA89" s="67">
        <f t="shared" si="10"/>
        <v>0</v>
      </c>
      <c r="AB89" s="3"/>
      <c r="AC89" s="3"/>
      <c r="AD89" s="3"/>
      <c r="AE89" s="67">
        <f t="shared" si="11"/>
        <v>3.61</v>
      </c>
      <c r="AF89" s="67">
        <f t="shared" si="12"/>
        <v>0</v>
      </c>
    </row>
    <row r="90" spans="1:32" ht="46.8" hidden="1">
      <c r="A90" s="41">
        <f t="shared" si="13"/>
        <v>88</v>
      </c>
      <c r="B90" s="42" t="s">
        <v>182</v>
      </c>
      <c r="C90" s="42" t="s">
        <v>1002</v>
      </c>
      <c r="D90" s="42" t="s">
        <v>1017</v>
      </c>
      <c r="E90" s="41" t="s">
        <v>1140</v>
      </c>
      <c r="F90" s="43" t="s">
        <v>183</v>
      </c>
      <c r="G90" s="41" t="s">
        <v>28</v>
      </c>
      <c r="H90" s="41"/>
      <c r="I90" s="41"/>
      <c r="J90" s="41"/>
      <c r="K90" s="41"/>
      <c r="L90" s="107"/>
      <c r="M90" s="41"/>
      <c r="N90" s="41" t="s">
        <v>32</v>
      </c>
      <c r="O90" s="91">
        <v>0</v>
      </c>
      <c r="P90" s="3">
        <v>0</v>
      </c>
      <c r="Q90" s="66">
        <v>2.4900000000000002</v>
      </c>
      <c r="R90" s="3"/>
      <c r="S90" s="3"/>
      <c r="T90" s="3"/>
      <c r="U90" s="67">
        <f t="shared" si="7"/>
        <v>0</v>
      </c>
      <c r="V90" s="67">
        <f t="shared" si="8"/>
        <v>2.4900000000000002</v>
      </c>
      <c r="W90" s="91"/>
      <c r="X90" s="91"/>
      <c r="Y90" s="3"/>
      <c r="Z90" s="67">
        <f t="shared" si="9"/>
        <v>0</v>
      </c>
      <c r="AA90" s="67">
        <f t="shared" si="10"/>
        <v>2.4900000000000002</v>
      </c>
      <c r="AB90" s="91"/>
      <c r="AC90" s="91"/>
      <c r="AD90" s="3"/>
      <c r="AE90" s="67">
        <f t="shared" si="11"/>
        <v>0</v>
      </c>
      <c r="AF90" s="67">
        <f t="shared" si="12"/>
        <v>2.4900000000000002</v>
      </c>
    </row>
    <row r="91" spans="1:32" ht="46.8" hidden="1">
      <c r="A91" s="41">
        <f t="shared" si="13"/>
        <v>89</v>
      </c>
      <c r="B91" s="42" t="s">
        <v>184</v>
      </c>
      <c r="C91" s="42" t="s">
        <v>1002</v>
      </c>
      <c r="D91" s="34" t="s">
        <v>1017</v>
      </c>
      <c r="E91" s="41" t="s">
        <v>1141</v>
      </c>
      <c r="F91" s="43" t="s">
        <v>185</v>
      </c>
      <c r="G91" s="41" t="s">
        <v>28</v>
      </c>
      <c r="H91" s="41"/>
      <c r="I91" s="41"/>
      <c r="J91" s="41"/>
      <c r="K91" s="41"/>
      <c r="L91" s="107"/>
      <c r="M91" s="41"/>
      <c r="N91" s="41" t="s">
        <v>32</v>
      </c>
      <c r="O91" s="91">
        <v>0</v>
      </c>
      <c r="P91" s="66">
        <v>1.61</v>
      </c>
      <c r="Q91" s="3">
        <v>0</v>
      </c>
      <c r="R91" s="3"/>
      <c r="S91" s="3"/>
      <c r="T91" s="3"/>
      <c r="U91" s="67">
        <f t="shared" si="7"/>
        <v>1.61</v>
      </c>
      <c r="V91" s="67">
        <f t="shared" si="8"/>
        <v>0</v>
      </c>
      <c r="W91" s="91"/>
      <c r="X91" s="91"/>
      <c r="Y91" s="3"/>
      <c r="Z91" s="67">
        <f t="shared" si="9"/>
        <v>1.61</v>
      </c>
      <c r="AA91" s="67">
        <f t="shared" si="10"/>
        <v>0</v>
      </c>
      <c r="AB91" s="91"/>
      <c r="AC91" s="91"/>
      <c r="AD91" s="3"/>
      <c r="AE91" s="67">
        <f t="shared" si="11"/>
        <v>1.61</v>
      </c>
      <c r="AF91" s="67">
        <f t="shared" si="12"/>
        <v>0</v>
      </c>
    </row>
    <row r="92" spans="1:32" ht="46.8" hidden="1">
      <c r="A92" s="41">
        <f t="shared" si="13"/>
        <v>90</v>
      </c>
      <c r="B92" s="42" t="s">
        <v>186</v>
      </c>
      <c r="C92" s="42" t="s">
        <v>1002</v>
      </c>
      <c r="D92" s="42" t="s">
        <v>1017</v>
      </c>
      <c r="E92" s="41" t="s">
        <v>1142</v>
      </c>
      <c r="F92" s="43" t="s">
        <v>187</v>
      </c>
      <c r="G92" s="41" t="s">
        <v>28</v>
      </c>
      <c r="H92" s="41"/>
      <c r="I92" s="41"/>
      <c r="J92" s="41"/>
      <c r="K92" s="41"/>
      <c r="L92" s="107"/>
      <c r="M92" s="41"/>
      <c r="N92" s="41" t="s">
        <v>32</v>
      </c>
      <c r="O92" s="103">
        <v>1.01</v>
      </c>
      <c r="P92" s="66">
        <v>0.94</v>
      </c>
      <c r="Q92" s="3">
        <v>0</v>
      </c>
      <c r="R92" s="3"/>
      <c r="S92" s="3"/>
      <c r="T92" s="3"/>
      <c r="U92" s="67">
        <f t="shared" si="7"/>
        <v>0.94</v>
      </c>
      <c r="V92" s="67">
        <f t="shared" si="8"/>
        <v>0</v>
      </c>
      <c r="W92" s="91"/>
      <c r="X92" s="91"/>
      <c r="Y92" s="3"/>
      <c r="Z92" s="67">
        <f t="shared" si="9"/>
        <v>0.94</v>
      </c>
      <c r="AA92" s="67">
        <f t="shared" si="10"/>
        <v>0</v>
      </c>
      <c r="AB92" s="91"/>
      <c r="AC92" s="91"/>
      <c r="AD92" s="3"/>
      <c r="AE92" s="67">
        <f t="shared" si="11"/>
        <v>0.94</v>
      </c>
      <c r="AF92" s="67">
        <f t="shared" si="12"/>
        <v>0</v>
      </c>
    </row>
    <row r="93" spans="1:32" ht="46.8" hidden="1">
      <c r="A93" s="41">
        <f t="shared" si="13"/>
        <v>91</v>
      </c>
      <c r="B93" s="42" t="s">
        <v>188</v>
      </c>
      <c r="C93" s="42" t="s">
        <v>1002</v>
      </c>
      <c r="D93" s="42" t="s">
        <v>1017</v>
      </c>
      <c r="E93" s="41" t="s">
        <v>1143</v>
      </c>
      <c r="F93" s="43" t="s">
        <v>189</v>
      </c>
      <c r="G93" s="41" t="s">
        <v>28</v>
      </c>
      <c r="H93" s="41"/>
      <c r="I93" s="41"/>
      <c r="J93" s="41"/>
      <c r="K93" s="41"/>
      <c r="L93" s="107"/>
      <c r="M93" s="41"/>
      <c r="N93" s="41" t="s">
        <v>32</v>
      </c>
      <c r="O93" s="91">
        <v>0</v>
      </c>
      <c r="P93" s="66">
        <v>1.02</v>
      </c>
      <c r="Q93" s="3">
        <v>0</v>
      </c>
      <c r="R93" s="3"/>
      <c r="S93" s="3"/>
      <c r="T93" s="3"/>
      <c r="U93" s="67">
        <f t="shared" si="7"/>
        <v>1.02</v>
      </c>
      <c r="V93" s="67">
        <f t="shared" si="8"/>
        <v>0</v>
      </c>
      <c r="W93" s="91"/>
      <c r="X93" s="91"/>
      <c r="Y93" s="3"/>
      <c r="Z93" s="67">
        <f t="shared" si="9"/>
        <v>1.02</v>
      </c>
      <c r="AA93" s="67">
        <f t="shared" si="10"/>
        <v>0</v>
      </c>
      <c r="AB93" s="91"/>
      <c r="AC93" s="91"/>
      <c r="AD93" s="3"/>
      <c r="AE93" s="67">
        <f t="shared" si="11"/>
        <v>1.02</v>
      </c>
      <c r="AF93" s="67">
        <f t="shared" si="12"/>
        <v>0</v>
      </c>
    </row>
    <row r="94" spans="1:32" ht="46.8" hidden="1">
      <c r="A94" s="41">
        <f t="shared" si="13"/>
        <v>92</v>
      </c>
      <c r="B94" s="42" t="s">
        <v>190</v>
      </c>
      <c r="C94" s="42" t="s">
        <v>1002</v>
      </c>
      <c r="D94" s="42" t="s">
        <v>1017</v>
      </c>
      <c r="E94" s="41" t="s">
        <v>1144</v>
      </c>
      <c r="F94" s="43" t="s">
        <v>191</v>
      </c>
      <c r="G94" s="41" t="s">
        <v>28</v>
      </c>
      <c r="H94" s="41"/>
      <c r="I94" s="41"/>
      <c r="J94" s="41"/>
      <c r="K94" s="41"/>
      <c r="L94" s="107"/>
      <c r="M94" s="41"/>
      <c r="N94" s="41" t="s">
        <v>32</v>
      </c>
      <c r="O94" s="91">
        <v>0</v>
      </c>
      <c r="P94" s="66">
        <v>1.48</v>
      </c>
      <c r="Q94" s="3">
        <v>0</v>
      </c>
      <c r="R94" s="3"/>
      <c r="S94" s="3"/>
      <c r="T94" s="3"/>
      <c r="U94" s="67">
        <f t="shared" si="7"/>
        <v>1.48</v>
      </c>
      <c r="V94" s="67">
        <f t="shared" si="8"/>
        <v>0</v>
      </c>
      <c r="W94" s="91"/>
      <c r="X94" s="91"/>
      <c r="Y94" s="3"/>
      <c r="Z94" s="67">
        <f t="shared" si="9"/>
        <v>1.48</v>
      </c>
      <c r="AA94" s="67">
        <f t="shared" si="10"/>
        <v>0</v>
      </c>
      <c r="AB94" s="91"/>
      <c r="AC94" s="91"/>
      <c r="AD94" s="3"/>
      <c r="AE94" s="67">
        <f t="shared" si="11"/>
        <v>1.48</v>
      </c>
      <c r="AF94" s="67">
        <f t="shared" si="12"/>
        <v>0</v>
      </c>
    </row>
    <row r="95" spans="1:32" ht="46.8" hidden="1">
      <c r="A95" s="41">
        <f t="shared" si="13"/>
        <v>93</v>
      </c>
      <c r="B95" s="42" t="s">
        <v>192</v>
      </c>
      <c r="C95" s="42" t="s">
        <v>1002</v>
      </c>
      <c r="D95" s="34" t="s">
        <v>1017</v>
      </c>
      <c r="E95" s="41" t="s">
        <v>1145</v>
      </c>
      <c r="F95" s="43" t="s">
        <v>193</v>
      </c>
      <c r="G95" s="41" t="s">
        <v>28</v>
      </c>
      <c r="H95" s="41"/>
      <c r="I95" s="41"/>
      <c r="J95" s="41"/>
      <c r="K95" s="41"/>
      <c r="L95" s="107"/>
      <c r="M95" s="41"/>
      <c r="N95" s="41" t="s">
        <v>32</v>
      </c>
      <c r="O95" s="91">
        <v>0</v>
      </c>
      <c r="P95" s="66">
        <v>0.42</v>
      </c>
      <c r="Q95" s="3">
        <v>0</v>
      </c>
      <c r="R95" s="3"/>
      <c r="S95" s="3"/>
      <c r="T95" s="3"/>
      <c r="U95" s="67">
        <f t="shared" si="7"/>
        <v>0.42</v>
      </c>
      <c r="V95" s="67">
        <f t="shared" si="8"/>
        <v>0</v>
      </c>
      <c r="W95" s="91"/>
      <c r="X95" s="91"/>
      <c r="Y95" s="3"/>
      <c r="Z95" s="67">
        <f t="shared" si="9"/>
        <v>0.42</v>
      </c>
      <c r="AA95" s="67">
        <f t="shared" si="10"/>
        <v>0</v>
      </c>
      <c r="AB95" s="91"/>
      <c r="AC95" s="91"/>
      <c r="AD95" s="3"/>
      <c r="AE95" s="67">
        <f t="shared" si="11"/>
        <v>0.42</v>
      </c>
      <c r="AF95" s="67">
        <f t="shared" si="12"/>
        <v>0</v>
      </c>
    </row>
    <row r="96" spans="1:32" ht="62.4" hidden="1">
      <c r="A96" s="41">
        <f t="shared" si="13"/>
        <v>94</v>
      </c>
      <c r="B96" s="42" t="s">
        <v>194</v>
      </c>
      <c r="C96" s="42" t="s">
        <v>1002</v>
      </c>
      <c r="D96" s="42" t="s">
        <v>1017</v>
      </c>
      <c r="E96" s="41" t="s">
        <v>1146</v>
      </c>
      <c r="F96" s="43" t="s">
        <v>195</v>
      </c>
      <c r="G96" s="41" t="s">
        <v>28</v>
      </c>
      <c r="H96" s="41"/>
      <c r="I96" s="41"/>
      <c r="J96" s="41"/>
      <c r="K96" s="41"/>
      <c r="L96" s="107"/>
      <c r="M96" s="41"/>
      <c r="N96" s="41" t="s">
        <v>32</v>
      </c>
      <c r="O96" s="91">
        <v>0</v>
      </c>
      <c r="P96" s="66">
        <v>2.97</v>
      </c>
      <c r="Q96" s="3">
        <v>0</v>
      </c>
      <c r="R96" s="3"/>
      <c r="S96" s="3"/>
      <c r="T96" s="3"/>
      <c r="U96" s="67">
        <f t="shared" si="7"/>
        <v>2.97</v>
      </c>
      <c r="V96" s="67">
        <f t="shared" si="8"/>
        <v>0</v>
      </c>
      <c r="W96" s="91"/>
      <c r="X96" s="91"/>
      <c r="Y96" s="3"/>
      <c r="Z96" s="67">
        <f t="shared" si="9"/>
        <v>2.97</v>
      </c>
      <c r="AA96" s="67">
        <f t="shared" si="10"/>
        <v>0</v>
      </c>
      <c r="AB96" s="91"/>
      <c r="AC96" s="91"/>
      <c r="AD96" s="3"/>
      <c r="AE96" s="67">
        <f t="shared" si="11"/>
        <v>2.97</v>
      </c>
      <c r="AF96" s="67">
        <f t="shared" si="12"/>
        <v>0</v>
      </c>
    </row>
    <row r="97" spans="1:32" ht="46.8" hidden="1">
      <c r="A97" s="41">
        <f t="shared" si="13"/>
        <v>95</v>
      </c>
      <c r="B97" s="42" t="s">
        <v>196</v>
      </c>
      <c r="C97" s="42" t="s">
        <v>1002</v>
      </c>
      <c r="D97" s="42" t="s">
        <v>1017</v>
      </c>
      <c r="E97" s="41" t="s">
        <v>1147</v>
      </c>
      <c r="F97" s="43" t="s">
        <v>197</v>
      </c>
      <c r="G97" s="41" t="s">
        <v>28</v>
      </c>
      <c r="H97" s="41"/>
      <c r="I97" s="41"/>
      <c r="J97" s="41"/>
      <c r="K97" s="41"/>
      <c r="L97" s="107"/>
      <c r="M97" s="41"/>
      <c r="N97" s="41" t="s">
        <v>32</v>
      </c>
      <c r="O97" s="91">
        <v>0</v>
      </c>
      <c r="P97" s="3">
        <v>0</v>
      </c>
      <c r="Q97" s="66">
        <v>1.01</v>
      </c>
      <c r="R97" s="3"/>
      <c r="S97" s="3"/>
      <c r="T97" s="3"/>
      <c r="U97" s="67">
        <f t="shared" si="7"/>
        <v>0</v>
      </c>
      <c r="V97" s="67">
        <f t="shared" si="8"/>
        <v>1.01</v>
      </c>
      <c r="W97" s="91"/>
      <c r="X97" s="91"/>
      <c r="Y97" s="3"/>
      <c r="Z97" s="67">
        <f t="shared" si="9"/>
        <v>0</v>
      </c>
      <c r="AA97" s="67">
        <f t="shared" si="10"/>
        <v>1.01</v>
      </c>
      <c r="AB97" s="91"/>
      <c r="AC97" s="91"/>
      <c r="AD97" s="3"/>
      <c r="AE97" s="67">
        <f t="shared" si="11"/>
        <v>0</v>
      </c>
      <c r="AF97" s="67">
        <f t="shared" si="12"/>
        <v>1.01</v>
      </c>
    </row>
    <row r="98" spans="1:32" ht="46.8" hidden="1">
      <c r="A98" s="41">
        <f t="shared" si="13"/>
        <v>96</v>
      </c>
      <c r="B98" s="42" t="s">
        <v>198</v>
      </c>
      <c r="C98" s="42" t="s">
        <v>1002</v>
      </c>
      <c r="D98" s="42" t="s">
        <v>1017</v>
      </c>
      <c r="E98" s="41" t="s">
        <v>1148</v>
      </c>
      <c r="F98" s="43" t="s">
        <v>199</v>
      </c>
      <c r="G98" s="41" t="s">
        <v>28</v>
      </c>
      <c r="H98" s="41"/>
      <c r="I98" s="41"/>
      <c r="J98" s="41"/>
      <c r="K98" s="41"/>
      <c r="L98" s="107"/>
      <c r="M98" s="65">
        <v>106.69</v>
      </c>
      <c r="N98" s="41" t="s">
        <v>32</v>
      </c>
      <c r="O98" s="103">
        <v>72.430000000000007</v>
      </c>
      <c r="P98" s="66">
        <v>0.53</v>
      </c>
      <c r="Q98" s="3">
        <v>0</v>
      </c>
      <c r="R98" s="3"/>
      <c r="S98" s="3"/>
      <c r="T98" s="3"/>
      <c r="U98" s="67">
        <f t="shared" si="7"/>
        <v>0.53</v>
      </c>
      <c r="V98" s="67">
        <f t="shared" si="8"/>
        <v>0</v>
      </c>
      <c r="W98" s="91"/>
      <c r="X98" s="91"/>
      <c r="Y98" s="3"/>
      <c r="Z98" s="67">
        <f t="shared" si="9"/>
        <v>0.53</v>
      </c>
      <c r="AA98" s="67">
        <f t="shared" si="10"/>
        <v>0</v>
      </c>
      <c r="AB98" s="91"/>
      <c r="AC98" s="91"/>
      <c r="AD98" s="3"/>
      <c r="AE98" s="67">
        <f t="shared" si="11"/>
        <v>0.53</v>
      </c>
      <c r="AF98" s="67">
        <f t="shared" si="12"/>
        <v>0</v>
      </c>
    </row>
    <row r="99" spans="1:32" ht="46.8" hidden="1">
      <c r="A99" s="41">
        <f t="shared" si="13"/>
        <v>97</v>
      </c>
      <c r="B99" s="34"/>
      <c r="C99" s="42" t="s">
        <v>1002</v>
      </c>
      <c r="D99" s="42" t="s">
        <v>1017</v>
      </c>
      <c r="E99" s="41" t="s">
        <v>1149</v>
      </c>
      <c r="F99" s="43" t="s">
        <v>880</v>
      </c>
      <c r="G99" s="41" t="s">
        <v>28</v>
      </c>
      <c r="H99" s="41"/>
      <c r="I99" s="41"/>
      <c r="J99" s="41"/>
      <c r="K99" s="41"/>
      <c r="L99" s="107"/>
      <c r="M99" s="41"/>
      <c r="N99" s="41" t="s">
        <v>29</v>
      </c>
      <c r="O99" s="91">
        <v>0</v>
      </c>
      <c r="P99" s="3">
        <v>0</v>
      </c>
      <c r="Q99" s="66">
        <v>1</v>
      </c>
      <c r="R99" s="3"/>
      <c r="S99" s="3"/>
      <c r="T99" s="3"/>
      <c r="U99" s="67">
        <f t="shared" si="7"/>
        <v>0</v>
      </c>
      <c r="V99" s="67">
        <f t="shared" si="8"/>
        <v>1</v>
      </c>
      <c r="W99" s="91"/>
      <c r="X99" s="91"/>
      <c r="Y99" s="3"/>
      <c r="Z99" s="67">
        <f t="shared" si="9"/>
        <v>0</v>
      </c>
      <c r="AA99" s="67">
        <f t="shared" si="10"/>
        <v>1</v>
      </c>
      <c r="AB99" s="91"/>
      <c r="AC99" s="91"/>
      <c r="AD99" s="3"/>
      <c r="AE99" s="67">
        <f t="shared" si="11"/>
        <v>0</v>
      </c>
      <c r="AF99" s="67">
        <f t="shared" si="12"/>
        <v>1</v>
      </c>
    </row>
    <row r="100" spans="1:32" ht="46.8" hidden="1">
      <c r="A100" s="41">
        <f t="shared" si="13"/>
        <v>98</v>
      </c>
      <c r="B100" s="42" t="s">
        <v>200</v>
      </c>
      <c r="C100" s="42" t="s">
        <v>1002</v>
      </c>
      <c r="D100" s="42" t="s">
        <v>1017</v>
      </c>
      <c r="E100" s="41" t="s">
        <v>1150</v>
      </c>
      <c r="F100" s="43" t="s">
        <v>201</v>
      </c>
      <c r="G100" s="41" t="s">
        <v>28</v>
      </c>
      <c r="H100" s="41">
        <v>2</v>
      </c>
      <c r="I100" s="41" t="s">
        <v>202</v>
      </c>
      <c r="J100" s="41" t="s">
        <v>202</v>
      </c>
      <c r="K100" s="41" t="s">
        <v>203</v>
      </c>
      <c r="L100" s="107">
        <v>33.49</v>
      </c>
      <c r="M100" s="41"/>
      <c r="N100" s="41" t="s">
        <v>29</v>
      </c>
      <c r="O100" s="103">
        <v>35.369999999999997</v>
      </c>
      <c r="P100" s="3">
        <v>0</v>
      </c>
      <c r="Q100" s="66">
        <v>36.49</v>
      </c>
      <c r="R100" s="3"/>
      <c r="S100" s="3"/>
      <c r="T100" s="3"/>
      <c r="U100" s="67">
        <f t="shared" si="7"/>
        <v>0</v>
      </c>
      <c r="V100" s="67">
        <f t="shared" si="8"/>
        <v>36.49</v>
      </c>
      <c r="W100" s="92">
        <f>0.1433447+0.0623836+0.0381047+0.1245718</f>
        <v>0.36840479999999998</v>
      </c>
      <c r="X100" s="91"/>
      <c r="Y100" s="3"/>
      <c r="Z100" s="67">
        <f t="shared" si="9"/>
        <v>0</v>
      </c>
      <c r="AA100" s="67">
        <f t="shared" si="10"/>
        <v>36.858404800000002</v>
      </c>
      <c r="AB100" s="91"/>
      <c r="AC100" s="91"/>
      <c r="AD100" s="3"/>
      <c r="AE100" s="67">
        <f t="shared" si="11"/>
        <v>0</v>
      </c>
      <c r="AF100" s="67">
        <f t="shared" si="12"/>
        <v>36.858404800000002</v>
      </c>
    </row>
    <row r="101" spans="1:32" ht="46.8" hidden="1">
      <c r="A101" s="41">
        <f t="shared" si="13"/>
        <v>99</v>
      </c>
      <c r="B101" s="42" t="s">
        <v>204</v>
      </c>
      <c r="C101" s="42" t="s">
        <v>1002</v>
      </c>
      <c r="D101" s="41" t="s">
        <v>1017</v>
      </c>
      <c r="E101" s="41" t="s">
        <v>1151</v>
      </c>
      <c r="F101" s="43" t="s">
        <v>205</v>
      </c>
      <c r="G101" s="41" t="s">
        <v>28</v>
      </c>
      <c r="H101" s="41"/>
      <c r="I101" s="41"/>
      <c r="J101" s="41"/>
      <c r="K101" s="41"/>
      <c r="L101" s="107"/>
      <c r="M101" s="41"/>
      <c r="N101" s="41" t="s">
        <v>32</v>
      </c>
      <c r="O101" s="91">
        <v>0</v>
      </c>
      <c r="P101" s="66">
        <v>0.12</v>
      </c>
      <c r="Q101" s="3">
        <v>0</v>
      </c>
      <c r="R101" s="3"/>
      <c r="S101" s="3"/>
      <c r="T101" s="3"/>
      <c r="U101" s="67">
        <f t="shared" si="7"/>
        <v>0.12</v>
      </c>
      <c r="V101" s="67">
        <f t="shared" si="8"/>
        <v>0</v>
      </c>
      <c r="W101" s="91"/>
      <c r="X101" s="91"/>
      <c r="Y101" s="3"/>
      <c r="Z101" s="67">
        <f t="shared" si="9"/>
        <v>0.12</v>
      </c>
      <c r="AA101" s="67">
        <f t="shared" si="10"/>
        <v>0</v>
      </c>
      <c r="AB101" s="91"/>
      <c r="AC101" s="91"/>
      <c r="AD101" s="3"/>
      <c r="AE101" s="67">
        <f t="shared" si="11"/>
        <v>0.12</v>
      </c>
      <c r="AF101" s="67">
        <f t="shared" si="12"/>
        <v>0</v>
      </c>
    </row>
    <row r="102" spans="1:32" ht="46.8" hidden="1">
      <c r="A102" s="41">
        <f t="shared" si="13"/>
        <v>100</v>
      </c>
      <c r="B102" s="42" t="s">
        <v>206</v>
      </c>
      <c r="C102" s="42" t="s">
        <v>1002</v>
      </c>
      <c r="D102" s="41" t="s">
        <v>1017</v>
      </c>
      <c r="E102" s="41" t="s">
        <v>1152</v>
      </c>
      <c r="F102" s="43" t="s">
        <v>207</v>
      </c>
      <c r="G102" s="41" t="s">
        <v>28</v>
      </c>
      <c r="H102" s="41"/>
      <c r="I102" s="41"/>
      <c r="J102" s="41"/>
      <c r="K102" s="41"/>
      <c r="L102" s="107"/>
      <c r="M102" s="41"/>
      <c r="N102" s="41" t="s">
        <v>32</v>
      </c>
      <c r="O102" s="91">
        <v>0</v>
      </c>
      <c r="P102" s="66">
        <v>0.71</v>
      </c>
      <c r="Q102" s="3">
        <v>0</v>
      </c>
      <c r="R102" s="3"/>
      <c r="S102" s="3"/>
      <c r="T102" s="3"/>
      <c r="U102" s="67">
        <f t="shared" si="7"/>
        <v>0.71</v>
      </c>
      <c r="V102" s="67">
        <f t="shared" si="8"/>
        <v>0</v>
      </c>
      <c r="W102" s="91"/>
      <c r="X102" s="91"/>
      <c r="Y102" s="3"/>
      <c r="Z102" s="67">
        <f t="shared" si="9"/>
        <v>0.71</v>
      </c>
      <c r="AA102" s="67">
        <f t="shared" si="10"/>
        <v>0</v>
      </c>
      <c r="AB102" s="91"/>
      <c r="AC102" s="91"/>
      <c r="AD102" s="3"/>
      <c r="AE102" s="67">
        <f t="shared" si="11"/>
        <v>0.71</v>
      </c>
      <c r="AF102" s="67">
        <f t="shared" si="12"/>
        <v>0</v>
      </c>
    </row>
    <row r="103" spans="1:32" ht="46.8" hidden="1">
      <c r="A103" s="41">
        <f t="shared" si="13"/>
        <v>101</v>
      </c>
      <c r="B103" s="42" t="s">
        <v>208</v>
      </c>
      <c r="C103" s="42" t="s">
        <v>1002</v>
      </c>
      <c r="D103" s="41" t="s">
        <v>1017</v>
      </c>
      <c r="E103" s="41" t="s">
        <v>1153</v>
      </c>
      <c r="F103" s="43" t="s">
        <v>209</v>
      </c>
      <c r="G103" s="41" t="s">
        <v>28</v>
      </c>
      <c r="H103" s="41"/>
      <c r="I103" s="41"/>
      <c r="J103" s="41"/>
      <c r="K103" s="41"/>
      <c r="L103" s="107"/>
      <c r="M103" s="41"/>
      <c r="N103" s="41" t="s">
        <v>32</v>
      </c>
      <c r="O103" s="91">
        <v>0</v>
      </c>
      <c r="P103" s="66">
        <v>0.18</v>
      </c>
      <c r="Q103" s="3">
        <v>0</v>
      </c>
      <c r="R103" s="3"/>
      <c r="S103" s="3"/>
      <c r="T103" s="3"/>
      <c r="U103" s="67">
        <f t="shared" si="7"/>
        <v>0.18</v>
      </c>
      <c r="V103" s="67">
        <f t="shared" si="8"/>
        <v>0</v>
      </c>
      <c r="W103" s="91"/>
      <c r="X103" s="91"/>
      <c r="Y103" s="3"/>
      <c r="Z103" s="67">
        <f t="shared" si="9"/>
        <v>0.18</v>
      </c>
      <c r="AA103" s="67">
        <f t="shared" si="10"/>
        <v>0</v>
      </c>
      <c r="AB103" s="91"/>
      <c r="AC103" s="91"/>
      <c r="AD103" s="3"/>
      <c r="AE103" s="67">
        <f t="shared" si="11"/>
        <v>0.18</v>
      </c>
      <c r="AF103" s="67">
        <f t="shared" si="12"/>
        <v>0</v>
      </c>
    </row>
    <row r="104" spans="1:32" ht="62.4" hidden="1">
      <c r="A104" s="41">
        <f t="shared" si="13"/>
        <v>102</v>
      </c>
      <c r="B104" s="42" t="s">
        <v>210</v>
      </c>
      <c r="C104" s="42" t="s">
        <v>1002</v>
      </c>
      <c r="D104" s="41" t="s">
        <v>1017</v>
      </c>
      <c r="E104" s="41" t="s">
        <v>1154</v>
      </c>
      <c r="F104" s="43" t="s">
        <v>211</v>
      </c>
      <c r="G104" s="41" t="s">
        <v>28</v>
      </c>
      <c r="H104" s="41">
        <v>6</v>
      </c>
      <c r="I104" s="64">
        <v>42229</v>
      </c>
      <c r="J104" s="64">
        <v>42229</v>
      </c>
      <c r="K104" s="64">
        <v>42533</v>
      </c>
      <c r="L104" s="103">
        <v>43.08</v>
      </c>
      <c r="M104" s="41">
        <v>60</v>
      </c>
      <c r="N104" s="41" t="s">
        <v>32</v>
      </c>
      <c r="O104" s="103">
        <v>43.08</v>
      </c>
      <c r="P104" s="66">
        <v>5.92</v>
      </c>
      <c r="Q104" s="3">
        <v>0</v>
      </c>
      <c r="R104" s="3"/>
      <c r="S104" s="3"/>
      <c r="T104" s="3"/>
      <c r="U104" s="67">
        <f t="shared" si="7"/>
        <v>5.92</v>
      </c>
      <c r="V104" s="67">
        <f t="shared" si="8"/>
        <v>0</v>
      </c>
      <c r="W104" s="91"/>
      <c r="X104" s="91"/>
      <c r="Y104" s="3"/>
      <c r="Z104" s="67">
        <f t="shared" si="9"/>
        <v>5.92</v>
      </c>
      <c r="AA104" s="67">
        <f t="shared" si="10"/>
        <v>0</v>
      </c>
      <c r="AB104" s="91"/>
      <c r="AC104" s="91"/>
      <c r="AD104" s="3"/>
      <c r="AE104" s="67">
        <f t="shared" si="11"/>
        <v>5.92</v>
      </c>
      <c r="AF104" s="67">
        <f t="shared" si="12"/>
        <v>0</v>
      </c>
    </row>
    <row r="105" spans="1:32" ht="46.8" hidden="1">
      <c r="A105" s="41">
        <f t="shared" si="13"/>
        <v>103</v>
      </c>
      <c r="B105" s="42" t="s">
        <v>214</v>
      </c>
      <c r="C105" s="42" t="s">
        <v>1002</v>
      </c>
      <c r="D105" s="34" t="s">
        <v>1017</v>
      </c>
      <c r="E105" s="41" t="s">
        <v>1155</v>
      </c>
      <c r="F105" s="43" t="s">
        <v>215</v>
      </c>
      <c r="G105" s="41" t="s">
        <v>28</v>
      </c>
      <c r="H105" s="41"/>
      <c r="I105" s="41"/>
      <c r="J105" s="41"/>
      <c r="K105" s="41"/>
      <c r="L105" s="107"/>
      <c r="M105" s="41"/>
      <c r="N105" s="41" t="s">
        <v>32</v>
      </c>
      <c r="O105" s="91">
        <v>0</v>
      </c>
      <c r="P105" s="66">
        <v>0.21</v>
      </c>
      <c r="Q105" s="3">
        <v>0</v>
      </c>
      <c r="R105" s="3"/>
      <c r="S105" s="3"/>
      <c r="T105" s="3"/>
      <c r="U105" s="67">
        <f t="shared" si="7"/>
        <v>0.21</v>
      </c>
      <c r="V105" s="67">
        <f t="shared" si="8"/>
        <v>0</v>
      </c>
      <c r="W105" s="91"/>
      <c r="X105" s="91"/>
      <c r="Y105" s="3"/>
      <c r="Z105" s="67">
        <f t="shared" si="9"/>
        <v>0.21</v>
      </c>
      <c r="AA105" s="67">
        <f t="shared" si="10"/>
        <v>0</v>
      </c>
      <c r="AB105" s="91"/>
      <c r="AC105" s="91"/>
      <c r="AD105" s="3"/>
      <c r="AE105" s="67">
        <f t="shared" si="11"/>
        <v>0.21</v>
      </c>
      <c r="AF105" s="67">
        <f t="shared" si="12"/>
        <v>0</v>
      </c>
    </row>
    <row r="106" spans="1:32" ht="46.8" hidden="1">
      <c r="A106" s="41">
        <f t="shared" si="13"/>
        <v>104</v>
      </c>
      <c r="B106" s="42" t="s">
        <v>216</v>
      </c>
      <c r="C106" s="42" t="s">
        <v>1002</v>
      </c>
      <c r="D106" s="34" t="s">
        <v>1017</v>
      </c>
      <c r="E106" s="41" t="s">
        <v>1156</v>
      </c>
      <c r="F106" s="43" t="s">
        <v>217</v>
      </c>
      <c r="G106" s="41" t="s">
        <v>28</v>
      </c>
      <c r="H106" s="41"/>
      <c r="I106" s="41"/>
      <c r="J106" s="41"/>
      <c r="K106" s="41"/>
      <c r="L106" s="107"/>
      <c r="M106" s="41"/>
      <c r="N106" s="41" t="s">
        <v>32</v>
      </c>
      <c r="O106" s="91">
        <v>0</v>
      </c>
      <c r="P106" s="66">
        <v>0.13</v>
      </c>
      <c r="Q106" s="3">
        <v>0</v>
      </c>
      <c r="R106" s="3"/>
      <c r="S106" s="3"/>
      <c r="T106" s="3"/>
      <c r="U106" s="67">
        <f t="shared" si="7"/>
        <v>0.13</v>
      </c>
      <c r="V106" s="67">
        <f t="shared" si="8"/>
        <v>0</v>
      </c>
      <c r="W106" s="91"/>
      <c r="X106" s="91"/>
      <c r="Y106" s="3"/>
      <c r="Z106" s="67">
        <f t="shared" si="9"/>
        <v>0.13</v>
      </c>
      <c r="AA106" s="67">
        <f t="shared" si="10"/>
        <v>0</v>
      </c>
      <c r="AB106" s="91"/>
      <c r="AC106" s="91"/>
      <c r="AD106" s="3"/>
      <c r="AE106" s="67">
        <f t="shared" si="11"/>
        <v>0.13</v>
      </c>
      <c r="AF106" s="67">
        <f t="shared" si="12"/>
        <v>0</v>
      </c>
    </row>
    <row r="107" spans="1:32" ht="62.4" hidden="1">
      <c r="A107" s="41">
        <f t="shared" si="13"/>
        <v>105</v>
      </c>
      <c r="B107" s="42" t="s">
        <v>218</v>
      </c>
      <c r="C107" s="42" t="s">
        <v>1002</v>
      </c>
      <c r="D107" s="41" t="s">
        <v>1017</v>
      </c>
      <c r="E107" s="41" t="s">
        <v>1157</v>
      </c>
      <c r="F107" s="43" t="s">
        <v>219</v>
      </c>
      <c r="G107" s="41" t="s">
        <v>28</v>
      </c>
      <c r="H107" s="41"/>
      <c r="I107" s="41"/>
      <c r="J107" s="41"/>
      <c r="K107" s="41"/>
      <c r="L107" s="107"/>
      <c r="M107" s="41"/>
      <c r="N107" s="41" t="s">
        <v>32</v>
      </c>
      <c r="O107" s="91">
        <v>0</v>
      </c>
      <c r="P107" s="66">
        <v>1.45</v>
      </c>
      <c r="Q107" s="3">
        <v>0</v>
      </c>
      <c r="R107" s="3"/>
      <c r="S107" s="3"/>
      <c r="T107" s="3"/>
      <c r="U107" s="67">
        <f t="shared" si="7"/>
        <v>1.45</v>
      </c>
      <c r="V107" s="67">
        <f t="shared" si="8"/>
        <v>0</v>
      </c>
      <c r="W107" s="91"/>
      <c r="X107" s="91"/>
      <c r="Y107" s="3"/>
      <c r="Z107" s="67">
        <f t="shared" si="9"/>
        <v>1.45</v>
      </c>
      <c r="AA107" s="67">
        <f t="shared" si="10"/>
        <v>0</v>
      </c>
      <c r="AB107" s="91"/>
      <c r="AC107" s="91"/>
      <c r="AD107" s="3"/>
      <c r="AE107" s="67">
        <f t="shared" si="11"/>
        <v>1.45</v>
      </c>
      <c r="AF107" s="67">
        <f t="shared" si="12"/>
        <v>0</v>
      </c>
    </row>
    <row r="108" spans="1:32" ht="46.8" hidden="1">
      <c r="A108" s="41">
        <f t="shared" si="13"/>
        <v>106</v>
      </c>
      <c r="B108" s="42" t="s">
        <v>220</v>
      </c>
      <c r="C108" s="42" t="s">
        <v>1002</v>
      </c>
      <c r="D108" s="41" t="s">
        <v>1017</v>
      </c>
      <c r="E108" s="41" t="s">
        <v>1158</v>
      </c>
      <c r="F108" s="43" t="s">
        <v>221</v>
      </c>
      <c r="G108" s="41" t="s">
        <v>28</v>
      </c>
      <c r="H108" s="41"/>
      <c r="I108" s="41"/>
      <c r="J108" s="41"/>
      <c r="K108" s="41"/>
      <c r="L108" s="107"/>
      <c r="M108" s="41"/>
      <c r="N108" s="41" t="s">
        <v>32</v>
      </c>
      <c r="O108" s="91">
        <v>0</v>
      </c>
      <c r="P108" s="66">
        <v>1.27</v>
      </c>
      <c r="Q108" s="3">
        <v>0</v>
      </c>
      <c r="R108" s="3"/>
      <c r="S108" s="3"/>
      <c r="T108" s="3"/>
      <c r="U108" s="67">
        <f t="shared" si="7"/>
        <v>1.27</v>
      </c>
      <c r="V108" s="67">
        <f t="shared" si="8"/>
        <v>0</v>
      </c>
      <c r="W108" s="91"/>
      <c r="X108" s="91"/>
      <c r="Y108" s="3"/>
      <c r="Z108" s="67">
        <f t="shared" si="9"/>
        <v>1.27</v>
      </c>
      <c r="AA108" s="67">
        <f t="shared" si="10"/>
        <v>0</v>
      </c>
      <c r="AB108" s="91"/>
      <c r="AC108" s="91"/>
      <c r="AD108" s="3"/>
      <c r="AE108" s="67">
        <f t="shared" si="11"/>
        <v>1.27</v>
      </c>
      <c r="AF108" s="67">
        <f t="shared" si="12"/>
        <v>0</v>
      </c>
    </row>
    <row r="109" spans="1:32" ht="62.4" hidden="1">
      <c r="A109" s="41">
        <f t="shared" si="13"/>
        <v>107</v>
      </c>
      <c r="B109" s="42" t="s">
        <v>997</v>
      </c>
      <c r="C109" s="42" t="s">
        <v>1002</v>
      </c>
      <c r="D109" s="34" t="s">
        <v>1017</v>
      </c>
      <c r="E109" s="41" t="s">
        <v>1159</v>
      </c>
      <c r="F109" s="43" t="s">
        <v>222</v>
      </c>
      <c r="G109" s="41" t="s">
        <v>28</v>
      </c>
      <c r="H109" s="41"/>
      <c r="I109" s="41"/>
      <c r="J109" s="41"/>
      <c r="K109" s="41"/>
      <c r="L109" s="107"/>
      <c r="M109" s="41"/>
      <c r="N109" s="41" t="s">
        <v>32</v>
      </c>
      <c r="O109" s="91">
        <v>0</v>
      </c>
      <c r="P109" s="66">
        <v>8.4</v>
      </c>
      <c r="Q109" s="3">
        <v>0</v>
      </c>
      <c r="R109" s="3"/>
      <c r="S109" s="3"/>
      <c r="T109" s="3"/>
      <c r="U109" s="67">
        <f t="shared" si="7"/>
        <v>8.4</v>
      </c>
      <c r="V109" s="67">
        <f t="shared" si="8"/>
        <v>0</v>
      </c>
      <c r="W109" s="91"/>
      <c r="X109" s="91"/>
      <c r="Y109" s="3"/>
      <c r="Z109" s="67">
        <f t="shared" si="9"/>
        <v>8.4</v>
      </c>
      <c r="AA109" s="67">
        <f t="shared" si="10"/>
        <v>0</v>
      </c>
      <c r="AB109" s="91"/>
      <c r="AC109" s="91"/>
      <c r="AD109" s="3"/>
      <c r="AE109" s="67">
        <f t="shared" si="11"/>
        <v>8.4</v>
      </c>
      <c r="AF109" s="67">
        <f t="shared" si="12"/>
        <v>0</v>
      </c>
    </row>
    <row r="110" spans="1:32" ht="46.8" hidden="1">
      <c r="A110" s="41">
        <f t="shared" si="13"/>
        <v>108</v>
      </c>
      <c r="B110" s="42" t="s">
        <v>223</v>
      </c>
      <c r="C110" s="42" t="s">
        <v>1002</v>
      </c>
      <c r="D110" s="41" t="s">
        <v>1017</v>
      </c>
      <c r="E110" s="41" t="s">
        <v>1160</v>
      </c>
      <c r="F110" s="43" t="s">
        <v>224</v>
      </c>
      <c r="G110" s="41" t="s">
        <v>28</v>
      </c>
      <c r="H110" s="41">
        <v>3</v>
      </c>
      <c r="I110" s="41" t="s">
        <v>225</v>
      </c>
      <c r="J110" s="41" t="s">
        <v>225</v>
      </c>
      <c r="K110" s="41" t="s">
        <v>226</v>
      </c>
      <c r="L110" s="107">
        <v>31.43</v>
      </c>
      <c r="M110" s="41">
        <v>38.93</v>
      </c>
      <c r="N110" s="41" t="s">
        <v>29</v>
      </c>
      <c r="O110" s="103">
        <v>32.67</v>
      </c>
      <c r="P110" s="66">
        <v>31.88</v>
      </c>
      <c r="Q110" s="3">
        <v>0</v>
      </c>
      <c r="R110" s="3"/>
      <c r="S110" s="3"/>
      <c r="T110" s="3"/>
      <c r="U110" s="67">
        <f t="shared" si="7"/>
        <v>31.88</v>
      </c>
      <c r="V110" s="67">
        <f t="shared" si="8"/>
        <v>0</v>
      </c>
      <c r="W110" s="91"/>
      <c r="X110" s="91"/>
      <c r="Y110" s="3"/>
      <c r="Z110" s="67">
        <f t="shared" si="9"/>
        <v>31.88</v>
      </c>
      <c r="AA110" s="67">
        <f t="shared" si="10"/>
        <v>0</v>
      </c>
      <c r="AB110" s="91"/>
      <c r="AC110" s="91"/>
      <c r="AD110" s="3"/>
      <c r="AE110" s="67">
        <f t="shared" si="11"/>
        <v>31.88</v>
      </c>
      <c r="AF110" s="67">
        <f t="shared" si="12"/>
        <v>0</v>
      </c>
    </row>
    <row r="111" spans="1:32" ht="46.8" hidden="1">
      <c r="A111" s="41">
        <f t="shared" si="13"/>
        <v>109</v>
      </c>
      <c r="B111" s="42" t="s">
        <v>227</v>
      </c>
      <c r="C111" s="42" t="s">
        <v>1002</v>
      </c>
      <c r="D111" s="41" t="s">
        <v>1017</v>
      </c>
      <c r="E111" s="41" t="s">
        <v>1161</v>
      </c>
      <c r="F111" s="43" t="s">
        <v>228</v>
      </c>
      <c r="G111" s="41" t="s">
        <v>28</v>
      </c>
      <c r="H111" s="41"/>
      <c r="I111" s="41"/>
      <c r="J111" s="41"/>
      <c r="K111" s="41"/>
      <c r="L111" s="107"/>
      <c r="M111" s="41"/>
      <c r="N111" s="41" t="s">
        <v>29</v>
      </c>
      <c r="O111" s="91">
        <v>0</v>
      </c>
      <c r="P111" s="66">
        <v>9.56</v>
      </c>
      <c r="Q111" s="3">
        <v>0</v>
      </c>
      <c r="R111" s="3"/>
      <c r="S111" s="3"/>
      <c r="T111" s="3"/>
      <c r="U111" s="67">
        <f t="shared" si="7"/>
        <v>9.56</v>
      </c>
      <c r="V111" s="67">
        <f t="shared" si="8"/>
        <v>0</v>
      </c>
      <c r="W111" s="91"/>
      <c r="X111" s="91"/>
      <c r="Y111" s="3"/>
      <c r="Z111" s="67">
        <f t="shared" si="9"/>
        <v>9.56</v>
      </c>
      <c r="AA111" s="67">
        <f t="shared" si="10"/>
        <v>0</v>
      </c>
      <c r="AB111" s="91"/>
      <c r="AC111" s="91"/>
      <c r="AD111" s="3"/>
      <c r="AE111" s="67">
        <f t="shared" si="11"/>
        <v>9.56</v>
      </c>
      <c r="AF111" s="67">
        <f t="shared" si="12"/>
        <v>0</v>
      </c>
    </row>
    <row r="112" spans="1:32" ht="46.8" hidden="1">
      <c r="A112" s="41">
        <f t="shared" si="13"/>
        <v>110</v>
      </c>
      <c r="B112" s="42" t="s">
        <v>229</v>
      </c>
      <c r="C112" s="42" t="s">
        <v>1002</v>
      </c>
      <c r="D112" s="34" t="s">
        <v>1017</v>
      </c>
      <c r="E112" s="41" t="s">
        <v>1162</v>
      </c>
      <c r="F112" s="43" t="s">
        <v>230</v>
      </c>
      <c r="G112" s="41" t="s">
        <v>28</v>
      </c>
      <c r="H112" s="41">
        <v>2</v>
      </c>
      <c r="I112" s="41" t="s">
        <v>231</v>
      </c>
      <c r="J112" s="41" t="s">
        <v>231</v>
      </c>
      <c r="K112" s="41" t="s">
        <v>232</v>
      </c>
      <c r="L112" s="107">
        <v>16.329999999999998</v>
      </c>
      <c r="M112" s="41"/>
      <c r="N112" s="41" t="s">
        <v>29</v>
      </c>
      <c r="O112" s="103">
        <v>15.97</v>
      </c>
      <c r="P112" s="66">
        <v>16.41</v>
      </c>
      <c r="Q112" s="3">
        <v>0</v>
      </c>
      <c r="R112" s="3"/>
      <c r="S112" s="3"/>
      <c r="T112" s="3"/>
      <c r="U112" s="67">
        <f t="shared" si="7"/>
        <v>16.41</v>
      </c>
      <c r="V112" s="67">
        <f t="shared" si="8"/>
        <v>0</v>
      </c>
      <c r="W112" s="91"/>
      <c r="X112" s="91"/>
      <c r="Y112" s="3"/>
      <c r="Z112" s="67">
        <f t="shared" si="9"/>
        <v>16.41</v>
      </c>
      <c r="AA112" s="67">
        <f t="shared" si="10"/>
        <v>0</v>
      </c>
      <c r="AB112" s="91"/>
      <c r="AC112" s="91"/>
      <c r="AD112" s="3"/>
      <c r="AE112" s="67">
        <f t="shared" si="11"/>
        <v>16.41</v>
      </c>
      <c r="AF112" s="67">
        <f t="shared" si="12"/>
        <v>0</v>
      </c>
    </row>
    <row r="113" spans="1:32" ht="46.8" hidden="1">
      <c r="A113" s="41">
        <f t="shared" si="13"/>
        <v>111</v>
      </c>
      <c r="B113" s="42" t="s">
        <v>233</v>
      </c>
      <c r="C113" s="42" t="s">
        <v>1002</v>
      </c>
      <c r="D113" s="41" t="s">
        <v>1017</v>
      </c>
      <c r="E113" s="41" t="s">
        <v>1163</v>
      </c>
      <c r="F113" s="43" t="s">
        <v>234</v>
      </c>
      <c r="G113" s="41" t="s">
        <v>28</v>
      </c>
      <c r="H113" s="41">
        <v>1</v>
      </c>
      <c r="I113" s="41" t="s">
        <v>231</v>
      </c>
      <c r="J113" s="41" t="s">
        <v>231</v>
      </c>
      <c r="K113" s="41" t="s">
        <v>232</v>
      </c>
      <c r="L113" s="107">
        <v>10</v>
      </c>
      <c r="M113" s="41"/>
      <c r="N113" s="41" t="s">
        <v>29</v>
      </c>
      <c r="O113" s="103">
        <v>11.47</v>
      </c>
      <c r="P113" s="66">
        <v>0.25</v>
      </c>
      <c r="Q113" s="3">
        <v>0</v>
      </c>
      <c r="R113" s="3"/>
      <c r="S113" s="3"/>
      <c r="T113" s="3"/>
      <c r="U113" s="67">
        <f t="shared" si="7"/>
        <v>0.25</v>
      </c>
      <c r="V113" s="67">
        <f t="shared" si="8"/>
        <v>0</v>
      </c>
      <c r="W113" s="91"/>
      <c r="X113" s="91"/>
      <c r="Y113" s="3"/>
      <c r="Z113" s="67">
        <f t="shared" si="9"/>
        <v>0.25</v>
      </c>
      <c r="AA113" s="67">
        <f t="shared" si="10"/>
        <v>0</v>
      </c>
      <c r="AB113" s="91"/>
      <c r="AC113" s="91"/>
      <c r="AD113" s="3"/>
      <c r="AE113" s="67">
        <f t="shared" si="11"/>
        <v>0.25</v>
      </c>
      <c r="AF113" s="67">
        <f t="shared" si="12"/>
        <v>0</v>
      </c>
    </row>
    <row r="114" spans="1:32" ht="46.8" hidden="1">
      <c r="A114" s="41">
        <f t="shared" si="13"/>
        <v>112</v>
      </c>
      <c r="B114" s="42" t="s">
        <v>235</v>
      </c>
      <c r="C114" s="42" t="s">
        <v>1002</v>
      </c>
      <c r="D114" s="41" t="s">
        <v>1017</v>
      </c>
      <c r="E114" s="41" t="s">
        <v>1164</v>
      </c>
      <c r="F114" s="43" t="s">
        <v>236</v>
      </c>
      <c r="G114" s="41" t="s">
        <v>28</v>
      </c>
      <c r="H114" s="41"/>
      <c r="I114" s="41"/>
      <c r="J114" s="41"/>
      <c r="K114" s="41"/>
      <c r="L114" s="107"/>
      <c r="M114" s="41"/>
      <c r="N114" s="41" t="s">
        <v>32</v>
      </c>
      <c r="O114" s="103">
        <v>112.73</v>
      </c>
      <c r="P114" s="66">
        <v>111.84</v>
      </c>
      <c r="Q114" s="3">
        <v>0</v>
      </c>
      <c r="R114" s="3"/>
      <c r="S114" s="3"/>
      <c r="T114" s="3"/>
      <c r="U114" s="67">
        <f t="shared" si="7"/>
        <v>111.84</v>
      </c>
      <c r="V114" s="67">
        <f t="shared" si="8"/>
        <v>0</v>
      </c>
      <c r="W114" s="91"/>
      <c r="X114" s="91"/>
      <c r="Y114" s="3"/>
      <c r="Z114" s="67">
        <f t="shared" si="9"/>
        <v>111.84</v>
      </c>
      <c r="AA114" s="67">
        <f t="shared" si="10"/>
        <v>0</v>
      </c>
      <c r="AB114" s="91"/>
      <c r="AC114" s="91"/>
      <c r="AD114" s="3"/>
      <c r="AE114" s="67">
        <f t="shared" si="11"/>
        <v>111.84</v>
      </c>
      <c r="AF114" s="67">
        <f t="shared" si="12"/>
        <v>0</v>
      </c>
    </row>
    <row r="115" spans="1:32" ht="46.8" hidden="1">
      <c r="A115" s="41">
        <f t="shared" si="13"/>
        <v>113</v>
      </c>
      <c r="B115" s="42" t="s">
        <v>237</v>
      </c>
      <c r="C115" s="42" t="s">
        <v>1002</v>
      </c>
      <c r="D115" s="34" t="s">
        <v>1017</v>
      </c>
      <c r="E115" s="41" t="s">
        <v>1165</v>
      </c>
      <c r="F115" s="43" t="s">
        <v>238</v>
      </c>
      <c r="G115" s="41" t="s">
        <v>28</v>
      </c>
      <c r="H115" s="41"/>
      <c r="I115" s="41"/>
      <c r="J115" s="41"/>
      <c r="K115" s="41"/>
      <c r="L115" s="107"/>
      <c r="M115" s="41"/>
      <c r="N115" s="41" t="s">
        <v>29</v>
      </c>
      <c r="O115" s="91">
        <v>0</v>
      </c>
      <c r="P115" s="66">
        <v>0.55000000000000004</v>
      </c>
      <c r="Q115" s="3">
        <v>0</v>
      </c>
      <c r="R115" s="3"/>
      <c r="S115" s="3"/>
      <c r="T115" s="3"/>
      <c r="U115" s="67">
        <f t="shared" si="7"/>
        <v>0.55000000000000004</v>
      </c>
      <c r="V115" s="67">
        <f t="shared" si="8"/>
        <v>0</v>
      </c>
      <c r="W115" s="91"/>
      <c r="X115" s="91"/>
      <c r="Y115" s="3"/>
      <c r="Z115" s="67">
        <f t="shared" si="9"/>
        <v>0.55000000000000004</v>
      </c>
      <c r="AA115" s="67">
        <f t="shared" si="10"/>
        <v>0</v>
      </c>
      <c r="AB115" s="91"/>
      <c r="AC115" s="91"/>
      <c r="AD115" s="3"/>
      <c r="AE115" s="67">
        <f t="shared" si="11"/>
        <v>0.55000000000000004</v>
      </c>
      <c r="AF115" s="67">
        <f t="shared" si="12"/>
        <v>0</v>
      </c>
    </row>
    <row r="116" spans="1:32" ht="46.8" hidden="1">
      <c r="A116" s="41">
        <f t="shared" si="13"/>
        <v>114</v>
      </c>
      <c r="B116" s="42" t="s">
        <v>239</v>
      </c>
      <c r="C116" s="42" t="s">
        <v>1002</v>
      </c>
      <c r="D116" s="34" t="s">
        <v>1017</v>
      </c>
      <c r="E116" s="41" t="s">
        <v>1166</v>
      </c>
      <c r="F116" s="43" t="s">
        <v>240</v>
      </c>
      <c r="G116" s="41" t="s">
        <v>28</v>
      </c>
      <c r="H116" s="41"/>
      <c r="I116" s="41"/>
      <c r="J116" s="41"/>
      <c r="K116" s="41"/>
      <c r="L116" s="107"/>
      <c r="M116" s="41"/>
      <c r="N116" s="41" t="s">
        <v>29</v>
      </c>
      <c r="O116" s="91">
        <v>0</v>
      </c>
      <c r="P116" s="3">
        <v>0</v>
      </c>
      <c r="Q116" s="3">
        <v>0</v>
      </c>
      <c r="R116" s="3"/>
      <c r="S116" s="3"/>
      <c r="T116" s="3"/>
      <c r="U116" s="67">
        <f t="shared" si="7"/>
        <v>0</v>
      </c>
      <c r="V116" s="67">
        <f t="shared" si="8"/>
        <v>0</v>
      </c>
      <c r="W116" s="91"/>
      <c r="X116" s="91"/>
      <c r="Y116" s="3"/>
      <c r="Z116" s="67">
        <f t="shared" si="9"/>
        <v>0</v>
      </c>
      <c r="AA116" s="67">
        <f t="shared" si="10"/>
        <v>0</v>
      </c>
      <c r="AB116" s="91"/>
      <c r="AC116" s="91"/>
      <c r="AD116" s="3"/>
      <c r="AE116" s="67">
        <f t="shared" si="11"/>
        <v>0</v>
      </c>
      <c r="AF116" s="67">
        <f t="shared" si="12"/>
        <v>0</v>
      </c>
    </row>
    <row r="117" spans="1:32" ht="46.8" hidden="1">
      <c r="A117" s="41">
        <f t="shared" si="13"/>
        <v>115</v>
      </c>
      <c r="B117" s="42" t="s">
        <v>241</v>
      </c>
      <c r="C117" s="42" t="s">
        <v>1002</v>
      </c>
      <c r="D117" s="34" t="s">
        <v>1017</v>
      </c>
      <c r="E117" s="41" t="s">
        <v>1167</v>
      </c>
      <c r="F117" s="43" t="s">
        <v>242</v>
      </c>
      <c r="G117" s="41" t="s">
        <v>28</v>
      </c>
      <c r="H117" s="41"/>
      <c r="I117" s="41"/>
      <c r="J117" s="41"/>
      <c r="K117" s="41"/>
      <c r="L117" s="107"/>
      <c r="M117" s="41"/>
      <c r="N117" s="41" t="s">
        <v>29</v>
      </c>
      <c r="O117" s="91">
        <v>0</v>
      </c>
      <c r="P117" s="3">
        <v>0</v>
      </c>
      <c r="Q117" s="3">
        <v>0</v>
      </c>
      <c r="R117" s="3"/>
      <c r="S117" s="3"/>
      <c r="T117" s="3"/>
      <c r="U117" s="67">
        <f t="shared" si="7"/>
        <v>0</v>
      </c>
      <c r="V117" s="67">
        <f t="shared" si="8"/>
        <v>0</v>
      </c>
      <c r="W117" s="91"/>
      <c r="X117" s="91"/>
      <c r="Y117" s="3"/>
      <c r="Z117" s="67">
        <f t="shared" si="9"/>
        <v>0</v>
      </c>
      <c r="AA117" s="67">
        <f t="shared" si="10"/>
        <v>0</v>
      </c>
      <c r="AB117" s="91"/>
      <c r="AC117" s="91"/>
      <c r="AD117" s="3"/>
      <c r="AE117" s="67">
        <f t="shared" si="11"/>
        <v>0</v>
      </c>
      <c r="AF117" s="67">
        <f t="shared" si="12"/>
        <v>0</v>
      </c>
    </row>
    <row r="118" spans="1:32" ht="46.8" hidden="1">
      <c r="A118" s="41">
        <f t="shared" si="13"/>
        <v>116</v>
      </c>
      <c r="B118" s="42" t="s">
        <v>243</v>
      </c>
      <c r="C118" s="42" t="s">
        <v>1002</v>
      </c>
      <c r="D118" s="41" t="s">
        <v>1017</v>
      </c>
      <c r="E118" s="41" t="s">
        <v>1168</v>
      </c>
      <c r="F118" s="43" t="s">
        <v>244</v>
      </c>
      <c r="G118" s="41" t="s">
        <v>28</v>
      </c>
      <c r="H118" s="41"/>
      <c r="I118" s="41"/>
      <c r="J118" s="41"/>
      <c r="K118" s="41"/>
      <c r="L118" s="107"/>
      <c r="M118" s="41"/>
      <c r="N118" s="41" t="s">
        <v>32</v>
      </c>
      <c r="O118" s="91">
        <v>0</v>
      </c>
      <c r="P118" s="3">
        <v>0</v>
      </c>
      <c r="Q118" s="3">
        <v>0</v>
      </c>
      <c r="R118" s="3"/>
      <c r="S118" s="3"/>
      <c r="T118" s="3"/>
      <c r="U118" s="67">
        <f t="shared" si="7"/>
        <v>0</v>
      </c>
      <c r="V118" s="67">
        <f t="shared" si="8"/>
        <v>0</v>
      </c>
      <c r="W118" s="91"/>
      <c r="X118" s="91"/>
      <c r="Y118" s="3"/>
      <c r="Z118" s="67">
        <f t="shared" si="9"/>
        <v>0</v>
      </c>
      <c r="AA118" s="67">
        <f t="shared" si="10"/>
        <v>0</v>
      </c>
      <c r="AB118" s="91"/>
      <c r="AC118" s="91"/>
      <c r="AD118" s="3"/>
      <c r="AE118" s="67">
        <f t="shared" si="11"/>
        <v>0</v>
      </c>
      <c r="AF118" s="67">
        <f t="shared" si="12"/>
        <v>0</v>
      </c>
    </row>
    <row r="119" spans="1:32" ht="46.8" hidden="1">
      <c r="A119" s="41">
        <f t="shared" si="13"/>
        <v>117</v>
      </c>
      <c r="B119" s="42" t="s">
        <v>245</v>
      </c>
      <c r="C119" s="42" t="s">
        <v>1002</v>
      </c>
      <c r="D119" s="34" t="s">
        <v>1017</v>
      </c>
      <c r="E119" s="41" t="s">
        <v>1169</v>
      </c>
      <c r="F119" s="43" t="s">
        <v>246</v>
      </c>
      <c r="G119" s="41" t="s">
        <v>28</v>
      </c>
      <c r="H119" s="41"/>
      <c r="I119" s="41"/>
      <c r="J119" s="41"/>
      <c r="K119" s="41"/>
      <c r="L119" s="107"/>
      <c r="M119" s="41"/>
      <c r="N119" s="41" t="s">
        <v>29</v>
      </c>
      <c r="O119" s="91">
        <v>0</v>
      </c>
      <c r="P119" s="3">
        <v>0</v>
      </c>
      <c r="Q119" s="3">
        <v>0</v>
      </c>
      <c r="R119" s="3"/>
      <c r="S119" s="3"/>
      <c r="T119" s="3"/>
      <c r="U119" s="67">
        <f t="shared" si="7"/>
        <v>0</v>
      </c>
      <c r="V119" s="67">
        <f t="shared" si="8"/>
        <v>0</v>
      </c>
      <c r="W119" s="91"/>
      <c r="X119" s="91"/>
      <c r="Y119" s="3"/>
      <c r="Z119" s="67">
        <f t="shared" si="9"/>
        <v>0</v>
      </c>
      <c r="AA119" s="67">
        <f t="shared" si="10"/>
        <v>0</v>
      </c>
      <c r="AB119" s="91"/>
      <c r="AC119" s="91"/>
      <c r="AD119" s="3"/>
      <c r="AE119" s="67">
        <f t="shared" si="11"/>
        <v>0</v>
      </c>
      <c r="AF119" s="67">
        <f t="shared" si="12"/>
        <v>0</v>
      </c>
    </row>
    <row r="120" spans="1:32" ht="46.8" hidden="1">
      <c r="A120" s="41">
        <f t="shared" si="13"/>
        <v>118</v>
      </c>
      <c r="B120" s="42" t="s">
        <v>247</v>
      </c>
      <c r="C120" s="42" t="s">
        <v>1002</v>
      </c>
      <c r="D120" s="41" t="s">
        <v>1017</v>
      </c>
      <c r="E120" s="41" t="s">
        <v>1170</v>
      </c>
      <c r="F120" s="43" t="s">
        <v>248</v>
      </c>
      <c r="G120" s="41" t="s">
        <v>28</v>
      </c>
      <c r="H120" s="41"/>
      <c r="I120" s="41"/>
      <c r="J120" s="41"/>
      <c r="K120" s="41"/>
      <c r="L120" s="107"/>
      <c r="M120" s="41"/>
      <c r="N120" s="41" t="s">
        <v>29</v>
      </c>
      <c r="O120" s="91">
        <v>0</v>
      </c>
      <c r="P120" s="3">
        <v>0</v>
      </c>
      <c r="Q120" s="66">
        <v>0.14000000000000001</v>
      </c>
      <c r="R120" s="3"/>
      <c r="S120" s="3"/>
      <c r="T120" s="3"/>
      <c r="U120" s="67">
        <f t="shared" si="7"/>
        <v>0</v>
      </c>
      <c r="V120" s="67">
        <f t="shared" si="8"/>
        <v>0.14000000000000001</v>
      </c>
      <c r="W120" s="91"/>
      <c r="X120" s="91"/>
      <c r="Y120" s="3"/>
      <c r="Z120" s="67">
        <f t="shared" si="9"/>
        <v>0</v>
      </c>
      <c r="AA120" s="67">
        <f t="shared" si="10"/>
        <v>0.14000000000000001</v>
      </c>
      <c r="AB120" s="91"/>
      <c r="AC120" s="91"/>
      <c r="AD120" s="3"/>
      <c r="AE120" s="67">
        <f t="shared" si="11"/>
        <v>0</v>
      </c>
      <c r="AF120" s="67">
        <f t="shared" si="12"/>
        <v>0.14000000000000001</v>
      </c>
    </row>
    <row r="121" spans="1:32" ht="62.4" hidden="1">
      <c r="A121" s="41">
        <f t="shared" si="13"/>
        <v>119</v>
      </c>
      <c r="B121" s="34"/>
      <c r="C121" s="42" t="s">
        <v>1002</v>
      </c>
      <c r="D121" s="34" t="s">
        <v>1017</v>
      </c>
      <c r="E121" s="41" t="s">
        <v>1171</v>
      </c>
      <c r="F121" s="43" t="s">
        <v>249</v>
      </c>
      <c r="G121" s="41" t="s">
        <v>28</v>
      </c>
      <c r="H121" s="41"/>
      <c r="I121" s="41"/>
      <c r="J121" s="41"/>
      <c r="K121" s="41"/>
      <c r="L121" s="107"/>
      <c r="M121" s="41"/>
      <c r="N121" s="41" t="s">
        <v>67</v>
      </c>
      <c r="O121" s="91">
        <v>0</v>
      </c>
      <c r="P121" s="3">
        <v>0</v>
      </c>
      <c r="Q121" s="3">
        <v>0</v>
      </c>
      <c r="R121" s="3"/>
      <c r="S121" s="3"/>
      <c r="T121" s="3"/>
      <c r="U121" s="67">
        <f t="shared" si="7"/>
        <v>0</v>
      </c>
      <c r="V121" s="67">
        <f t="shared" si="8"/>
        <v>0</v>
      </c>
      <c r="W121" s="91"/>
      <c r="X121" s="91"/>
      <c r="Y121" s="3"/>
      <c r="Z121" s="67">
        <f t="shared" si="9"/>
        <v>0</v>
      </c>
      <c r="AA121" s="67">
        <f t="shared" si="10"/>
        <v>0</v>
      </c>
      <c r="AB121" s="91"/>
      <c r="AC121" s="91"/>
      <c r="AD121" s="3"/>
      <c r="AE121" s="67">
        <f t="shared" si="11"/>
        <v>0</v>
      </c>
      <c r="AF121" s="67">
        <f t="shared" si="12"/>
        <v>0</v>
      </c>
    </row>
    <row r="122" spans="1:32" ht="46.8" hidden="1">
      <c r="A122" s="41">
        <f t="shared" si="13"/>
        <v>120</v>
      </c>
      <c r="B122" s="34"/>
      <c r="C122" s="42" t="s">
        <v>1002</v>
      </c>
      <c r="D122" s="34" t="s">
        <v>1017</v>
      </c>
      <c r="E122" s="41" t="s">
        <v>1172</v>
      </c>
      <c r="F122" s="43" t="s">
        <v>250</v>
      </c>
      <c r="G122" s="41" t="s">
        <v>28</v>
      </c>
      <c r="H122" s="41"/>
      <c r="I122" s="41"/>
      <c r="J122" s="41"/>
      <c r="K122" s="41"/>
      <c r="L122" s="107"/>
      <c r="M122" s="41"/>
      <c r="N122" s="41" t="s">
        <v>516</v>
      </c>
      <c r="O122" s="91">
        <v>0</v>
      </c>
      <c r="P122" s="3">
        <v>0</v>
      </c>
      <c r="Q122" s="3">
        <v>0</v>
      </c>
      <c r="R122" s="3"/>
      <c r="S122" s="3"/>
      <c r="T122" s="3"/>
      <c r="U122" s="67">
        <f t="shared" si="7"/>
        <v>0</v>
      </c>
      <c r="V122" s="67">
        <f t="shared" si="8"/>
        <v>0</v>
      </c>
      <c r="W122" s="91"/>
      <c r="X122" s="91"/>
      <c r="Y122" s="3"/>
      <c r="Z122" s="67">
        <f t="shared" si="9"/>
        <v>0</v>
      </c>
      <c r="AA122" s="67">
        <f t="shared" si="10"/>
        <v>0</v>
      </c>
      <c r="AB122" s="91"/>
      <c r="AC122" s="91"/>
      <c r="AD122" s="3"/>
      <c r="AE122" s="67">
        <f t="shared" si="11"/>
        <v>0</v>
      </c>
      <c r="AF122" s="67">
        <f t="shared" si="12"/>
        <v>0</v>
      </c>
    </row>
    <row r="123" spans="1:32" ht="78" hidden="1">
      <c r="A123" s="41">
        <f t="shared" si="13"/>
        <v>121</v>
      </c>
      <c r="B123" s="42" t="s">
        <v>251</v>
      </c>
      <c r="C123" s="42" t="s">
        <v>1002</v>
      </c>
      <c r="D123" s="34" t="s">
        <v>1017</v>
      </c>
      <c r="E123" s="41" t="s">
        <v>1173</v>
      </c>
      <c r="F123" s="43" t="s">
        <v>252</v>
      </c>
      <c r="G123" s="41" t="s">
        <v>28</v>
      </c>
      <c r="H123" s="41"/>
      <c r="I123" s="41"/>
      <c r="J123" s="41"/>
      <c r="K123" s="41"/>
      <c r="L123" s="107"/>
      <c r="M123" s="41"/>
      <c r="N123" s="41" t="s">
        <v>516</v>
      </c>
      <c r="O123" s="91">
        <v>0</v>
      </c>
      <c r="P123" s="66">
        <v>7.99</v>
      </c>
      <c r="Q123" s="3">
        <v>0</v>
      </c>
      <c r="R123" s="3"/>
      <c r="S123" s="3"/>
      <c r="T123" s="3"/>
      <c r="U123" s="67">
        <f t="shared" si="7"/>
        <v>7.99</v>
      </c>
      <c r="V123" s="67">
        <f t="shared" si="8"/>
        <v>0</v>
      </c>
      <c r="W123" s="91"/>
      <c r="X123" s="91"/>
      <c r="Y123" s="3"/>
      <c r="Z123" s="67">
        <f t="shared" si="9"/>
        <v>7.99</v>
      </c>
      <c r="AA123" s="67">
        <f t="shared" si="10"/>
        <v>0</v>
      </c>
      <c r="AB123" s="91"/>
      <c r="AC123" s="91"/>
      <c r="AD123" s="3"/>
      <c r="AE123" s="67">
        <f t="shared" si="11"/>
        <v>7.99</v>
      </c>
      <c r="AF123" s="67">
        <f t="shared" si="12"/>
        <v>0</v>
      </c>
    </row>
    <row r="124" spans="1:32" ht="62.4" hidden="1">
      <c r="A124" s="41">
        <f t="shared" si="13"/>
        <v>122</v>
      </c>
      <c r="B124" s="42" t="s">
        <v>253</v>
      </c>
      <c r="C124" s="42" t="s">
        <v>1002</v>
      </c>
      <c r="D124" s="41" t="s">
        <v>1017</v>
      </c>
      <c r="E124" s="41" t="s">
        <v>1174</v>
      </c>
      <c r="F124" s="43" t="s">
        <v>254</v>
      </c>
      <c r="G124" s="41" t="s">
        <v>28</v>
      </c>
      <c r="H124" s="41"/>
      <c r="I124" s="41"/>
      <c r="J124" s="41"/>
      <c r="K124" s="41"/>
      <c r="L124" s="107"/>
      <c r="M124" s="41"/>
      <c r="N124" s="41" t="s">
        <v>516</v>
      </c>
      <c r="O124" s="91">
        <v>0</v>
      </c>
      <c r="P124" s="3">
        <v>0</v>
      </c>
      <c r="Q124" s="66">
        <v>0.31</v>
      </c>
      <c r="R124" s="3"/>
      <c r="S124" s="3"/>
      <c r="T124" s="3"/>
      <c r="U124" s="67">
        <f t="shared" si="7"/>
        <v>0</v>
      </c>
      <c r="V124" s="67">
        <f t="shared" si="8"/>
        <v>0.31</v>
      </c>
      <c r="W124" s="91"/>
      <c r="X124" s="91"/>
      <c r="Y124" s="3"/>
      <c r="Z124" s="67">
        <f t="shared" si="9"/>
        <v>0</v>
      </c>
      <c r="AA124" s="67">
        <f t="shared" si="10"/>
        <v>0.31</v>
      </c>
      <c r="AB124" s="91"/>
      <c r="AC124" s="91"/>
      <c r="AD124" s="3"/>
      <c r="AE124" s="67">
        <f t="shared" si="11"/>
        <v>0</v>
      </c>
      <c r="AF124" s="67">
        <f t="shared" si="12"/>
        <v>0.31</v>
      </c>
    </row>
    <row r="125" spans="1:32" ht="62.4" hidden="1">
      <c r="A125" s="41">
        <f t="shared" si="13"/>
        <v>123</v>
      </c>
      <c r="B125" s="42" t="s">
        <v>255</v>
      </c>
      <c r="C125" s="42" t="s">
        <v>1002</v>
      </c>
      <c r="D125" s="34" t="s">
        <v>1017</v>
      </c>
      <c r="E125" s="41" t="s">
        <v>1175</v>
      </c>
      <c r="F125" s="43" t="s">
        <v>256</v>
      </c>
      <c r="G125" s="41" t="s">
        <v>28</v>
      </c>
      <c r="H125" s="41"/>
      <c r="I125" s="41"/>
      <c r="J125" s="41"/>
      <c r="K125" s="41"/>
      <c r="L125" s="107"/>
      <c r="M125" s="41"/>
      <c r="N125" s="41" t="s">
        <v>516</v>
      </c>
      <c r="O125" s="91">
        <v>0</v>
      </c>
      <c r="P125" s="3">
        <v>0</v>
      </c>
      <c r="Q125" s="3">
        <v>0</v>
      </c>
      <c r="R125" s="3"/>
      <c r="S125" s="3"/>
      <c r="T125" s="3"/>
      <c r="U125" s="67">
        <f t="shared" si="7"/>
        <v>0</v>
      </c>
      <c r="V125" s="67">
        <f t="shared" si="8"/>
        <v>0</v>
      </c>
      <c r="W125" s="91"/>
      <c r="X125" s="91"/>
      <c r="Y125" s="3"/>
      <c r="Z125" s="67">
        <f t="shared" si="9"/>
        <v>0</v>
      </c>
      <c r="AA125" s="67">
        <f t="shared" si="10"/>
        <v>0</v>
      </c>
      <c r="AB125" s="91"/>
      <c r="AC125" s="91"/>
      <c r="AD125" s="3"/>
      <c r="AE125" s="67">
        <f t="shared" si="11"/>
        <v>0</v>
      </c>
      <c r="AF125" s="67">
        <f t="shared" si="12"/>
        <v>0</v>
      </c>
    </row>
    <row r="126" spans="1:32" ht="78">
      <c r="A126" s="41">
        <f t="shared" si="13"/>
        <v>124</v>
      </c>
      <c r="B126" s="41" t="s">
        <v>765</v>
      </c>
      <c r="C126" s="42"/>
      <c r="D126" s="41" t="s">
        <v>1019</v>
      </c>
      <c r="E126" s="41" t="s">
        <v>1176</v>
      </c>
      <c r="F126" s="43" t="s">
        <v>257</v>
      </c>
      <c r="G126" s="41" t="s">
        <v>28</v>
      </c>
      <c r="H126" s="41"/>
      <c r="I126" s="41"/>
      <c r="J126" s="41"/>
      <c r="K126" s="41"/>
      <c r="L126" s="107"/>
      <c r="M126" s="41"/>
      <c r="N126" s="41" t="s">
        <v>516</v>
      </c>
      <c r="O126" s="103">
        <v>7.19</v>
      </c>
      <c r="P126" s="66">
        <v>10.62</v>
      </c>
      <c r="Q126" s="66">
        <v>34.009147400000003</v>
      </c>
      <c r="R126" s="25">
        <v>0.80462120000000004</v>
      </c>
      <c r="S126" s="3"/>
      <c r="T126" s="3"/>
      <c r="U126" s="67">
        <f t="shared" si="7"/>
        <v>10.62</v>
      </c>
      <c r="V126" s="67">
        <f t="shared" si="8"/>
        <v>34.813768600000003</v>
      </c>
      <c r="W126" s="92">
        <v>5.6998E-2</v>
      </c>
      <c r="X126" s="91"/>
      <c r="Y126" s="3"/>
      <c r="Z126" s="67">
        <f t="shared" si="9"/>
        <v>10.62</v>
      </c>
      <c r="AA126" s="67">
        <f t="shared" si="10"/>
        <v>34.870766600000003</v>
      </c>
      <c r="AB126" s="91"/>
      <c r="AC126" s="91"/>
      <c r="AD126" s="3"/>
      <c r="AE126" s="67">
        <f t="shared" si="11"/>
        <v>10.62</v>
      </c>
      <c r="AF126" s="67">
        <f t="shared" si="12"/>
        <v>34.870766600000003</v>
      </c>
    </row>
    <row r="127" spans="1:32" ht="46.8" hidden="1">
      <c r="A127" s="41">
        <f t="shared" si="13"/>
        <v>125</v>
      </c>
      <c r="B127" s="42" t="s">
        <v>258</v>
      </c>
      <c r="C127" s="42" t="s">
        <v>1002</v>
      </c>
      <c r="D127" s="41" t="s">
        <v>1017</v>
      </c>
      <c r="E127" s="41" t="s">
        <v>1177</v>
      </c>
      <c r="F127" s="43" t="s">
        <v>259</v>
      </c>
      <c r="G127" s="41" t="s">
        <v>28</v>
      </c>
      <c r="H127" s="41"/>
      <c r="I127" s="41"/>
      <c r="J127" s="41"/>
      <c r="K127" s="41"/>
      <c r="L127" s="107"/>
      <c r="M127" s="41"/>
      <c r="N127" s="41" t="s">
        <v>516</v>
      </c>
      <c r="O127" s="91">
        <v>0</v>
      </c>
      <c r="P127" s="66">
        <v>15.84</v>
      </c>
      <c r="Q127" s="66">
        <v>7.17</v>
      </c>
      <c r="R127" s="3"/>
      <c r="S127" s="3"/>
      <c r="T127" s="3"/>
      <c r="U127" s="67">
        <f t="shared" si="7"/>
        <v>15.84</v>
      </c>
      <c r="V127" s="67">
        <f t="shared" si="8"/>
        <v>7.17</v>
      </c>
      <c r="W127" s="91"/>
      <c r="X127" s="91"/>
      <c r="Y127" s="3"/>
      <c r="Z127" s="67">
        <f t="shared" si="9"/>
        <v>15.84</v>
      </c>
      <c r="AA127" s="67">
        <f t="shared" si="10"/>
        <v>7.17</v>
      </c>
      <c r="AB127" s="91"/>
      <c r="AC127" s="91"/>
      <c r="AD127" s="3"/>
      <c r="AE127" s="67">
        <f t="shared" si="11"/>
        <v>15.84</v>
      </c>
      <c r="AF127" s="67">
        <f t="shared" si="12"/>
        <v>7.17</v>
      </c>
    </row>
    <row r="128" spans="1:32" ht="62.4" hidden="1">
      <c r="A128" s="41">
        <f t="shared" si="13"/>
        <v>126</v>
      </c>
      <c r="B128" s="42" t="s">
        <v>260</v>
      </c>
      <c r="C128" s="42" t="s">
        <v>1002</v>
      </c>
      <c r="D128" s="41" t="s">
        <v>1017</v>
      </c>
      <c r="E128" s="41" t="s">
        <v>1178</v>
      </c>
      <c r="F128" s="43" t="s">
        <v>261</v>
      </c>
      <c r="G128" s="41" t="s">
        <v>28</v>
      </c>
      <c r="H128" s="41"/>
      <c r="I128" s="41"/>
      <c r="J128" s="41"/>
      <c r="K128" s="41"/>
      <c r="L128" s="107"/>
      <c r="M128" s="41"/>
      <c r="N128" s="41" t="s">
        <v>516</v>
      </c>
      <c r="O128" s="91">
        <v>0</v>
      </c>
      <c r="P128" s="3">
        <v>0</v>
      </c>
      <c r="Q128" s="66">
        <v>1.03</v>
      </c>
      <c r="R128" s="3"/>
      <c r="S128" s="3">
        <v>1.0313268</v>
      </c>
      <c r="T128" s="3"/>
      <c r="U128" s="67">
        <f t="shared" si="7"/>
        <v>1.0313268</v>
      </c>
      <c r="V128" s="79">
        <f t="shared" si="8"/>
        <v>-1.3267999999999613E-3</v>
      </c>
      <c r="W128" s="91"/>
      <c r="X128" s="91"/>
      <c r="Y128" s="3"/>
      <c r="Z128" s="67">
        <f t="shared" si="9"/>
        <v>1.0313268</v>
      </c>
      <c r="AA128" s="67">
        <f t="shared" si="10"/>
        <v>-1.3267999999999613E-3</v>
      </c>
      <c r="AB128" s="91"/>
      <c r="AC128" s="91"/>
      <c r="AD128" s="3"/>
      <c r="AE128" s="67">
        <f t="shared" si="11"/>
        <v>1.0313268</v>
      </c>
      <c r="AF128" s="67">
        <f t="shared" si="12"/>
        <v>-1.3267999999999613E-3</v>
      </c>
    </row>
    <row r="129" spans="1:32" ht="46.8" hidden="1">
      <c r="A129" s="41">
        <f t="shared" si="13"/>
        <v>127</v>
      </c>
      <c r="B129" s="42" t="s">
        <v>262</v>
      </c>
      <c r="C129" s="42" t="s">
        <v>1002</v>
      </c>
      <c r="D129" s="41" t="s">
        <v>1017</v>
      </c>
      <c r="E129" s="41" t="s">
        <v>1179</v>
      </c>
      <c r="F129" s="43" t="s">
        <v>263</v>
      </c>
      <c r="G129" s="41" t="s">
        <v>28</v>
      </c>
      <c r="H129" s="41"/>
      <c r="I129" s="41"/>
      <c r="J129" s="41"/>
      <c r="K129" s="41"/>
      <c r="L129" s="107"/>
      <c r="M129" s="41"/>
      <c r="N129" s="41" t="s">
        <v>516</v>
      </c>
      <c r="O129" s="104">
        <v>3.1</v>
      </c>
      <c r="P129" s="3">
        <v>0</v>
      </c>
      <c r="Q129" s="66">
        <v>3.38</v>
      </c>
      <c r="R129" s="3"/>
      <c r="S129" s="3"/>
      <c r="T129" s="3"/>
      <c r="U129" s="67">
        <f t="shared" si="7"/>
        <v>0</v>
      </c>
      <c r="V129" s="67">
        <f t="shared" si="8"/>
        <v>3.38</v>
      </c>
      <c r="W129" s="91"/>
      <c r="X129" s="91"/>
      <c r="Y129" s="3"/>
      <c r="Z129" s="67">
        <f t="shared" si="9"/>
        <v>0</v>
      </c>
      <c r="AA129" s="67">
        <f t="shared" si="10"/>
        <v>3.38</v>
      </c>
      <c r="AB129" s="91"/>
      <c r="AC129" s="91"/>
      <c r="AD129" s="3"/>
      <c r="AE129" s="67">
        <f t="shared" si="11"/>
        <v>0</v>
      </c>
      <c r="AF129" s="67">
        <f t="shared" si="12"/>
        <v>3.38</v>
      </c>
    </row>
    <row r="130" spans="1:32" ht="62.4" hidden="1">
      <c r="A130" s="41">
        <f t="shared" si="13"/>
        <v>128</v>
      </c>
      <c r="B130" s="42" t="s">
        <v>264</v>
      </c>
      <c r="C130" s="42" t="s">
        <v>1002</v>
      </c>
      <c r="D130" s="34" t="s">
        <v>1017</v>
      </c>
      <c r="E130" s="41" t="s">
        <v>1180</v>
      </c>
      <c r="F130" s="43" t="s">
        <v>265</v>
      </c>
      <c r="G130" s="41" t="s">
        <v>28</v>
      </c>
      <c r="H130" s="41">
        <v>3</v>
      </c>
      <c r="I130" s="41" t="s">
        <v>266</v>
      </c>
      <c r="J130" s="41" t="s">
        <v>266</v>
      </c>
      <c r="K130" s="41" t="s">
        <v>267</v>
      </c>
      <c r="L130" s="107">
        <v>5.49</v>
      </c>
      <c r="M130" s="41">
        <v>5.16</v>
      </c>
      <c r="N130" s="41" t="s">
        <v>516</v>
      </c>
      <c r="O130" s="103">
        <v>4.57</v>
      </c>
      <c r="P130" s="66">
        <v>4.4800000000000004</v>
      </c>
      <c r="Q130" s="3">
        <v>0</v>
      </c>
      <c r="R130" s="3"/>
      <c r="S130" s="3"/>
      <c r="T130" s="3"/>
      <c r="U130" s="67">
        <f t="shared" si="7"/>
        <v>4.4800000000000004</v>
      </c>
      <c r="V130" s="67">
        <f t="shared" si="8"/>
        <v>0</v>
      </c>
      <c r="W130" s="91"/>
      <c r="X130" s="91"/>
      <c r="Y130" s="3"/>
      <c r="Z130" s="67">
        <f t="shared" si="9"/>
        <v>4.4800000000000004</v>
      </c>
      <c r="AA130" s="67">
        <f t="shared" si="10"/>
        <v>0</v>
      </c>
      <c r="AB130" s="91"/>
      <c r="AC130" s="91"/>
      <c r="AD130" s="3"/>
      <c r="AE130" s="67">
        <f t="shared" si="11"/>
        <v>4.4800000000000004</v>
      </c>
      <c r="AF130" s="67">
        <f t="shared" si="12"/>
        <v>0</v>
      </c>
    </row>
    <row r="131" spans="1:32" ht="46.8" hidden="1">
      <c r="A131" s="41">
        <f t="shared" si="13"/>
        <v>129</v>
      </c>
      <c r="B131" s="34"/>
      <c r="C131" s="42" t="s">
        <v>1002</v>
      </c>
      <c r="D131" s="42" t="s">
        <v>1017</v>
      </c>
      <c r="E131" s="41" t="s">
        <v>1181</v>
      </c>
      <c r="F131" s="43" t="s">
        <v>268</v>
      </c>
      <c r="G131" s="41" t="s">
        <v>28</v>
      </c>
      <c r="H131" s="41"/>
      <c r="I131" s="41"/>
      <c r="J131" s="41"/>
      <c r="K131" s="41"/>
      <c r="L131" s="107"/>
      <c r="M131" s="41"/>
      <c r="N131" s="41" t="s">
        <v>516</v>
      </c>
      <c r="O131" s="91">
        <v>0</v>
      </c>
      <c r="P131" s="66">
        <v>0.81</v>
      </c>
      <c r="Q131" s="66">
        <v>16.02</v>
      </c>
      <c r="R131" s="3"/>
      <c r="S131" s="3"/>
      <c r="T131" s="3"/>
      <c r="U131" s="67">
        <f t="shared" si="7"/>
        <v>0.81</v>
      </c>
      <c r="V131" s="67">
        <f t="shared" si="8"/>
        <v>16.02</v>
      </c>
      <c r="W131" s="91"/>
      <c r="X131" s="91"/>
      <c r="Y131" s="3"/>
      <c r="Z131" s="67">
        <f t="shared" si="9"/>
        <v>0.81</v>
      </c>
      <c r="AA131" s="67">
        <f t="shared" si="10"/>
        <v>16.02</v>
      </c>
      <c r="AB131" s="91"/>
      <c r="AC131" s="91"/>
      <c r="AD131" s="3"/>
      <c r="AE131" s="67">
        <f t="shared" si="11"/>
        <v>0.81</v>
      </c>
      <c r="AF131" s="67">
        <f t="shared" si="12"/>
        <v>16.02</v>
      </c>
    </row>
    <row r="132" spans="1:32" ht="46.8" hidden="1">
      <c r="A132" s="41">
        <f t="shared" si="13"/>
        <v>130</v>
      </c>
      <c r="B132" s="34"/>
      <c r="C132" s="42" t="s">
        <v>1002</v>
      </c>
      <c r="D132" s="42" t="s">
        <v>1017</v>
      </c>
      <c r="E132" s="41" t="s">
        <v>1182</v>
      </c>
      <c r="F132" s="43" t="s">
        <v>269</v>
      </c>
      <c r="G132" s="41" t="s">
        <v>28</v>
      </c>
      <c r="H132" s="41"/>
      <c r="I132" s="41"/>
      <c r="J132" s="41"/>
      <c r="K132" s="41"/>
      <c r="L132" s="107"/>
      <c r="M132" s="41"/>
      <c r="N132" s="41" t="s">
        <v>516</v>
      </c>
      <c r="O132" s="91">
        <v>0</v>
      </c>
      <c r="P132" s="3">
        <v>0</v>
      </c>
      <c r="Q132" s="66">
        <v>0.92</v>
      </c>
      <c r="R132" s="3"/>
      <c r="S132" s="3"/>
      <c r="T132" s="3"/>
      <c r="U132" s="67">
        <f t="shared" ref="U132:U195" si="14">P132+S132+T132</f>
        <v>0</v>
      </c>
      <c r="V132" s="67">
        <f t="shared" ref="V132:V195" si="15">Q132+R132-S132-T132</f>
        <v>0.92</v>
      </c>
      <c r="W132" s="91"/>
      <c r="X132" s="91"/>
      <c r="Y132" s="3"/>
      <c r="Z132" s="67">
        <f t="shared" ref="Z132:Z195" si="16">U132+X132+Y132</f>
        <v>0</v>
      </c>
      <c r="AA132" s="67">
        <f t="shared" ref="AA132:AA195" si="17">V132+W132-X132-Y132</f>
        <v>0.92</v>
      </c>
      <c r="AB132" s="91"/>
      <c r="AC132" s="91"/>
      <c r="AD132" s="3"/>
      <c r="AE132" s="67">
        <f t="shared" ref="AE132:AE195" si="18">Z132+AC132+AD132</f>
        <v>0</v>
      </c>
      <c r="AF132" s="67">
        <f t="shared" ref="AF132:AF195" si="19">AA132+AB132-AC132-AD132</f>
        <v>0.92</v>
      </c>
    </row>
    <row r="133" spans="1:32" ht="78" hidden="1">
      <c r="A133" s="41">
        <f t="shared" ref="A133:A196" si="20">A132+1</f>
        <v>131</v>
      </c>
      <c r="B133" s="42" t="s">
        <v>271</v>
      </c>
      <c r="C133" s="42" t="s">
        <v>1002</v>
      </c>
      <c r="D133" s="34" t="s">
        <v>1017</v>
      </c>
      <c r="E133" s="41" t="s">
        <v>1183</v>
      </c>
      <c r="F133" s="43" t="s">
        <v>272</v>
      </c>
      <c r="G133" s="41" t="s">
        <v>28</v>
      </c>
      <c r="H133" s="41"/>
      <c r="I133" s="41"/>
      <c r="J133" s="41"/>
      <c r="K133" s="41"/>
      <c r="L133" s="107"/>
      <c r="M133" s="41"/>
      <c r="N133" s="41" t="s">
        <v>516</v>
      </c>
      <c r="O133" s="91">
        <v>0</v>
      </c>
      <c r="P133" s="66">
        <v>1.7</v>
      </c>
      <c r="Q133" s="3">
        <v>0</v>
      </c>
      <c r="R133" s="3"/>
      <c r="S133" s="3"/>
      <c r="T133" s="3"/>
      <c r="U133" s="67">
        <f t="shared" si="14"/>
        <v>1.7</v>
      </c>
      <c r="V133" s="67">
        <f t="shared" si="15"/>
        <v>0</v>
      </c>
      <c r="W133" s="91"/>
      <c r="X133" s="91"/>
      <c r="Y133" s="3"/>
      <c r="Z133" s="67">
        <f t="shared" si="16"/>
        <v>1.7</v>
      </c>
      <c r="AA133" s="67">
        <f t="shared" si="17"/>
        <v>0</v>
      </c>
      <c r="AB133" s="91"/>
      <c r="AC133" s="91"/>
      <c r="AD133" s="3"/>
      <c r="AE133" s="67">
        <f t="shared" si="18"/>
        <v>1.7</v>
      </c>
      <c r="AF133" s="67">
        <f t="shared" si="19"/>
        <v>0</v>
      </c>
    </row>
    <row r="134" spans="1:32" ht="46.8" hidden="1">
      <c r="A134" s="41">
        <f t="shared" si="20"/>
        <v>132</v>
      </c>
      <c r="B134" s="34"/>
      <c r="C134" s="42" t="s">
        <v>1002</v>
      </c>
      <c r="D134" s="42" t="s">
        <v>1017</v>
      </c>
      <c r="E134" s="41" t="s">
        <v>1184</v>
      </c>
      <c r="F134" s="43" t="s">
        <v>273</v>
      </c>
      <c r="G134" s="41" t="s">
        <v>28</v>
      </c>
      <c r="H134" s="41"/>
      <c r="I134" s="41"/>
      <c r="J134" s="41"/>
      <c r="K134" s="41"/>
      <c r="L134" s="107"/>
      <c r="M134" s="41"/>
      <c r="N134" s="41" t="s">
        <v>32</v>
      </c>
      <c r="O134" s="91">
        <v>0</v>
      </c>
      <c r="P134" s="3">
        <v>0</v>
      </c>
      <c r="Q134" s="3">
        <v>0</v>
      </c>
      <c r="R134" s="3"/>
      <c r="S134" s="3"/>
      <c r="T134" s="3"/>
      <c r="U134" s="67">
        <f t="shared" si="14"/>
        <v>0</v>
      </c>
      <c r="V134" s="67">
        <f t="shared" si="15"/>
        <v>0</v>
      </c>
      <c r="W134" s="91"/>
      <c r="X134" s="91"/>
      <c r="Y134" s="3"/>
      <c r="Z134" s="67">
        <f t="shared" si="16"/>
        <v>0</v>
      </c>
      <c r="AA134" s="67">
        <f t="shared" si="17"/>
        <v>0</v>
      </c>
      <c r="AB134" s="91"/>
      <c r="AC134" s="91"/>
      <c r="AD134" s="3"/>
      <c r="AE134" s="67">
        <f t="shared" si="18"/>
        <v>0</v>
      </c>
      <c r="AF134" s="67">
        <f t="shared" si="19"/>
        <v>0</v>
      </c>
    </row>
    <row r="135" spans="1:32" ht="46.8" hidden="1">
      <c r="A135" s="41">
        <f t="shared" si="20"/>
        <v>133</v>
      </c>
      <c r="B135" s="34"/>
      <c r="C135" s="42" t="s">
        <v>1002</v>
      </c>
      <c r="D135" s="42" t="s">
        <v>1017</v>
      </c>
      <c r="E135" s="41" t="s">
        <v>1185</v>
      </c>
      <c r="F135" s="43" t="s">
        <v>274</v>
      </c>
      <c r="G135" s="41" t="s">
        <v>28</v>
      </c>
      <c r="H135" s="41"/>
      <c r="I135" s="41"/>
      <c r="J135" s="41"/>
      <c r="K135" s="41"/>
      <c r="L135" s="107"/>
      <c r="M135" s="41"/>
      <c r="N135" s="41" t="s">
        <v>32</v>
      </c>
      <c r="O135" s="91">
        <v>0</v>
      </c>
      <c r="P135" s="3">
        <v>0</v>
      </c>
      <c r="Q135" s="66">
        <v>0.03</v>
      </c>
      <c r="R135" s="3"/>
      <c r="S135" s="3"/>
      <c r="T135" s="3"/>
      <c r="U135" s="67">
        <f t="shared" si="14"/>
        <v>0</v>
      </c>
      <c r="V135" s="67">
        <f t="shared" si="15"/>
        <v>0.03</v>
      </c>
      <c r="W135" s="91"/>
      <c r="X135" s="91"/>
      <c r="Y135" s="3"/>
      <c r="Z135" s="67">
        <f t="shared" si="16"/>
        <v>0</v>
      </c>
      <c r="AA135" s="67">
        <f t="shared" si="17"/>
        <v>0.03</v>
      </c>
      <c r="AB135" s="91"/>
      <c r="AC135" s="91"/>
      <c r="AD135" s="3"/>
      <c r="AE135" s="67">
        <f t="shared" si="18"/>
        <v>0</v>
      </c>
      <c r="AF135" s="67">
        <f t="shared" si="19"/>
        <v>0.03</v>
      </c>
    </row>
    <row r="136" spans="1:32" ht="46.8" hidden="1">
      <c r="A136" s="41">
        <f t="shared" si="20"/>
        <v>134</v>
      </c>
      <c r="B136" s="34"/>
      <c r="C136" s="42" t="s">
        <v>1002</v>
      </c>
      <c r="D136" s="42" t="s">
        <v>1017</v>
      </c>
      <c r="E136" s="41" t="s">
        <v>1186</v>
      </c>
      <c r="F136" s="43" t="s">
        <v>275</v>
      </c>
      <c r="G136" s="41" t="s">
        <v>28</v>
      </c>
      <c r="H136" s="41"/>
      <c r="I136" s="41"/>
      <c r="J136" s="41"/>
      <c r="K136" s="41"/>
      <c r="L136" s="107"/>
      <c r="M136" s="41"/>
      <c r="N136" s="41" t="s">
        <v>32</v>
      </c>
      <c r="O136" s="91">
        <v>0</v>
      </c>
      <c r="P136" s="3">
        <v>0</v>
      </c>
      <c r="Q136" s="66">
        <v>4.2</v>
      </c>
      <c r="R136" s="3"/>
      <c r="S136" s="3"/>
      <c r="T136" s="3"/>
      <c r="U136" s="67">
        <f t="shared" si="14"/>
        <v>0</v>
      </c>
      <c r="V136" s="67">
        <f t="shared" si="15"/>
        <v>4.2</v>
      </c>
      <c r="W136" s="91"/>
      <c r="X136" s="91"/>
      <c r="Y136" s="3"/>
      <c r="Z136" s="67">
        <f t="shared" si="16"/>
        <v>0</v>
      </c>
      <c r="AA136" s="67">
        <f t="shared" si="17"/>
        <v>4.2</v>
      </c>
      <c r="AB136" s="91"/>
      <c r="AC136" s="91"/>
      <c r="AD136" s="3"/>
      <c r="AE136" s="67">
        <f t="shared" si="18"/>
        <v>0</v>
      </c>
      <c r="AF136" s="67">
        <f t="shared" si="19"/>
        <v>4.2</v>
      </c>
    </row>
    <row r="137" spans="1:32" ht="46.8" hidden="1">
      <c r="A137" s="41">
        <f t="shared" si="20"/>
        <v>135</v>
      </c>
      <c r="B137" s="34"/>
      <c r="C137" s="42" t="s">
        <v>1002</v>
      </c>
      <c r="D137" s="42" t="s">
        <v>1017</v>
      </c>
      <c r="E137" s="41" t="s">
        <v>1187</v>
      </c>
      <c r="F137" s="43" t="s">
        <v>276</v>
      </c>
      <c r="G137" s="41" t="s">
        <v>28</v>
      </c>
      <c r="H137" s="41"/>
      <c r="I137" s="41"/>
      <c r="J137" s="41"/>
      <c r="K137" s="41"/>
      <c r="L137" s="107"/>
      <c r="M137" s="41"/>
      <c r="N137" s="41" t="s">
        <v>32</v>
      </c>
      <c r="O137" s="91">
        <v>0</v>
      </c>
      <c r="P137" s="66">
        <v>132.58000000000001</v>
      </c>
      <c r="Q137" s="66">
        <v>369.74</v>
      </c>
      <c r="R137" s="3"/>
      <c r="S137" s="3"/>
      <c r="T137" s="3"/>
      <c r="U137" s="67">
        <f t="shared" si="14"/>
        <v>132.58000000000001</v>
      </c>
      <c r="V137" s="67">
        <f t="shared" si="15"/>
        <v>369.74</v>
      </c>
      <c r="W137" s="91"/>
      <c r="X137" s="91"/>
      <c r="Y137" s="3"/>
      <c r="Z137" s="67">
        <f t="shared" si="16"/>
        <v>132.58000000000001</v>
      </c>
      <c r="AA137" s="67">
        <f t="shared" si="17"/>
        <v>369.74</v>
      </c>
      <c r="AB137" s="91"/>
      <c r="AC137" s="91"/>
      <c r="AD137" s="3"/>
      <c r="AE137" s="67">
        <f t="shared" si="18"/>
        <v>132.58000000000001</v>
      </c>
      <c r="AF137" s="67">
        <f t="shared" si="19"/>
        <v>369.74</v>
      </c>
    </row>
    <row r="138" spans="1:32" ht="46.8" hidden="1">
      <c r="A138" s="41">
        <f t="shared" si="20"/>
        <v>136</v>
      </c>
      <c r="B138" s="42" t="s">
        <v>277</v>
      </c>
      <c r="C138" s="42" t="s">
        <v>1002</v>
      </c>
      <c r="D138" s="42" t="s">
        <v>1017</v>
      </c>
      <c r="E138" s="41" t="s">
        <v>1188</v>
      </c>
      <c r="F138" s="43" t="s">
        <v>278</v>
      </c>
      <c r="G138" s="41" t="s">
        <v>28</v>
      </c>
      <c r="H138" s="41"/>
      <c r="I138" s="41"/>
      <c r="J138" s="41"/>
      <c r="K138" s="41"/>
      <c r="L138" s="107"/>
      <c r="M138" s="41"/>
      <c r="N138" s="41" t="s">
        <v>67</v>
      </c>
      <c r="O138" s="91">
        <v>0</v>
      </c>
      <c r="P138" s="3">
        <v>0</v>
      </c>
      <c r="Q138" s="66">
        <v>0.19</v>
      </c>
      <c r="R138" s="3"/>
      <c r="S138" s="3"/>
      <c r="T138" s="3"/>
      <c r="U138" s="67">
        <f t="shared" si="14"/>
        <v>0</v>
      </c>
      <c r="V138" s="67">
        <f t="shared" si="15"/>
        <v>0.19</v>
      </c>
      <c r="W138" s="91"/>
      <c r="X138" s="91"/>
      <c r="Y138" s="3"/>
      <c r="Z138" s="67">
        <f t="shared" si="16"/>
        <v>0</v>
      </c>
      <c r="AA138" s="67">
        <f t="shared" si="17"/>
        <v>0.19</v>
      </c>
      <c r="AB138" s="91"/>
      <c r="AC138" s="91"/>
      <c r="AD138" s="3"/>
      <c r="AE138" s="67">
        <f t="shared" si="18"/>
        <v>0</v>
      </c>
      <c r="AF138" s="67">
        <f t="shared" si="19"/>
        <v>0.19</v>
      </c>
    </row>
    <row r="139" spans="1:32" ht="46.8" hidden="1">
      <c r="A139" s="41">
        <f t="shared" si="20"/>
        <v>137</v>
      </c>
      <c r="B139" s="34"/>
      <c r="C139" s="42" t="s">
        <v>1002</v>
      </c>
      <c r="D139" s="34" t="s">
        <v>1017</v>
      </c>
      <c r="E139" s="41" t="s">
        <v>1189</v>
      </c>
      <c r="F139" s="43" t="s">
        <v>279</v>
      </c>
      <c r="G139" s="41"/>
      <c r="H139" s="41">
        <v>3</v>
      </c>
      <c r="I139" s="41" t="s">
        <v>280</v>
      </c>
      <c r="J139" s="70" t="s">
        <v>280</v>
      </c>
      <c r="K139" s="72" t="s">
        <v>281</v>
      </c>
      <c r="L139" s="109">
        <v>0.92</v>
      </c>
      <c r="M139" s="41"/>
      <c r="N139" s="41" t="s">
        <v>67</v>
      </c>
      <c r="O139" s="103">
        <v>0.95</v>
      </c>
      <c r="P139" s="66">
        <v>0.87</v>
      </c>
      <c r="Q139" s="3">
        <v>0</v>
      </c>
      <c r="R139" s="3"/>
      <c r="S139" s="3"/>
      <c r="T139" s="3"/>
      <c r="U139" s="67">
        <f t="shared" si="14"/>
        <v>0.87</v>
      </c>
      <c r="V139" s="67">
        <f t="shared" si="15"/>
        <v>0</v>
      </c>
      <c r="W139" s="91"/>
      <c r="X139" s="91"/>
      <c r="Y139" s="3"/>
      <c r="Z139" s="67">
        <f t="shared" si="16"/>
        <v>0.87</v>
      </c>
      <c r="AA139" s="67">
        <f t="shared" si="17"/>
        <v>0</v>
      </c>
      <c r="AB139" s="91"/>
      <c r="AC139" s="91"/>
      <c r="AD139" s="3"/>
      <c r="AE139" s="67">
        <f t="shared" si="18"/>
        <v>0.87</v>
      </c>
      <c r="AF139" s="67">
        <f t="shared" si="19"/>
        <v>0</v>
      </c>
    </row>
    <row r="140" spans="1:32" ht="46.8" hidden="1">
      <c r="A140" s="41">
        <f t="shared" si="20"/>
        <v>138</v>
      </c>
      <c r="B140" s="42" t="s">
        <v>282</v>
      </c>
      <c r="C140" s="42" t="s">
        <v>1002</v>
      </c>
      <c r="D140" s="42" t="s">
        <v>1017</v>
      </c>
      <c r="E140" s="41" t="s">
        <v>1190</v>
      </c>
      <c r="F140" s="43" t="s">
        <v>283</v>
      </c>
      <c r="G140" s="41"/>
      <c r="H140" s="41"/>
      <c r="I140" s="41"/>
      <c r="J140" s="41"/>
      <c r="K140" s="41"/>
      <c r="L140" s="107"/>
      <c r="M140" s="41"/>
      <c r="N140" s="41" t="s">
        <v>67</v>
      </c>
      <c r="O140" s="103">
        <v>0.54</v>
      </c>
      <c r="P140" s="66">
        <v>0.53</v>
      </c>
      <c r="Q140" s="3">
        <v>0</v>
      </c>
      <c r="R140" s="3"/>
      <c r="S140" s="3"/>
      <c r="T140" s="3"/>
      <c r="U140" s="67">
        <f t="shared" si="14"/>
        <v>0.53</v>
      </c>
      <c r="V140" s="67">
        <f t="shared" si="15"/>
        <v>0</v>
      </c>
      <c r="W140" s="91"/>
      <c r="X140" s="91"/>
      <c r="Y140" s="3"/>
      <c r="Z140" s="67">
        <f t="shared" si="16"/>
        <v>0.53</v>
      </c>
      <c r="AA140" s="67">
        <f t="shared" si="17"/>
        <v>0</v>
      </c>
      <c r="AB140" s="91"/>
      <c r="AC140" s="91"/>
      <c r="AD140" s="3"/>
      <c r="AE140" s="67">
        <f t="shared" si="18"/>
        <v>0.53</v>
      </c>
      <c r="AF140" s="67">
        <f t="shared" si="19"/>
        <v>0</v>
      </c>
    </row>
    <row r="141" spans="1:32" ht="78" hidden="1">
      <c r="A141" s="41">
        <f t="shared" si="20"/>
        <v>139</v>
      </c>
      <c r="B141" s="42" t="s">
        <v>284</v>
      </c>
      <c r="C141" s="42" t="s">
        <v>1002</v>
      </c>
      <c r="D141" s="42" t="s">
        <v>1017</v>
      </c>
      <c r="E141" s="41" t="s">
        <v>1191</v>
      </c>
      <c r="F141" s="43" t="s">
        <v>285</v>
      </c>
      <c r="G141" s="41"/>
      <c r="H141" s="41"/>
      <c r="I141" s="41"/>
      <c r="J141" s="41"/>
      <c r="K141" s="41"/>
      <c r="L141" s="107"/>
      <c r="M141" s="41"/>
      <c r="N141" s="41" t="s">
        <v>516</v>
      </c>
      <c r="O141" s="103">
        <v>15.12</v>
      </c>
      <c r="P141" s="66">
        <v>14.85</v>
      </c>
      <c r="Q141" s="3">
        <v>0</v>
      </c>
      <c r="R141" s="3"/>
      <c r="S141" s="3"/>
      <c r="T141" s="3"/>
      <c r="U141" s="67">
        <f t="shared" si="14"/>
        <v>14.85</v>
      </c>
      <c r="V141" s="67">
        <f t="shared" si="15"/>
        <v>0</v>
      </c>
      <c r="W141" s="91"/>
      <c r="X141" s="91"/>
      <c r="Y141" s="3"/>
      <c r="Z141" s="67">
        <f t="shared" si="16"/>
        <v>14.85</v>
      </c>
      <c r="AA141" s="67">
        <f t="shared" si="17"/>
        <v>0</v>
      </c>
      <c r="AB141" s="91"/>
      <c r="AC141" s="91"/>
      <c r="AD141" s="3"/>
      <c r="AE141" s="67">
        <f t="shared" si="18"/>
        <v>14.85</v>
      </c>
      <c r="AF141" s="67">
        <f t="shared" si="19"/>
        <v>0</v>
      </c>
    </row>
    <row r="142" spans="1:32" ht="62.4" hidden="1">
      <c r="A142" s="41">
        <f t="shared" si="20"/>
        <v>140</v>
      </c>
      <c r="B142" s="42" t="s">
        <v>286</v>
      </c>
      <c r="C142" s="42" t="s">
        <v>1002</v>
      </c>
      <c r="D142" s="42" t="s">
        <v>1017</v>
      </c>
      <c r="E142" s="41" t="s">
        <v>1192</v>
      </c>
      <c r="F142" s="43" t="s">
        <v>287</v>
      </c>
      <c r="G142" s="41"/>
      <c r="H142" s="41"/>
      <c r="I142" s="41"/>
      <c r="J142" s="41"/>
      <c r="K142" s="41"/>
      <c r="L142" s="107"/>
      <c r="M142" s="41"/>
      <c r="N142" s="41" t="s">
        <v>516</v>
      </c>
      <c r="O142" s="103">
        <v>5.19</v>
      </c>
      <c r="P142" s="66">
        <v>14.76</v>
      </c>
      <c r="Q142" s="3">
        <v>0</v>
      </c>
      <c r="R142" s="3"/>
      <c r="S142" s="3"/>
      <c r="T142" s="3"/>
      <c r="U142" s="67">
        <f t="shared" si="14"/>
        <v>14.76</v>
      </c>
      <c r="V142" s="67">
        <f t="shared" si="15"/>
        <v>0</v>
      </c>
      <c r="W142" s="91"/>
      <c r="X142" s="91"/>
      <c r="Y142" s="3"/>
      <c r="Z142" s="67">
        <f t="shared" si="16"/>
        <v>14.76</v>
      </c>
      <c r="AA142" s="67">
        <f t="shared" si="17"/>
        <v>0</v>
      </c>
      <c r="AB142" s="91"/>
      <c r="AC142" s="91"/>
      <c r="AD142" s="3"/>
      <c r="AE142" s="67">
        <f t="shared" si="18"/>
        <v>14.76</v>
      </c>
      <c r="AF142" s="67">
        <f t="shared" si="19"/>
        <v>0</v>
      </c>
    </row>
    <row r="143" spans="1:32" ht="93.6">
      <c r="A143" s="41">
        <f t="shared" si="20"/>
        <v>141</v>
      </c>
      <c r="B143" s="42" t="s">
        <v>288</v>
      </c>
      <c r="C143" s="42"/>
      <c r="D143" s="42" t="s">
        <v>1017</v>
      </c>
      <c r="E143" s="41" t="s">
        <v>1193</v>
      </c>
      <c r="F143" s="43" t="s">
        <v>779</v>
      </c>
      <c r="G143" s="41"/>
      <c r="H143" s="41"/>
      <c r="I143" s="41"/>
      <c r="J143" s="41"/>
      <c r="K143" s="41"/>
      <c r="L143" s="107"/>
      <c r="M143" s="41"/>
      <c r="N143" s="41" t="s">
        <v>67</v>
      </c>
      <c r="O143" s="104">
        <v>17.2</v>
      </c>
      <c r="P143" s="3">
        <v>0</v>
      </c>
      <c r="Q143" s="66">
        <v>8.2213602000000012</v>
      </c>
      <c r="R143" s="69"/>
      <c r="S143" s="3">
        <f>12.5587207+3.5159375+1.1035607</f>
        <v>17.178218900000001</v>
      </c>
      <c r="T143" s="3"/>
      <c r="U143" s="67">
        <f t="shared" si="14"/>
        <v>17.178218900000001</v>
      </c>
      <c r="V143" s="79">
        <f t="shared" si="15"/>
        <v>-8.9568586999999997</v>
      </c>
      <c r="W143" s="91"/>
      <c r="X143" s="91"/>
      <c r="Y143" s="3"/>
      <c r="Z143" s="67">
        <f t="shared" si="16"/>
        <v>17.178218900000001</v>
      </c>
      <c r="AA143" s="67">
        <f t="shared" si="17"/>
        <v>-8.9568586999999997</v>
      </c>
      <c r="AB143" s="91"/>
      <c r="AC143" s="91"/>
      <c r="AD143" s="3"/>
      <c r="AE143" s="67">
        <f t="shared" si="18"/>
        <v>17.178218900000001</v>
      </c>
      <c r="AF143" s="67">
        <f t="shared" si="19"/>
        <v>-8.9568586999999997</v>
      </c>
    </row>
    <row r="144" spans="1:32" ht="62.4" hidden="1">
      <c r="A144" s="41">
        <f t="shared" si="20"/>
        <v>142</v>
      </c>
      <c r="B144" s="42" t="s">
        <v>289</v>
      </c>
      <c r="C144" s="42" t="s">
        <v>1002</v>
      </c>
      <c r="D144" s="42" t="s">
        <v>1017</v>
      </c>
      <c r="E144" s="41" t="s">
        <v>1194</v>
      </c>
      <c r="F144" s="43" t="s">
        <v>290</v>
      </c>
      <c r="G144" s="41"/>
      <c r="H144" s="41"/>
      <c r="I144" s="41"/>
      <c r="J144" s="41"/>
      <c r="K144" s="41"/>
      <c r="L144" s="107"/>
      <c r="M144" s="41"/>
      <c r="N144" s="41" t="s">
        <v>67</v>
      </c>
      <c r="O144" s="91">
        <v>0</v>
      </c>
      <c r="P144" s="3">
        <v>0</v>
      </c>
      <c r="Q144" s="3">
        <v>0</v>
      </c>
      <c r="R144" s="3"/>
      <c r="S144" s="3"/>
      <c r="T144" s="3"/>
      <c r="U144" s="67">
        <f t="shared" si="14"/>
        <v>0</v>
      </c>
      <c r="V144" s="67">
        <f t="shared" si="15"/>
        <v>0</v>
      </c>
      <c r="W144" s="91"/>
      <c r="X144" s="91"/>
      <c r="Y144" s="3"/>
      <c r="Z144" s="67">
        <f t="shared" si="16"/>
        <v>0</v>
      </c>
      <c r="AA144" s="67">
        <f t="shared" si="17"/>
        <v>0</v>
      </c>
      <c r="AB144" s="91"/>
      <c r="AC144" s="91"/>
      <c r="AD144" s="3"/>
      <c r="AE144" s="67">
        <f t="shared" si="18"/>
        <v>0</v>
      </c>
      <c r="AF144" s="67">
        <f t="shared" si="19"/>
        <v>0</v>
      </c>
    </row>
    <row r="145" spans="1:32" ht="78" hidden="1">
      <c r="A145" s="41">
        <f t="shared" si="20"/>
        <v>143</v>
      </c>
      <c r="B145" s="42" t="s">
        <v>291</v>
      </c>
      <c r="C145" s="42" t="s">
        <v>1002</v>
      </c>
      <c r="D145" s="34" t="s">
        <v>1017</v>
      </c>
      <c r="E145" s="41" t="s">
        <v>1195</v>
      </c>
      <c r="F145" s="43" t="s">
        <v>292</v>
      </c>
      <c r="G145" s="41"/>
      <c r="H145" s="41"/>
      <c r="I145" s="41"/>
      <c r="J145" s="41"/>
      <c r="K145" s="41"/>
      <c r="L145" s="107"/>
      <c r="M145" s="41"/>
      <c r="N145" s="41" t="s">
        <v>67</v>
      </c>
      <c r="O145" s="91">
        <v>0</v>
      </c>
      <c r="P145" s="66">
        <v>0.15</v>
      </c>
      <c r="Q145" s="3">
        <v>0</v>
      </c>
      <c r="R145" s="3"/>
      <c r="S145" s="3"/>
      <c r="T145" s="3"/>
      <c r="U145" s="67">
        <f t="shared" si="14"/>
        <v>0.15</v>
      </c>
      <c r="V145" s="67">
        <f t="shared" si="15"/>
        <v>0</v>
      </c>
      <c r="W145" s="91"/>
      <c r="X145" s="91"/>
      <c r="Y145" s="3"/>
      <c r="Z145" s="67">
        <f t="shared" si="16"/>
        <v>0.15</v>
      </c>
      <c r="AA145" s="67">
        <f t="shared" si="17"/>
        <v>0</v>
      </c>
      <c r="AB145" s="91"/>
      <c r="AC145" s="91"/>
      <c r="AD145" s="3"/>
      <c r="AE145" s="67">
        <f t="shared" si="18"/>
        <v>0.15</v>
      </c>
      <c r="AF145" s="67">
        <f t="shared" si="19"/>
        <v>0</v>
      </c>
    </row>
    <row r="146" spans="1:32" ht="62.4" hidden="1">
      <c r="A146" s="41">
        <f t="shared" si="20"/>
        <v>144</v>
      </c>
      <c r="B146" s="42" t="s">
        <v>293</v>
      </c>
      <c r="C146" s="42" t="s">
        <v>1002</v>
      </c>
      <c r="D146" s="42" t="s">
        <v>1017</v>
      </c>
      <c r="E146" s="41" t="s">
        <v>1196</v>
      </c>
      <c r="F146" s="43" t="s">
        <v>294</v>
      </c>
      <c r="G146" s="41"/>
      <c r="H146" s="41"/>
      <c r="I146" s="41"/>
      <c r="J146" s="41"/>
      <c r="K146" s="41"/>
      <c r="L146" s="107"/>
      <c r="M146" s="41"/>
      <c r="N146" s="41" t="s">
        <v>67</v>
      </c>
      <c r="O146" s="103">
        <v>0.96</v>
      </c>
      <c r="P146" s="3">
        <v>0</v>
      </c>
      <c r="Q146" s="66">
        <v>0.8</v>
      </c>
      <c r="R146" s="3"/>
      <c r="S146" s="3"/>
      <c r="T146" s="3"/>
      <c r="U146" s="67">
        <f t="shared" si="14"/>
        <v>0</v>
      </c>
      <c r="V146" s="67">
        <f t="shared" si="15"/>
        <v>0.8</v>
      </c>
      <c r="W146" s="91"/>
      <c r="X146" s="91"/>
      <c r="Y146" s="3"/>
      <c r="Z146" s="67">
        <f t="shared" si="16"/>
        <v>0</v>
      </c>
      <c r="AA146" s="67">
        <f t="shared" si="17"/>
        <v>0.8</v>
      </c>
      <c r="AB146" s="91"/>
      <c r="AC146" s="91"/>
      <c r="AD146" s="3"/>
      <c r="AE146" s="67">
        <f t="shared" si="18"/>
        <v>0</v>
      </c>
      <c r="AF146" s="67">
        <f t="shared" si="19"/>
        <v>0.8</v>
      </c>
    </row>
    <row r="147" spans="1:32" ht="46.8" hidden="1">
      <c r="A147" s="41">
        <f t="shared" si="20"/>
        <v>145</v>
      </c>
      <c r="B147" s="42" t="s">
        <v>295</v>
      </c>
      <c r="C147" s="42" t="s">
        <v>1002</v>
      </c>
      <c r="D147" s="42" t="s">
        <v>1017</v>
      </c>
      <c r="E147" s="41" t="s">
        <v>1197</v>
      </c>
      <c r="F147" s="43" t="s">
        <v>296</v>
      </c>
      <c r="G147" s="41"/>
      <c r="H147" s="41"/>
      <c r="I147" s="41"/>
      <c r="J147" s="41"/>
      <c r="K147" s="41"/>
      <c r="L147" s="107"/>
      <c r="M147" s="41"/>
      <c r="N147" s="41" t="s">
        <v>67</v>
      </c>
      <c r="O147" s="91">
        <v>0</v>
      </c>
      <c r="P147" s="3">
        <v>0</v>
      </c>
      <c r="Q147" s="66">
        <v>0.21</v>
      </c>
      <c r="R147" s="3"/>
      <c r="S147" s="3"/>
      <c r="T147" s="3"/>
      <c r="U147" s="67">
        <f t="shared" si="14"/>
        <v>0</v>
      </c>
      <c r="V147" s="67">
        <f t="shared" si="15"/>
        <v>0.21</v>
      </c>
      <c r="W147" s="91"/>
      <c r="X147" s="91"/>
      <c r="Y147" s="3"/>
      <c r="Z147" s="67">
        <f t="shared" si="16"/>
        <v>0</v>
      </c>
      <c r="AA147" s="67">
        <f t="shared" si="17"/>
        <v>0.21</v>
      </c>
      <c r="AB147" s="91"/>
      <c r="AC147" s="91"/>
      <c r="AD147" s="3"/>
      <c r="AE147" s="67">
        <f t="shared" si="18"/>
        <v>0</v>
      </c>
      <c r="AF147" s="67">
        <f t="shared" si="19"/>
        <v>0.21</v>
      </c>
    </row>
    <row r="148" spans="1:32" ht="46.8" hidden="1">
      <c r="A148" s="41">
        <f t="shared" si="20"/>
        <v>146</v>
      </c>
      <c r="B148" s="42" t="s">
        <v>297</v>
      </c>
      <c r="C148" s="42" t="s">
        <v>1002</v>
      </c>
      <c r="D148" s="42" t="s">
        <v>1017</v>
      </c>
      <c r="E148" s="41" t="s">
        <v>1198</v>
      </c>
      <c r="F148" s="43" t="s">
        <v>298</v>
      </c>
      <c r="G148" s="41"/>
      <c r="H148" s="41"/>
      <c r="I148" s="41"/>
      <c r="J148" s="41"/>
      <c r="K148" s="41"/>
      <c r="L148" s="107"/>
      <c r="M148" s="41"/>
      <c r="N148" s="41" t="s">
        <v>67</v>
      </c>
      <c r="O148" s="91">
        <v>0</v>
      </c>
      <c r="P148" s="3">
        <v>0</v>
      </c>
      <c r="Q148" s="66">
        <v>0.13</v>
      </c>
      <c r="R148" s="3"/>
      <c r="S148" s="3"/>
      <c r="T148" s="3"/>
      <c r="U148" s="67">
        <f t="shared" si="14"/>
        <v>0</v>
      </c>
      <c r="V148" s="67">
        <f t="shared" si="15"/>
        <v>0.13</v>
      </c>
      <c r="W148" s="91"/>
      <c r="X148" s="91"/>
      <c r="Y148" s="3"/>
      <c r="Z148" s="67">
        <f t="shared" si="16"/>
        <v>0</v>
      </c>
      <c r="AA148" s="67">
        <f t="shared" si="17"/>
        <v>0.13</v>
      </c>
      <c r="AB148" s="91"/>
      <c r="AC148" s="91"/>
      <c r="AD148" s="3"/>
      <c r="AE148" s="67">
        <f t="shared" si="18"/>
        <v>0</v>
      </c>
      <c r="AF148" s="67">
        <f t="shared" si="19"/>
        <v>0.13</v>
      </c>
    </row>
    <row r="149" spans="1:32" ht="78" hidden="1">
      <c r="A149" s="41">
        <f t="shared" si="20"/>
        <v>147</v>
      </c>
      <c r="B149" s="42" t="s">
        <v>299</v>
      </c>
      <c r="C149" s="42" t="s">
        <v>1002</v>
      </c>
      <c r="D149" s="42" t="s">
        <v>1017</v>
      </c>
      <c r="E149" s="41" t="s">
        <v>1199</v>
      </c>
      <c r="F149" s="43" t="s">
        <v>300</v>
      </c>
      <c r="G149" s="41"/>
      <c r="H149" s="41"/>
      <c r="I149" s="41"/>
      <c r="J149" s="41"/>
      <c r="K149" s="41"/>
      <c r="L149" s="107"/>
      <c r="M149" s="41"/>
      <c r="N149" s="41" t="s">
        <v>67</v>
      </c>
      <c r="O149" s="91">
        <v>0</v>
      </c>
      <c r="P149" s="3">
        <v>0</v>
      </c>
      <c r="Q149" s="66">
        <v>1.52</v>
      </c>
      <c r="R149" s="3"/>
      <c r="S149" s="3"/>
      <c r="T149" s="3"/>
      <c r="U149" s="67">
        <f t="shared" si="14"/>
        <v>0</v>
      </c>
      <c r="V149" s="67">
        <f t="shared" si="15"/>
        <v>1.52</v>
      </c>
      <c r="W149" s="91"/>
      <c r="X149" s="91"/>
      <c r="Y149" s="3"/>
      <c r="Z149" s="67">
        <f t="shared" si="16"/>
        <v>0</v>
      </c>
      <c r="AA149" s="67">
        <f t="shared" si="17"/>
        <v>1.52</v>
      </c>
      <c r="AB149" s="91"/>
      <c r="AC149" s="91"/>
      <c r="AD149" s="3"/>
      <c r="AE149" s="67">
        <f t="shared" si="18"/>
        <v>0</v>
      </c>
      <c r="AF149" s="67">
        <f t="shared" si="19"/>
        <v>1.52</v>
      </c>
    </row>
    <row r="150" spans="1:32" ht="46.8" hidden="1">
      <c r="A150" s="41">
        <f t="shared" si="20"/>
        <v>148</v>
      </c>
      <c r="B150" s="42" t="s">
        <v>301</v>
      </c>
      <c r="C150" s="42" t="s">
        <v>1002</v>
      </c>
      <c r="D150" s="42" t="s">
        <v>1017</v>
      </c>
      <c r="E150" s="41" t="s">
        <v>1200</v>
      </c>
      <c r="F150" s="43" t="s">
        <v>302</v>
      </c>
      <c r="G150" s="41"/>
      <c r="H150" s="41"/>
      <c r="I150" s="41"/>
      <c r="J150" s="41"/>
      <c r="K150" s="41"/>
      <c r="L150" s="107"/>
      <c r="M150" s="41"/>
      <c r="N150" s="41" t="s">
        <v>67</v>
      </c>
      <c r="O150" s="103">
        <v>0.71</v>
      </c>
      <c r="P150" s="3">
        <v>0</v>
      </c>
      <c r="Q150" s="66">
        <v>0.22</v>
      </c>
      <c r="R150" s="3"/>
      <c r="S150" s="3"/>
      <c r="T150" s="3"/>
      <c r="U150" s="67">
        <f t="shared" si="14"/>
        <v>0</v>
      </c>
      <c r="V150" s="67">
        <f t="shared" si="15"/>
        <v>0.22</v>
      </c>
      <c r="W150" s="91"/>
      <c r="X150" s="91"/>
      <c r="Y150" s="3"/>
      <c r="Z150" s="67">
        <f t="shared" si="16"/>
        <v>0</v>
      </c>
      <c r="AA150" s="67">
        <f t="shared" si="17"/>
        <v>0.22</v>
      </c>
      <c r="AB150" s="91"/>
      <c r="AC150" s="91"/>
      <c r="AD150" s="3"/>
      <c r="AE150" s="67">
        <f t="shared" si="18"/>
        <v>0</v>
      </c>
      <c r="AF150" s="67">
        <f t="shared" si="19"/>
        <v>0.22</v>
      </c>
    </row>
    <row r="151" spans="1:32" ht="46.8" hidden="1">
      <c r="A151" s="41">
        <f t="shared" si="20"/>
        <v>149</v>
      </c>
      <c r="B151" s="42" t="s">
        <v>303</v>
      </c>
      <c r="C151" s="42" t="s">
        <v>1002</v>
      </c>
      <c r="D151" s="42" t="s">
        <v>1017</v>
      </c>
      <c r="E151" s="41" t="s">
        <v>1201</v>
      </c>
      <c r="F151" s="43" t="s">
        <v>304</v>
      </c>
      <c r="G151" s="41"/>
      <c r="H151" s="41"/>
      <c r="I151" s="41"/>
      <c r="J151" s="41"/>
      <c r="K151" s="41"/>
      <c r="L151" s="107"/>
      <c r="M151" s="41"/>
      <c r="N151" s="41" t="s">
        <v>67</v>
      </c>
      <c r="O151" s="91">
        <v>0</v>
      </c>
      <c r="P151" s="3">
        <v>0</v>
      </c>
      <c r="Q151" s="66">
        <v>4.72</v>
      </c>
      <c r="R151" s="3"/>
      <c r="S151" s="3"/>
      <c r="T151" s="3"/>
      <c r="U151" s="67">
        <f t="shared" si="14"/>
        <v>0</v>
      </c>
      <c r="V151" s="67">
        <f t="shared" si="15"/>
        <v>4.72</v>
      </c>
      <c r="W151" s="91"/>
      <c r="X151" s="91"/>
      <c r="Y151" s="3"/>
      <c r="Z151" s="67">
        <f t="shared" si="16"/>
        <v>0</v>
      </c>
      <c r="AA151" s="67">
        <f t="shared" si="17"/>
        <v>4.72</v>
      </c>
      <c r="AB151" s="91"/>
      <c r="AC151" s="91"/>
      <c r="AD151" s="3"/>
      <c r="AE151" s="67">
        <f t="shared" si="18"/>
        <v>0</v>
      </c>
      <c r="AF151" s="67">
        <f t="shared" si="19"/>
        <v>4.72</v>
      </c>
    </row>
    <row r="152" spans="1:32" ht="46.8" hidden="1">
      <c r="A152" s="41">
        <f t="shared" si="20"/>
        <v>150</v>
      </c>
      <c r="B152" s="42" t="s">
        <v>305</v>
      </c>
      <c r="C152" s="42" t="s">
        <v>1002</v>
      </c>
      <c r="D152" s="42" t="s">
        <v>1017</v>
      </c>
      <c r="E152" s="41" t="s">
        <v>1202</v>
      </c>
      <c r="F152" s="43" t="s">
        <v>306</v>
      </c>
      <c r="G152" s="41"/>
      <c r="H152" s="41"/>
      <c r="I152" s="41"/>
      <c r="J152" s="41"/>
      <c r="K152" s="41"/>
      <c r="L152" s="107"/>
      <c r="M152" s="41"/>
      <c r="N152" s="41" t="s">
        <v>67</v>
      </c>
      <c r="O152" s="91">
        <v>0</v>
      </c>
      <c r="P152" s="3">
        <v>0</v>
      </c>
      <c r="Q152" s="66">
        <v>0.18</v>
      </c>
      <c r="R152" s="3"/>
      <c r="S152" s="3"/>
      <c r="T152" s="3"/>
      <c r="U152" s="67">
        <f t="shared" si="14"/>
        <v>0</v>
      </c>
      <c r="V152" s="67">
        <f t="shared" si="15"/>
        <v>0.18</v>
      </c>
      <c r="W152" s="91"/>
      <c r="X152" s="91"/>
      <c r="Y152" s="3"/>
      <c r="Z152" s="67">
        <f t="shared" si="16"/>
        <v>0</v>
      </c>
      <c r="AA152" s="67">
        <f t="shared" si="17"/>
        <v>0.18</v>
      </c>
      <c r="AB152" s="91"/>
      <c r="AC152" s="91"/>
      <c r="AD152" s="3"/>
      <c r="AE152" s="67">
        <f t="shared" si="18"/>
        <v>0</v>
      </c>
      <c r="AF152" s="67">
        <f t="shared" si="19"/>
        <v>0.18</v>
      </c>
    </row>
    <row r="153" spans="1:32" ht="46.8" hidden="1">
      <c r="A153" s="41">
        <f t="shared" si="20"/>
        <v>151</v>
      </c>
      <c r="B153" s="34"/>
      <c r="C153" s="42" t="s">
        <v>1002</v>
      </c>
      <c r="D153" s="42" t="s">
        <v>1017</v>
      </c>
      <c r="E153" s="41" t="s">
        <v>1203</v>
      </c>
      <c r="F153" s="43" t="s">
        <v>307</v>
      </c>
      <c r="G153" s="41"/>
      <c r="H153" s="41"/>
      <c r="I153" s="41"/>
      <c r="J153" s="41"/>
      <c r="K153" s="41"/>
      <c r="L153" s="107"/>
      <c r="M153" s="41"/>
      <c r="N153" s="41" t="s">
        <v>67</v>
      </c>
      <c r="O153" s="91">
        <v>0</v>
      </c>
      <c r="P153" s="66">
        <v>24.64</v>
      </c>
      <c r="Q153" s="66">
        <v>13.56</v>
      </c>
      <c r="R153" s="3"/>
      <c r="S153" s="3"/>
      <c r="T153" s="3"/>
      <c r="U153" s="67">
        <f t="shared" si="14"/>
        <v>24.64</v>
      </c>
      <c r="V153" s="67">
        <f t="shared" si="15"/>
        <v>13.56</v>
      </c>
      <c r="W153" s="91"/>
      <c r="X153" s="91"/>
      <c r="Y153" s="3"/>
      <c r="Z153" s="67">
        <f t="shared" si="16"/>
        <v>24.64</v>
      </c>
      <c r="AA153" s="67">
        <f t="shared" si="17"/>
        <v>13.56</v>
      </c>
      <c r="AB153" s="91"/>
      <c r="AC153" s="91"/>
      <c r="AD153" s="3"/>
      <c r="AE153" s="67">
        <f t="shared" si="18"/>
        <v>24.64</v>
      </c>
      <c r="AF153" s="67">
        <f t="shared" si="19"/>
        <v>13.56</v>
      </c>
    </row>
    <row r="154" spans="1:32" ht="46.8" hidden="1">
      <c r="A154" s="41">
        <f t="shared" si="20"/>
        <v>152</v>
      </c>
      <c r="B154" s="34"/>
      <c r="C154" s="42" t="s">
        <v>1002</v>
      </c>
      <c r="D154" s="42" t="s">
        <v>1017</v>
      </c>
      <c r="E154" s="41" t="s">
        <v>1204</v>
      </c>
      <c r="F154" s="43" t="s">
        <v>308</v>
      </c>
      <c r="G154" s="41"/>
      <c r="H154" s="41"/>
      <c r="I154" s="41"/>
      <c r="J154" s="41"/>
      <c r="K154" s="41"/>
      <c r="L154" s="107"/>
      <c r="M154" s="41"/>
      <c r="N154" s="41" t="s">
        <v>82</v>
      </c>
      <c r="O154" s="91">
        <v>0</v>
      </c>
      <c r="P154" s="3">
        <v>0</v>
      </c>
      <c r="Q154" s="66">
        <v>0.16</v>
      </c>
      <c r="R154" s="3"/>
      <c r="S154" s="3"/>
      <c r="T154" s="3"/>
      <c r="U154" s="67">
        <f t="shared" si="14"/>
        <v>0</v>
      </c>
      <c r="V154" s="67">
        <f t="shared" si="15"/>
        <v>0.16</v>
      </c>
      <c r="W154" s="91"/>
      <c r="X154" s="91"/>
      <c r="Y154" s="3"/>
      <c r="Z154" s="67">
        <f t="shared" si="16"/>
        <v>0</v>
      </c>
      <c r="AA154" s="67">
        <f t="shared" si="17"/>
        <v>0.16</v>
      </c>
      <c r="AB154" s="91"/>
      <c r="AC154" s="91"/>
      <c r="AD154" s="3"/>
      <c r="AE154" s="67">
        <f t="shared" si="18"/>
        <v>0</v>
      </c>
      <c r="AF154" s="67">
        <f t="shared" si="19"/>
        <v>0.16</v>
      </c>
    </row>
    <row r="155" spans="1:32" ht="46.8" hidden="1">
      <c r="A155" s="41">
        <f t="shared" si="20"/>
        <v>153</v>
      </c>
      <c r="B155" s="34"/>
      <c r="C155" s="42" t="s">
        <v>1002</v>
      </c>
      <c r="D155" s="34" t="s">
        <v>1017</v>
      </c>
      <c r="E155" s="41" t="s">
        <v>1205</v>
      </c>
      <c r="F155" s="43" t="s">
        <v>309</v>
      </c>
      <c r="G155" s="41"/>
      <c r="H155" s="41"/>
      <c r="I155" s="41"/>
      <c r="J155" s="41"/>
      <c r="K155" s="41"/>
      <c r="L155" s="107"/>
      <c r="M155" s="41"/>
      <c r="N155" s="41" t="s">
        <v>82</v>
      </c>
      <c r="O155" s="91">
        <v>0</v>
      </c>
      <c r="P155" s="66">
        <v>1.1599999999999999</v>
      </c>
      <c r="Q155" s="3">
        <v>0</v>
      </c>
      <c r="R155" s="3"/>
      <c r="S155" s="3"/>
      <c r="T155" s="3"/>
      <c r="U155" s="67">
        <f t="shared" si="14"/>
        <v>1.1599999999999999</v>
      </c>
      <c r="V155" s="67">
        <f t="shared" si="15"/>
        <v>0</v>
      </c>
      <c r="W155" s="91"/>
      <c r="X155" s="91"/>
      <c r="Y155" s="3"/>
      <c r="Z155" s="67">
        <f t="shared" si="16"/>
        <v>1.1599999999999999</v>
      </c>
      <c r="AA155" s="67">
        <f t="shared" si="17"/>
        <v>0</v>
      </c>
      <c r="AB155" s="91"/>
      <c r="AC155" s="91"/>
      <c r="AD155" s="3"/>
      <c r="AE155" s="67">
        <f t="shared" si="18"/>
        <v>1.1599999999999999</v>
      </c>
      <c r="AF155" s="67">
        <f t="shared" si="19"/>
        <v>0</v>
      </c>
    </row>
    <row r="156" spans="1:32" ht="46.8" hidden="1">
      <c r="A156" s="41">
        <f t="shared" si="20"/>
        <v>154</v>
      </c>
      <c r="B156" s="42" t="s">
        <v>310</v>
      </c>
      <c r="C156" s="42" t="s">
        <v>1002</v>
      </c>
      <c r="D156" s="42" t="s">
        <v>1017</v>
      </c>
      <c r="E156" s="41" t="s">
        <v>1205</v>
      </c>
      <c r="F156" s="43" t="s">
        <v>311</v>
      </c>
      <c r="G156" s="41"/>
      <c r="H156" s="41"/>
      <c r="I156" s="41"/>
      <c r="J156" s="41"/>
      <c r="K156" s="41"/>
      <c r="L156" s="107"/>
      <c r="M156" s="41"/>
      <c r="N156" s="41" t="s">
        <v>67</v>
      </c>
      <c r="O156" s="91">
        <v>0</v>
      </c>
      <c r="P156" s="66">
        <v>0.12</v>
      </c>
      <c r="Q156" s="3">
        <v>0</v>
      </c>
      <c r="R156" s="3"/>
      <c r="S156" s="3"/>
      <c r="T156" s="3"/>
      <c r="U156" s="67">
        <f t="shared" si="14"/>
        <v>0.12</v>
      </c>
      <c r="V156" s="67">
        <f t="shared" si="15"/>
        <v>0</v>
      </c>
      <c r="W156" s="91"/>
      <c r="X156" s="91"/>
      <c r="Y156" s="3"/>
      <c r="Z156" s="67">
        <f t="shared" si="16"/>
        <v>0.12</v>
      </c>
      <c r="AA156" s="67">
        <f t="shared" si="17"/>
        <v>0</v>
      </c>
      <c r="AB156" s="91"/>
      <c r="AC156" s="91"/>
      <c r="AD156" s="3"/>
      <c r="AE156" s="67">
        <f t="shared" si="18"/>
        <v>0.12</v>
      </c>
      <c r="AF156" s="67">
        <f t="shared" si="19"/>
        <v>0</v>
      </c>
    </row>
    <row r="157" spans="1:32" ht="46.8" hidden="1">
      <c r="A157" s="41">
        <f t="shared" si="20"/>
        <v>155</v>
      </c>
      <c r="B157" s="42" t="s">
        <v>312</v>
      </c>
      <c r="C157" s="42" t="s">
        <v>1002</v>
      </c>
      <c r="D157" s="42" t="s">
        <v>1017</v>
      </c>
      <c r="E157" s="41" t="s">
        <v>1206</v>
      </c>
      <c r="F157" s="43" t="s">
        <v>313</v>
      </c>
      <c r="G157" s="41"/>
      <c r="H157" s="41"/>
      <c r="I157" s="41"/>
      <c r="J157" s="41"/>
      <c r="K157" s="41"/>
      <c r="L157" s="107"/>
      <c r="M157" s="41"/>
      <c r="N157" s="41" t="s">
        <v>67</v>
      </c>
      <c r="O157" s="91">
        <v>0</v>
      </c>
      <c r="P157" s="66">
        <v>0.8</v>
      </c>
      <c r="Q157" s="3">
        <v>0</v>
      </c>
      <c r="R157" s="3"/>
      <c r="S157" s="3"/>
      <c r="T157" s="3"/>
      <c r="U157" s="67">
        <f t="shared" si="14"/>
        <v>0.8</v>
      </c>
      <c r="V157" s="67">
        <f t="shared" si="15"/>
        <v>0</v>
      </c>
      <c r="W157" s="91"/>
      <c r="X157" s="91"/>
      <c r="Y157" s="3"/>
      <c r="Z157" s="67">
        <f t="shared" si="16"/>
        <v>0.8</v>
      </c>
      <c r="AA157" s="67">
        <f t="shared" si="17"/>
        <v>0</v>
      </c>
      <c r="AB157" s="91"/>
      <c r="AC157" s="91"/>
      <c r="AD157" s="3"/>
      <c r="AE157" s="67">
        <f t="shared" si="18"/>
        <v>0.8</v>
      </c>
      <c r="AF157" s="67">
        <f t="shared" si="19"/>
        <v>0</v>
      </c>
    </row>
    <row r="158" spans="1:32" ht="46.8" hidden="1">
      <c r="A158" s="41">
        <f t="shared" si="20"/>
        <v>156</v>
      </c>
      <c r="B158" s="42" t="s">
        <v>314</v>
      </c>
      <c r="C158" s="42" t="s">
        <v>1002</v>
      </c>
      <c r="D158" s="41" t="s">
        <v>1019</v>
      </c>
      <c r="E158" s="41" t="s">
        <v>1207</v>
      </c>
      <c r="F158" s="43" t="s">
        <v>315</v>
      </c>
      <c r="G158" s="41"/>
      <c r="H158" s="41"/>
      <c r="I158" s="41"/>
      <c r="J158" s="41"/>
      <c r="K158" s="41"/>
      <c r="L158" s="107"/>
      <c r="M158" s="41"/>
      <c r="N158" s="41" t="s">
        <v>67</v>
      </c>
      <c r="O158" s="91">
        <v>0</v>
      </c>
      <c r="P158" s="66">
        <v>0.78</v>
      </c>
      <c r="Q158" s="3">
        <v>0</v>
      </c>
      <c r="R158" s="3"/>
      <c r="S158" s="3"/>
      <c r="T158" s="3"/>
      <c r="U158" s="67">
        <f t="shared" si="14"/>
        <v>0.78</v>
      </c>
      <c r="V158" s="67">
        <f t="shared" si="15"/>
        <v>0</v>
      </c>
      <c r="W158" s="91"/>
      <c r="X158" s="91"/>
      <c r="Y158" s="3"/>
      <c r="Z158" s="67">
        <f t="shared" si="16"/>
        <v>0.78</v>
      </c>
      <c r="AA158" s="67">
        <f t="shared" si="17"/>
        <v>0</v>
      </c>
      <c r="AB158" s="91"/>
      <c r="AC158" s="91"/>
      <c r="AD158" s="3"/>
      <c r="AE158" s="67">
        <f t="shared" si="18"/>
        <v>0.78</v>
      </c>
      <c r="AF158" s="67">
        <f t="shared" si="19"/>
        <v>0</v>
      </c>
    </row>
    <row r="159" spans="1:32" ht="62.4" hidden="1">
      <c r="A159" s="41">
        <f t="shared" si="20"/>
        <v>157</v>
      </c>
      <c r="B159" s="42" t="s">
        <v>316</v>
      </c>
      <c r="C159" s="42" t="s">
        <v>1002</v>
      </c>
      <c r="D159" s="41" t="s">
        <v>1019</v>
      </c>
      <c r="E159" s="41" t="s">
        <v>1208</v>
      </c>
      <c r="F159" s="43" t="s">
        <v>317</v>
      </c>
      <c r="G159" s="41"/>
      <c r="H159" s="41"/>
      <c r="I159" s="41"/>
      <c r="J159" s="41"/>
      <c r="K159" s="41"/>
      <c r="L159" s="107"/>
      <c r="M159" s="41"/>
      <c r="N159" s="41" t="s">
        <v>67</v>
      </c>
      <c r="O159" s="91">
        <v>0</v>
      </c>
      <c r="P159" s="66">
        <v>0.22</v>
      </c>
      <c r="Q159" s="3">
        <v>0</v>
      </c>
      <c r="R159" s="3"/>
      <c r="S159" s="3"/>
      <c r="T159" s="3"/>
      <c r="U159" s="67">
        <f t="shared" si="14"/>
        <v>0.22</v>
      </c>
      <c r="V159" s="67">
        <f t="shared" si="15"/>
        <v>0</v>
      </c>
      <c r="W159" s="91"/>
      <c r="X159" s="91"/>
      <c r="Y159" s="3"/>
      <c r="Z159" s="67">
        <f t="shared" si="16"/>
        <v>0.22</v>
      </c>
      <c r="AA159" s="67">
        <f t="shared" si="17"/>
        <v>0</v>
      </c>
      <c r="AB159" s="91"/>
      <c r="AC159" s="91"/>
      <c r="AD159" s="3"/>
      <c r="AE159" s="67">
        <f t="shared" si="18"/>
        <v>0.22</v>
      </c>
      <c r="AF159" s="67">
        <f t="shared" si="19"/>
        <v>0</v>
      </c>
    </row>
    <row r="160" spans="1:32" ht="46.8" hidden="1">
      <c r="A160" s="41">
        <f t="shared" si="20"/>
        <v>158</v>
      </c>
      <c r="B160" s="42" t="s">
        <v>318</v>
      </c>
      <c r="C160" s="42" t="s">
        <v>1002</v>
      </c>
      <c r="D160" s="41" t="s">
        <v>1019</v>
      </c>
      <c r="E160" s="41" t="s">
        <v>1209</v>
      </c>
      <c r="F160" s="43" t="s">
        <v>319</v>
      </c>
      <c r="G160" s="41"/>
      <c r="H160" s="41"/>
      <c r="I160" s="41"/>
      <c r="J160" s="41"/>
      <c r="K160" s="41"/>
      <c r="L160" s="107"/>
      <c r="M160" s="41"/>
      <c r="N160" s="41" t="s">
        <v>67</v>
      </c>
      <c r="O160" s="91">
        <v>0</v>
      </c>
      <c r="P160" s="66">
        <v>0.92</v>
      </c>
      <c r="Q160" s="3">
        <v>0</v>
      </c>
      <c r="R160" s="3"/>
      <c r="S160" s="3"/>
      <c r="T160" s="3"/>
      <c r="U160" s="67">
        <f t="shared" si="14"/>
        <v>0.92</v>
      </c>
      <c r="V160" s="67">
        <f t="shared" si="15"/>
        <v>0</v>
      </c>
      <c r="W160" s="91"/>
      <c r="X160" s="91"/>
      <c r="Y160" s="3"/>
      <c r="Z160" s="67">
        <f t="shared" si="16"/>
        <v>0.92</v>
      </c>
      <c r="AA160" s="67">
        <f t="shared" si="17"/>
        <v>0</v>
      </c>
      <c r="AB160" s="91"/>
      <c r="AC160" s="91"/>
      <c r="AD160" s="3"/>
      <c r="AE160" s="67">
        <f t="shared" si="18"/>
        <v>0.92</v>
      </c>
      <c r="AF160" s="67">
        <f t="shared" si="19"/>
        <v>0</v>
      </c>
    </row>
    <row r="161" spans="1:32" ht="47.4" hidden="1">
      <c r="A161" s="41">
        <f t="shared" si="20"/>
        <v>159</v>
      </c>
      <c r="B161" s="42" t="s">
        <v>320</v>
      </c>
      <c r="C161" s="42" t="s">
        <v>1002</v>
      </c>
      <c r="D161" s="41" t="s">
        <v>1019</v>
      </c>
      <c r="E161" s="41" t="s">
        <v>1210</v>
      </c>
      <c r="F161" s="43" t="s">
        <v>1009</v>
      </c>
      <c r="G161" s="41"/>
      <c r="H161" s="41"/>
      <c r="I161" s="41"/>
      <c r="J161" s="41"/>
      <c r="K161" s="41"/>
      <c r="L161" s="107"/>
      <c r="M161" s="41"/>
      <c r="N161" s="41" t="s">
        <v>67</v>
      </c>
      <c r="O161" s="91">
        <v>0</v>
      </c>
      <c r="P161" s="66">
        <v>8.2200000000000006</v>
      </c>
      <c r="Q161" s="3">
        <v>0</v>
      </c>
      <c r="R161" s="3"/>
      <c r="S161" s="3"/>
      <c r="T161" s="3"/>
      <c r="U161" s="67">
        <f t="shared" si="14"/>
        <v>8.2200000000000006</v>
      </c>
      <c r="V161" s="67">
        <f t="shared" si="15"/>
        <v>0</v>
      </c>
      <c r="W161" s="91"/>
      <c r="X161" s="91"/>
      <c r="Y161" s="3"/>
      <c r="Z161" s="67">
        <f t="shared" si="16"/>
        <v>8.2200000000000006</v>
      </c>
      <c r="AA161" s="67">
        <f t="shared" si="17"/>
        <v>0</v>
      </c>
      <c r="AB161" s="91"/>
      <c r="AC161" s="91"/>
      <c r="AD161" s="3"/>
      <c r="AE161" s="67">
        <f t="shared" si="18"/>
        <v>8.2200000000000006</v>
      </c>
      <c r="AF161" s="67">
        <f t="shared" si="19"/>
        <v>0</v>
      </c>
    </row>
    <row r="162" spans="1:32" ht="46.8" hidden="1">
      <c r="A162" s="41">
        <f t="shared" si="20"/>
        <v>160</v>
      </c>
      <c r="B162" s="42" t="s">
        <v>321</v>
      </c>
      <c r="C162" s="34" t="s">
        <v>1002</v>
      </c>
      <c r="D162" s="41" t="s">
        <v>1019</v>
      </c>
      <c r="E162" s="41" t="s">
        <v>1211</v>
      </c>
      <c r="F162" s="43" t="s">
        <v>998</v>
      </c>
      <c r="G162" s="41"/>
      <c r="H162" s="41"/>
      <c r="I162" s="41"/>
      <c r="J162" s="41"/>
      <c r="K162" s="41"/>
      <c r="L162" s="107"/>
      <c r="M162" s="41"/>
      <c r="N162" s="41" t="s">
        <v>67</v>
      </c>
      <c r="O162" s="91">
        <v>0</v>
      </c>
      <c r="P162" s="66">
        <v>0.18</v>
      </c>
      <c r="Q162" s="66">
        <v>0.4</v>
      </c>
      <c r="R162" s="3"/>
      <c r="S162" s="3"/>
      <c r="T162" s="3"/>
      <c r="U162" s="67">
        <f t="shared" si="14"/>
        <v>0.18</v>
      </c>
      <c r="V162" s="67">
        <f t="shared" si="15"/>
        <v>0.4</v>
      </c>
      <c r="W162" s="91"/>
      <c r="X162" s="91"/>
      <c r="Y162" s="3"/>
      <c r="Z162" s="67">
        <f t="shared" si="16"/>
        <v>0.18</v>
      </c>
      <c r="AA162" s="67">
        <f t="shared" si="17"/>
        <v>0.4</v>
      </c>
      <c r="AB162" s="91"/>
      <c r="AC162" s="91"/>
      <c r="AD162" s="3"/>
      <c r="AE162" s="67">
        <f t="shared" si="18"/>
        <v>0.18</v>
      </c>
      <c r="AF162" s="67">
        <f t="shared" si="19"/>
        <v>0.4</v>
      </c>
    </row>
    <row r="163" spans="1:32" ht="46.8" hidden="1">
      <c r="A163" s="41">
        <f t="shared" si="20"/>
        <v>161</v>
      </c>
      <c r="B163" s="42" t="s">
        <v>322</v>
      </c>
      <c r="C163" s="42" t="s">
        <v>1002</v>
      </c>
      <c r="D163" s="41" t="s">
        <v>1019</v>
      </c>
      <c r="E163" s="41" t="s">
        <v>1212</v>
      </c>
      <c r="F163" s="43" t="s">
        <v>323</v>
      </c>
      <c r="G163" s="41"/>
      <c r="H163" s="41"/>
      <c r="I163" s="41"/>
      <c r="J163" s="41"/>
      <c r="K163" s="41"/>
      <c r="L163" s="107"/>
      <c r="M163" s="41"/>
      <c r="N163" s="41" t="s">
        <v>67</v>
      </c>
      <c r="O163" s="91">
        <v>0</v>
      </c>
      <c r="P163" s="66">
        <v>1.17</v>
      </c>
      <c r="Q163" s="3">
        <v>0</v>
      </c>
      <c r="R163" s="3"/>
      <c r="S163" s="3"/>
      <c r="T163" s="3"/>
      <c r="U163" s="67">
        <f t="shared" si="14"/>
        <v>1.17</v>
      </c>
      <c r="V163" s="67">
        <f t="shared" si="15"/>
        <v>0</v>
      </c>
      <c r="W163" s="91"/>
      <c r="X163" s="91"/>
      <c r="Y163" s="3"/>
      <c r="Z163" s="67">
        <f t="shared" si="16"/>
        <v>1.17</v>
      </c>
      <c r="AA163" s="67">
        <f t="shared" si="17"/>
        <v>0</v>
      </c>
      <c r="AB163" s="91"/>
      <c r="AC163" s="91"/>
      <c r="AD163" s="3"/>
      <c r="AE163" s="67">
        <f t="shared" si="18"/>
        <v>1.17</v>
      </c>
      <c r="AF163" s="67">
        <f t="shared" si="19"/>
        <v>0</v>
      </c>
    </row>
    <row r="164" spans="1:32" ht="46.8" hidden="1">
      <c r="A164" s="41">
        <f t="shared" si="20"/>
        <v>162</v>
      </c>
      <c r="B164" s="42" t="s">
        <v>324</v>
      </c>
      <c r="C164" s="42" t="s">
        <v>1002</v>
      </c>
      <c r="D164" s="41" t="s">
        <v>1019</v>
      </c>
      <c r="E164" s="41" t="s">
        <v>1213</v>
      </c>
      <c r="F164" s="43" t="s">
        <v>325</v>
      </c>
      <c r="G164" s="41"/>
      <c r="H164" s="41"/>
      <c r="I164" s="41"/>
      <c r="J164" s="41"/>
      <c r="K164" s="41"/>
      <c r="L164" s="107"/>
      <c r="M164" s="41"/>
      <c r="N164" s="41" t="s">
        <v>67</v>
      </c>
      <c r="O164" s="91">
        <v>0</v>
      </c>
      <c r="P164" s="66">
        <v>0.08</v>
      </c>
      <c r="Q164" s="3">
        <v>0</v>
      </c>
      <c r="R164" s="3"/>
      <c r="S164" s="3"/>
      <c r="T164" s="3"/>
      <c r="U164" s="67">
        <f t="shared" si="14"/>
        <v>0.08</v>
      </c>
      <c r="V164" s="67">
        <f t="shared" si="15"/>
        <v>0</v>
      </c>
      <c r="W164" s="91"/>
      <c r="X164" s="91"/>
      <c r="Y164" s="3"/>
      <c r="Z164" s="67">
        <f t="shared" si="16"/>
        <v>0.08</v>
      </c>
      <c r="AA164" s="67">
        <f t="shared" si="17"/>
        <v>0</v>
      </c>
      <c r="AB164" s="91"/>
      <c r="AC164" s="91"/>
      <c r="AD164" s="3"/>
      <c r="AE164" s="67">
        <f t="shared" si="18"/>
        <v>0.08</v>
      </c>
      <c r="AF164" s="67">
        <f t="shared" si="19"/>
        <v>0</v>
      </c>
    </row>
    <row r="165" spans="1:32" ht="63.6" hidden="1">
      <c r="A165" s="41">
        <f t="shared" si="20"/>
        <v>163</v>
      </c>
      <c r="B165" s="42" t="s">
        <v>326</v>
      </c>
      <c r="C165" s="42" t="s">
        <v>1002</v>
      </c>
      <c r="D165" s="41" t="s">
        <v>1019</v>
      </c>
      <c r="E165" s="41" t="s">
        <v>1214</v>
      </c>
      <c r="F165" s="43" t="s">
        <v>1010</v>
      </c>
      <c r="G165" s="41"/>
      <c r="H165" s="41"/>
      <c r="I165" s="41"/>
      <c r="J165" s="41"/>
      <c r="K165" s="41"/>
      <c r="L165" s="107"/>
      <c r="M165" s="41"/>
      <c r="N165" s="41" t="s">
        <v>67</v>
      </c>
      <c r="O165" s="91">
        <v>0</v>
      </c>
      <c r="P165" s="66">
        <v>1.4</v>
      </c>
      <c r="Q165" s="66">
        <v>0.36</v>
      </c>
      <c r="R165" s="25">
        <v>0.36703669999999999</v>
      </c>
      <c r="S165" s="3">
        <v>0.36703669999999999</v>
      </c>
      <c r="T165" s="3"/>
      <c r="U165" s="67">
        <f t="shared" si="14"/>
        <v>1.7670366999999998</v>
      </c>
      <c r="V165" s="67">
        <f t="shared" si="15"/>
        <v>0.36</v>
      </c>
      <c r="W165" s="91"/>
      <c r="X165" s="91"/>
      <c r="Y165" s="3"/>
      <c r="Z165" s="67">
        <f t="shared" si="16"/>
        <v>1.7670366999999998</v>
      </c>
      <c r="AA165" s="67">
        <f t="shared" si="17"/>
        <v>0.36</v>
      </c>
      <c r="AB165" s="91"/>
      <c r="AC165" s="91"/>
      <c r="AD165" s="3"/>
      <c r="AE165" s="67">
        <f t="shared" si="18"/>
        <v>1.7670366999999998</v>
      </c>
      <c r="AF165" s="67">
        <f t="shared" si="19"/>
        <v>0.36</v>
      </c>
    </row>
    <row r="166" spans="1:32" ht="46.8" hidden="1">
      <c r="A166" s="41">
        <f t="shared" si="20"/>
        <v>164</v>
      </c>
      <c r="B166" s="42" t="s">
        <v>327</v>
      </c>
      <c r="C166" s="42" t="s">
        <v>1002</v>
      </c>
      <c r="D166" s="41" t="s">
        <v>1019</v>
      </c>
      <c r="E166" s="41" t="s">
        <v>1215</v>
      </c>
      <c r="F166" s="43" t="s">
        <v>328</v>
      </c>
      <c r="G166" s="41"/>
      <c r="H166" s="41"/>
      <c r="I166" s="41"/>
      <c r="J166" s="41"/>
      <c r="K166" s="41"/>
      <c r="L166" s="107"/>
      <c r="M166" s="41"/>
      <c r="N166" s="41" t="s">
        <v>67</v>
      </c>
      <c r="O166" s="91">
        <v>0</v>
      </c>
      <c r="P166" s="66">
        <v>0.32</v>
      </c>
      <c r="Q166" s="3">
        <v>0</v>
      </c>
      <c r="R166" s="3"/>
      <c r="S166" s="3"/>
      <c r="T166" s="3"/>
      <c r="U166" s="67">
        <f t="shared" si="14"/>
        <v>0.32</v>
      </c>
      <c r="V166" s="67">
        <f t="shared" si="15"/>
        <v>0</v>
      </c>
      <c r="W166" s="91"/>
      <c r="X166" s="91"/>
      <c r="Y166" s="3"/>
      <c r="Z166" s="67">
        <f t="shared" si="16"/>
        <v>0.32</v>
      </c>
      <c r="AA166" s="67">
        <f t="shared" si="17"/>
        <v>0</v>
      </c>
      <c r="AB166" s="91"/>
      <c r="AC166" s="91"/>
      <c r="AD166" s="3"/>
      <c r="AE166" s="67">
        <f t="shared" si="18"/>
        <v>0.32</v>
      </c>
      <c r="AF166" s="67">
        <f t="shared" si="19"/>
        <v>0</v>
      </c>
    </row>
    <row r="167" spans="1:32" ht="46.8" hidden="1">
      <c r="A167" s="41">
        <f t="shared" si="20"/>
        <v>165</v>
      </c>
      <c r="B167" s="42" t="s">
        <v>329</v>
      </c>
      <c r="C167" s="42" t="s">
        <v>1002</v>
      </c>
      <c r="D167" s="41" t="s">
        <v>1019</v>
      </c>
      <c r="E167" s="41" t="s">
        <v>1216</v>
      </c>
      <c r="F167" s="43" t="s">
        <v>881</v>
      </c>
      <c r="G167" s="41"/>
      <c r="H167" s="41"/>
      <c r="I167" s="41"/>
      <c r="J167" s="41"/>
      <c r="K167" s="41"/>
      <c r="L167" s="107"/>
      <c r="M167" s="41"/>
      <c r="N167" s="41" t="s">
        <v>67</v>
      </c>
      <c r="O167" s="91">
        <v>0</v>
      </c>
      <c r="P167" s="66">
        <v>1.08</v>
      </c>
      <c r="Q167" s="66">
        <v>0.09</v>
      </c>
      <c r="R167" s="3"/>
      <c r="S167" s="3"/>
      <c r="T167" s="3"/>
      <c r="U167" s="67">
        <f t="shared" si="14"/>
        <v>1.08</v>
      </c>
      <c r="V167" s="67">
        <f t="shared" si="15"/>
        <v>0.09</v>
      </c>
      <c r="W167" s="91"/>
      <c r="X167" s="91"/>
      <c r="Y167" s="3"/>
      <c r="Z167" s="67">
        <f t="shared" si="16"/>
        <v>1.08</v>
      </c>
      <c r="AA167" s="67">
        <f t="shared" si="17"/>
        <v>0.09</v>
      </c>
      <c r="AB167" s="91"/>
      <c r="AC167" s="91"/>
      <c r="AD167" s="3"/>
      <c r="AE167" s="67">
        <f t="shared" si="18"/>
        <v>1.08</v>
      </c>
      <c r="AF167" s="67">
        <f t="shared" si="19"/>
        <v>0.09</v>
      </c>
    </row>
    <row r="168" spans="1:32" ht="46.8" hidden="1">
      <c r="A168" s="41">
        <f t="shared" si="20"/>
        <v>166</v>
      </c>
      <c r="B168" s="42" t="s">
        <v>330</v>
      </c>
      <c r="C168" s="42" t="s">
        <v>1002</v>
      </c>
      <c r="D168" s="41" t="s">
        <v>1019</v>
      </c>
      <c r="E168" s="41" t="s">
        <v>1217</v>
      </c>
      <c r="F168" s="43" t="s">
        <v>331</v>
      </c>
      <c r="G168" s="41"/>
      <c r="H168" s="41"/>
      <c r="I168" s="41"/>
      <c r="J168" s="41"/>
      <c r="K168" s="41"/>
      <c r="L168" s="107"/>
      <c r="M168" s="41"/>
      <c r="N168" s="41" t="s">
        <v>67</v>
      </c>
      <c r="O168" s="91">
        <v>0</v>
      </c>
      <c r="P168" s="66">
        <v>0.44</v>
      </c>
      <c r="Q168" s="3">
        <v>0</v>
      </c>
      <c r="R168" s="3"/>
      <c r="S168" s="3"/>
      <c r="T168" s="3"/>
      <c r="U168" s="67">
        <f t="shared" si="14"/>
        <v>0.44</v>
      </c>
      <c r="V168" s="67">
        <f t="shared" si="15"/>
        <v>0</v>
      </c>
      <c r="W168" s="91"/>
      <c r="X168" s="91"/>
      <c r="Y168" s="3"/>
      <c r="Z168" s="67">
        <f t="shared" si="16"/>
        <v>0.44</v>
      </c>
      <c r="AA168" s="67">
        <f t="shared" si="17"/>
        <v>0</v>
      </c>
      <c r="AB168" s="91"/>
      <c r="AC168" s="91"/>
      <c r="AD168" s="3"/>
      <c r="AE168" s="67">
        <f t="shared" si="18"/>
        <v>0.44</v>
      </c>
      <c r="AF168" s="67">
        <f t="shared" si="19"/>
        <v>0</v>
      </c>
    </row>
    <row r="169" spans="1:32" ht="62.4" hidden="1">
      <c r="A169" s="41">
        <f t="shared" si="20"/>
        <v>167</v>
      </c>
      <c r="B169" s="42" t="s">
        <v>332</v>
      </c>
      <c r="C169" s="42" t="s">
        <v>1002</v>
      </c>
      <c r="D169" s="41" t="s">
        <v>1019</v>
      </c>
      <c r="E169" s="41" t="s">
        <v>1218</v>
      </c>
      <c r="F169" s="43" t="s">
        <v>333</v>
      </c>
      <c r="G169" s="41"/>
      <c r="H169" s="41"/>
      <c r="I169" s="41"/>
      <c r="J169" s="41"/>
      <c r="K169" s="41"/>
      <c r="L169" s="107"/>
      <c r="M169" s="41"/>
      <c r="N169" s="41" t="s">
        <v>67</v>
      </c>
      <c r="O169" s="91">
        <v>0</v>
      </c>
      <c r="P169" s="66">
        <v>0.41</v>
      </c>
      <c r="Q169" s="3">
        <v>0</v>
      </c>
      <c r="R169" s="3"/>
      <c r="S169" s="3"/>
      <c r="T169" s="3"/>
      <c r="U169" s="67">
        <f t="shared" si="14"/>
        <v>0.41</v>
      </c>
      <c r="V169" s="67">
        <f t="shared" si="15"/>
        <v>0</v>
      </c>
      <c r="W169" s="91"/>
      <c r="X169" s="91"/>
      <c r="Y169" s="3"/>
      <c r="Z169" s="67">
        <f t="shared" si="16"/>
        <v>0.41</v>
      </c>
      <c r="AA169" s="67">
        <f t="shared" si="17"/>
        <v>0</v>
      </c>
      <c r="AB169" s="91"/>
      <c r="AC169" s="91"/>
      <c r="AD169" s="3"/>
      <c r="AE169" s="67">
        <f t="shared" si="18"/>
        <v>0.41</v>
      </c>
      <c r="AF169" s="67">
        <f t="shared" si="19"/>
        <v>0</v>
      </c>
    </row>
    <row r="170" spans="1:32" ht="46.8">
      <c r="A170" s="41">
        <f t="shared" si="20"/>
        <v>168</v>
      </c>
      <c r="B170" s="42" t="s">
        <v>334</v>
      </c>
      <c r="C170" s="42" t="s">
        <v>876</v>
      </c>
      <c r="D170" s="41" t="s">
        <v>1019</v>
      </c>
      <c r="E170" s="41" t="s">
        <v>1219</v>
      </c>
      <c r="F170" s="43" t="s">
        <v>335</v>
      </c>
      <c r="G170" s="41"/>
      <c r="H170" s="41"/>
      <c r="I170" s="41"/>
      <c r="J170" s="41"/>
      <c r="K170" s="41"/>
      <c r="L170" s="107"/>
      <c r="M170" s="41"/>
      <c r="N170" s="41" t="s">
        <v>516</v>
      </c>
      <c r="O170" s="91">
        <v>0</v>
      </c>
      <c r="P170" s="3">
        <v>0</v>
      </c>
      <c r="Q170" s="66">
        <v>15.28</v>
      </c>
      <c r="R170" s="3"/>
      <c r="S170" s="3"/>
      <c r="T170" s="3"/>
      <c r="U170" s="67">
        <f t="shared" si="14"/>
        <v>0</v>
      </c>
      <c r="V170" s="67">
        <f t="shared" si="15"/>
        <v>15.28</v>
      </c>
      <c r="W170" s="91"/>
      <c r="X170" s="91"/>
      <c r="Y170" s="3"/>
      <c r="Z170" s="67">
        <f t="shared" si="16"/>
        <v>0</v>
      </c>
      <c r="AA170" s="67">
        <f t="shared" si="17"/>
        <v>15.28</v>
      </c>
      <c r="AB170" s="91"/>
      <c r="AC170" s="91"/>
      <c r="AD170" s="3"/>
      <c r="AE170" s="67">
        <f t="shared" si="18"/>
        <v>0</v>
      </c>
      <c r="AF170" s="67">
        <f t="shared" si="19"/>
        <v>15.28</v>
      </c>
    </row>
    <row r="171" spans="1:32" ht="46.8">
      <c r="A171" s="41">
        <f t="shared" si="20"/>
        <v>169</v>
      </c>
      <c r="B171" s="41" t="s">
        <v>534</v>
      </c>
      <c r="C171" s="41" t="s">
        <v>876</v>
      </c>
      <c r="D171" s="41" t="s">
        <v>1017</v>
      </c>
      <c r="E171" s="41" t="s">
        <v>1220</v>
      </c>
      <c r="F171" s="43" t="s">
        <v>1018</v>
      </c>
      <c r="G171" s="41" t="s">
        <v>28</v>
      </c>
      <c r="H171" s="41"/>
      <c r="I171" s="41"/>
      <c r="J171" s="41"/>
      <c r="K171" s="41"/>
      <c r="L171" s="91"/>
      <c r="M171" s="3"/>
      <c r="N171" s="41" t="s">
        <v>29</v>
      </c>
      <c r="O171" s="91">
        <v>0</v>
      </c>
      <c r="P171" s="3">
        <v>3.8840968999999999</v>
      </c>
      <c r="Q171" s="66">
        <v>-0.71409689999999992</v>
      </c>
      <c r="R171" s="25">
        <v>1.18E-2</v>
      </c>
      <c r="S171" s="22"/>
      <c r="T171" s="3"/>
      <c r="U171" s="67">
        <f t="shared" si="14"/>
        <v>3.8840968999999999</v>
      </c>
      <c r="V171" s="79">
        <f t="shared" si="15"/>
        <v>-0.70229689999999989</v>
      </c>
      <c r="W171" s="94"/>
      <c r="X171" s="91"/>
      <c r="Y171" s="3"/>
      <c r="Z171" s="67">
        <f t="shared" si="16"/>
        <v>3.8840968999999999</v>
      </c>
      <c r="AA171" s="67">
        <f t="shared" si="17"/>
        <v>-0.70229689999999989</v>
      </c>
      <c r="AB171" s="91"/>
      <c r="AC171" s="91"/>
      <c r="AD171" s="3"/>
      <c r="AE171" s="67">
        <f t="shared" si="18"/>
        <v>3.8840968999999999</v>
      </c>
      <c r="AF171" s="67">
        <f t="shared" si="19"/>
        <v>-0.70229689999999989</v>
      </c>
    </row>
    <row r="172" spans="1:32" ht="62.4">
      <c r="A172" s="41">
        <f t="shared" si="20"/>
        <v>170</v>
      </c>
      <c r="B172" s="41" t="s">
        <v>537</v>
      </c>
      <c r="C172" s="41" t="s">
        <v>876</v>
      </c>
      <c r="D172" s="34" t="s">
        <v>1017</v>
      </c>
      <c r="E172" s="41" t="s">
        <v>1221</v>
      </c>
      <c r="F172" s="43" t="s">
        <v>538</v>
      </c>
      <c r="G172" s="41" t="s">
        <v>28</v>
      </c>
      <c r="H172" s="41"/>
      <c r="I172" s="41"/>
      <c r="J172" s="41"/>
      <c r="K172" s="41"/>
      <c r="L172" s="91"/>
      <c r="M172" s="3"/>
      <c r="N172" s="41" t="s">
        <v>29</v>
      </c>
      <c r="O172" s="91">
        <v>0</v>
      </c>
      <c r="P172" s="66">
        <v>6.2967306000000001</v>
      </c>
      <c r="Q172" s="3">
        <v>-0.3458403000000001</v>
      </c>
      <c r="R172" s="69"/>
      <c r="S172" s="22"/>
      <c r="T172" s="3"/>
      <c r="U172" s="67">
        <f t="shared" si="14"/>
        <v>6.2967306000000001</v>
      </c>
      <c r="V172" s="79">
        <f t="shared" si="15"/>
        <v>-0.3458403000000001</v>
      </c>
      <c r="W172" s="91"/>
      <c r="X172" s="91"/>
      <c r="Y172" s="3"/>
      <c r="Z172" s="67">
        <f t="shared" si="16"/>
        <v>6.2967306000000001</v>
      </c>
      <c r="AA172" s="67">
        <f t="shared" si="17"/>
        <v>-0.3458403000000001</v>
      </c>
      <c r="AB172" s="91"/>
      <c r="AC172" s="91"/>
      <c r="AD172" s="3"/>
      <c r="AE172" s="67">
        <f t="shared" si="18"/>
        <v>6.2967306000000001</v>
      </c>
      <c r="AF172" s="67">
        <f t="shared" si="19"/>
        <v>-0.3458403000000001</v>
      </c>
    </row>
    <row r="173" spans="1:32" ht="62.4">
      <c r="A173" s="41">
        <f t="shared" si="20"/>
        <v>171</v>
      </c>
      <c r="B173" s="41" t="s">
        <v>726</v>
      </c>
      <c r="C173" s="41" t="s">
        <v>876</v>
      </c>
      <c r="D173" s="41" t="s">
        <v>1019</v>
      </c>
      <c r="E173" s="41" t="s">
        <v>1222</v>
      </c>
      <c r="F173" s="43" t="s">
        <v>727</v>
      </c>
      <c r="G173" s="41" t="s">
        <v>28</v>
      </c>
      <c r="H173" s="41">
        <v>2</v>
      </c>
      <c r="I173" s="41" t="s">
        <v>728</v>
      </c>
      <c r="J173" s="41" t="s">
        <v>729</v>
      </c>
      <c r="K173" s="41" t="s">
        <v>730</v>
      </c>
      <c r="L173" s="91">
        <v>8.58</v>
      </c>
      <c r="M173" s="3"/>
      <c r="N173" s="41" t="s">
        <v>516</v>
      </c>
      <c r="O173" s="91">
        <v>10.42</v>
      </c>
      <c r="P173" s="3">
        <v>0</v>
      </c>
      <c r="Q173" s="66">
        <v>9.6070594000000007</v>
      </c>
      <c r="R173" s="25">
        <v>0.44942029999999999</v>
      </c>
      <c r="S173" s="3">
        <v>10.0563462</v>
      </c>
      <c r="T173" s="3"/>
      <c r="U173" s="67">
        <f t="shared" si="14"/>
        <v>10.0563462</v>
      </c>
      <c r="V173" s="67">
        <f t="shared" si="15"/>
        <v>1.335000000004527E-4</v>
      </c>
      <c r="W173" s="92">
        <f>0.2840722+0.0011027</f>
        <v>0.28517490000000001</v>
      </c>
      <c r="X173" s="91"/>
      <c r="Y173" s="3"/>
      <c r="Z173" s="67">
        <f t="shared" si="16"/>
        <v>10.0563462</v>
      </c>
      <c r="AA173" s="67">
        <f t="shared" si="17"/>
        <v>0.28530840000000046</v>
      </c>
      <c r="AB173" s="91"/>
      <c r="AC173" s="91"/>
      <c r="AD173" s="3"/>
      <c r="AE173" s="67">
        <f t="shared" si="18"/>
        <v>10.0563462</v>
      </c>
      <c r="AF173" s="67">
        <f t="shared" si="19"/>
        <v>0.28530840000000046</v>
      </c>
    </row>
    <row r="174" spans="1:32" ht="93.6">
      <c r="A174" s="41">
        <f t="shared" si="20"/>
        <v>172</v>
      </c>
      <c r="B174" s="41" t="s">
        <v>774</v>
      </c>
      <c r="C174" s="42" t="s">
        <v>876</v>
      </c>
      <c r="D174" s="41" t="s">
        <v>1019</v>
      </c>
      <c r="E174" s="41" t="s">
        <v>1223</v>
      </c>
      <c r="F174" s="43" t="s">
        <v>775</v>
      </c>
      <c r="G174" s="41"/>
      <c r="H174" s="41"/>
      <c r="I174" s="41"/>
      <c r="J174" s="41"/>
      <c r="K174" s="41"/>
      <c r="L174" s="107"/>
      <c r="M174" s="41"/>
      <c r="N174" s="41" t="s">
        <v>516</v>
      </c>
      <c r="O174" s="91">
        <v>0</v>
      </c>
      <c r="P174" s="3">
        <v>0</v>
      </c>
      <c r="Q174" s="66">
        <v>8.2451836000000007</v>
      </c>
      <c r="R174" s="25">
        <v>0.41024359999999999</v>
      </c>
      <c r="S174" s="3">
        <f>4.3287011+4.3266572</f>
        <v>8.6553582999999996</v>
      </c>
      <c r="T174" s="3"/>
      <c r="U174" s="67">
        <f t="shared" si="14"/>
        <v>8.6553582999999996</v>
      </c>
      <c r="V174" s="67">
        <f t="shared" si="15"/>
        <v>6.8900000000482464E-5</v>
      </c>
      <c r="W174" s="92">
        <f>0.0438607+0.4301226</f>
        <v>0.4739833</v>
      </c>
      <c r="X174" s="91"/>
      <c r="Y174" s="3"/>
      <c r="Z174" s="67">
        <f t="shared" si="16"/>
        <v>8.6553582999999996</v>
      </c>
      <c r="AA174" s="67">
        <f t="shared" si="17"/>
        <v>0.47405220000000048</v>
      </c>
      <c r="AB174" s="91"/>
      <c r="AC174" s="91"/>
      <c r="AD174" s="3"/>
      <c r="AE174" s="67">
        <f t="shared" si="18"/>
        <v>8.6553582999999996</v>
      </c>
      <c r="AF174" s="67">
        <f t="shared" si="19"/>
        <v>0.47405220000000048</v>
      </c>
    </row>
    <row r="175" spans="1:32" ht="46.8" hidden="1">
      <c r="A175" s="41">
        <f t="shared" si="20"/>
        <v>173</v>
      </c>
      <c r="B175" s="41" t="s">
        <v>751</v>
      </c>
      <c r="C175" s="34" t="s">
        <v>1002</v>
      </c>
      <c r="D175" s="42" t="s">
        <v>1019</v>
      </c>
      <c r="E175" s="41" t="s">
        <v>1224</v>
      </c>
      <c r="F175" s="43" t="s">
        <v>336</v>
      </c>
      <c r="G175" s="41" t="s">
        <v>337</v>
      </c>
      <c r="H175" s="41"/>
      <c r="I175" s="41"/>
      <c r="J175" s="41"/>
      <c r="K175" s="41"/>
      <c r="L175" s="107"/>
      <c r="M175" s="41"/>
      <c r="N175" s="41" t="s">
        <v>516</v>
      </c>
      <c r="O175" s="91">
        <v>0</v>
      </c>
      <c r="P175" s="3">
        <v>0</v>
      </c>
      <c r="Q175" s="66">
        <v>5.8504190000000005</v>
      </c>
      <c r="R175" s="69"/>
      <c r="S175" s="3"/>
      <c r="T175" s="3"/>
      <c r="U175" s="67">
        <f t="shared" si="14"/>
        <v>0</v>
      </c>
      <c r="V175" s="67">
        <f t="shared" si="15"/>
        <v>5.8504190000000005</v>
      </c>
      <c r="W175" s="91"/>
      <c r="X175" s="93"/>
      <c r="Y175" s="3"/>
      <c r="Z175" s="67">
        <f t="shared" si="16"/>
        <v>0</v>
      </c>
      <c r="AA175" s="67">
        <f t="shared" si="17"/>
        <v>5.8504190000000005</v>
      </c>
      <c r="AB175" s="91"/>
      <c r="AC175" s="91"/>
      <c r="AD175" s="3"/>
      <c r="AE175" s="67">
        <f t="shared" si="18"/>
        <v>0</v>
      </c>
      <c r="AF175" s="67">
        <f t="shared" si="19"/>
        <v>5.8504190000000005</v>
      </c>
    </row>
    <row r="176" spans="1:32" ht="46.8" hidden="1">
      <c r="A176" s="41">
        <f t="shared" si="20"/>
        <v>174</v>
      </c>
      <c r="B176" s="34" t="s">
        <v>890</v>
      </c>
      <c r="C176" s="34" t="s">
        <v>1002</v>
      </c>
      <c r="D176" s="42" t="s">
        <v>1019</v>
      </c>
      <c r="E176" s="41" t="s">
        <v>1225</v>
      </c>
      <c r="F176" s="43" t="s">
        <v>338</v>
      </c>
      <c r="G176" s="41"/>
      <c r="H176" s="41"/>
      <c r="I176" s="41"/>
      <c r="J176" s="41"/>
      <c r="K176" s="41"/>
      <c r="L176" s="107"/>
      <c r="M176" s="41"/>
      <c r="N176" s="41" t="s">
        <v>67</v>
      </c>
      <c r="O176" s="91">
        <v>0</v>
      </c>
      <c r="P176" s="66">
        <v>0.14000000000000001</v>
      </c>
      <c r="Q176" s="3">
        <v>0</v>
      </c>
      <c r="R176" s="3"/>
      <c r="S176" s="3"/>
      <c r="T176" s="3"/>
      <c r="U176" s="67">
        <f t="shared" si="14"/>
        <v>0.14000000000000001</v>
      </c>
      <c r="V176" s="67">
        <f t="shared" si="15"/>
        <v>0</v>
      </c>
      <c r="W176" s="91"/>
      <c r="X176" s="91"/>
      <c r="Y176" s="3"/>
      <c r="Z176" s="67">
        <f t="shared" si="16"/>
        <v>0.14000000000000001</v>
      </c>
      <c r="AA176" s="67">
        <f t="shared" si="17"/>
        <v>0</v>
      </c>
      <c r="AB176" s="91"/>
      <c r="AC176" s="91"/>
      <c r="AD176" s="3"/>
      <c r="AE176" s="67">
        <f t="shared" si="18"/>
        <v>0.14000000000000001</v>
      </c>
      <c r="AF176" s="67">
        <f t="shared" si="19"/>
        <v>0</v>
      </c>
    </row>
    <row r="177" spans="1:32" ht="46.8" hidden="1">
      <c r="A177" s="41">
        <f t="shared" si="20"/>
        <v>175</v>
      </c>
      <c r="B177" s="42" t="s">
        <v>891</v>
      </c>
      <c r="C177" s="34" t="s">
        <v>1002</v>
      </c>
      <c r="D177" s="42" t="s">
        <v>1017</v>
      </c>
      <c r="E177" s="41" t="s">
        <v>1226</v>
      </c>
      <c r="F177" s="43" t="s">
        <v>339</v>
      </c>
      <c r="G177" s="41"/>
      <c r="H177" s="41"/>
      <c r="I177" s="41"/>
      <c r="J177" s="41"/>
      <c r="K177" s="41"/>
      <c r="L177" s="107"/>
      <c r="M177" s="41"/>
      <c r="N177" s="41" t="s">
        <v>67</v>
      </c>
      <c r="O177" s="91">
        <v>0</v>
      </c>
      <c r="P177" s="3">
        <v>0</v>
      </c>
      <c r="Q177" s="66">
        <v>0.08</v>
      </c>
      <c r="R177" s="3"/>
      <c r="S177" s="3">
        <v>8.2913000000000001E-2</v>
      </c>
      <c r="T177" s="3"/>
      <c r="U177" s="67">
        <f t="shared" si="14"/>
        <v>8.2913000000000001E-2</v>
      </c>
      <c r="V177" s="79">
        <f t="shared" si="15"/>
        <v>-2.9129999999999989E-3</v>
      </c>
      <c r="W177" s="91"/>
      <c r="X177" s="91"/>
      <c r="Y177" s="3"/>
      <c r="Z177" s="67">
        <f t="shared" si="16"/>
        <v>8.2913000000000001E-2</v>
      </c>
      <c r="AA177" s="67">
        <f t="shared" si="17"/>
        <v>-2.9129999999999989E-3</v>
      </c>
      <c r="AB177" s="91"/>
      <c r="AC177" s="91"/>
      <c r="AD177" s="3"/>
      <c r="AE177" s="67">
        <f t="shared" si="18"/>
        <v>8.2913000000000001E-2</v>
      </c>
      <c r="AF177" s="67">
        <f t="shared" si="19"/>
        <v>-2.9129999999999989E-3</v>
      </c>
    </row>
    <row r="178" spans="1:32" ht="46.8" hidden="1">
      <c r="A178" s="41">
        <f t="shared" si="20"/>
        <v>176</v>
      </c>
      <c r="B178" s="34" t="s">
        <v>892</v>
      </c>
      <c r="C178" s="34" t="s">
        <v>1002</v>
      </c>
      <c r="D178" s="42" t="s">
        <v>1017</v>
      </c>
      <c r="E178" s="41" t="s">
        <v>1227</v>
      </c>
      <c r="F178" s="43" t="s">
        <v>340</v>
      </c>
      <c r="G178" s="41" t="s">
        <v>28</v>
      </c>
      <c r="H178" s="41"/>
      <c r="I178" s="41"/>
      <c r="J178" s="41"/>
      <c r="K178" s="41"/>
      <c r="L178" s="107"/>
      <c r="M178" s="41"/>
      <c r="N178" s="41" t="s">
        <v>29</v>
      </c>
      <c r="O178" s="91">
        <v>0</v>
      </c>
      <c r="P178" s="66">
        <v>0.03</v>
      </c>
      <c r="Q178" s="3">
        <v>0</v>
      </c>
      <c r="R178" s="3"/>
      <c r="S178" s="3"/>
      <c r="T178" s="3"/>
      <c r="U178" s="67">
        <f t="shared" si="14"/>
        <v>0.03</v>
      </c>
      <c r="V178" s="67">
        <f t="shared" si="15"/>
        <v>0</v>
      </c>
      <c r="W178" s="91"/>
      <c r="X178" s="91"/>
      <c r="Y178" s="3"/>
      <c r="Z178" s="67">
        <f t="shared" si="16"/>
        <v>0.03</v>
      </c>
      <c r="AA178" s="67">
        <f t="shared" si="17"/>
        <v>0</v>
      </c>
      <c r="AB178" s="91"/>
      <c r="AC178" s="91"/>
      <c r="AD178" s="3"/>
      <c r="AE178" s="67">
        <f t="shared" si="18"/>
        <v>0.03</v>
      </c>
      <c r="AF178" s="67">
        <f t="shared" si="19"/>
        <v>0</v>
      </c>
    </row>
    <row r="179" spans="1:32" ht="46.8" hidden="1">
      <c r="A179" s="41">
        <f t="shared" si="20"/>
        <v>177</v>
      </c>
      <c r="B179" s="34" t="s">
        <v>893</v>
      </c>
      <c r="C179" s="34" t="s">
        <v>1002</v>
      </c>
      <c r="D179" s="42" t="s">
        <v>1017</v>
      </c>
      <c r="E179" s="41" t="s">
        <v>1228</v>
      </c>
      <c r="F179" s="43" t="s">
        <v>341</v>
      </c>
      <c r="G179" s="41" t="s">
        <v>28</v>
      </c>
      <c r="H179" s="41"/>
      <c r="I179" s="41"/>
      <c r="J179" s="41"/>
      <c r="K179" s="41"/>
      <c r="L179" s="107"/>
      <c r="M179" s="41"/>
      <c r="N179" s="41" t="s">
        <v>29</v>
      </c>
      <c r="O179" s="91">
        <v>0</v>
      </c>
      <c r="P179" s="66">
        <v>4.51</v>
      </c>
      <c r="Q179" s="3">
        <v>0</v>
      </c>
      <c r="R179" s="3"/>
      <c r="S179" s="3"/>
      <c r="T179" s="3"/>
      <c r="U179" s="67">
        <f t="shared" si="14"/>
        <v>4.51</v>
      </c>
      <c r="V179" s="67">
        <f t="shared" si="15"/>
        <v>0</v>
      </c>
      <c r="W179" s="91"/>
      <c r="X179" s="91"/>
      <c r="Y179" s="3"/>
      <c r="Z179" s="67">
        <f t="shared" si="16"/>
        <v>4.51</v>
      </c>
      <c r="AA179" s="67">
        <f t="shared" si="17"/>
        <v>0</v>
      </c>
      <c r="AB179" s="91"/>
      <c r="AC179" s="91"/>
      <c r="AD179" s="3"/>
      <c r="AE179" s="67">
        <f t="shared" si="18"/>
        <v>4.51</v>
      </c>
      <c r="AF179" s="67">
        <f t="shared" si="19"/>
        <v>0</v>
      </c>
    </row>
    <row r="180" spans="1:32" ht="46.8" hidden="1">
      <c r="A180" s="41">
        <f t="shared" si="20"/>
        <v>178</v>
      </c>
      <c r="B180" s="34" t="s">
        <v>894</v>
      </c>
      <c r="C180" s="34" t="s">
        <v>1002</v>
      </c>
      <c r="D180" s="42" t="s">
        <v>1017</v>
      </c>
      <c r="E180" s="41" t="s">
        <v>1229</v>
      </c>
      <c r="F180" s="43" t="s">
        <v>342</v>
      </c>
      <c r="G180" s="41" t="s">
        <v>28</v>
      </c>
      <c r="H180" s="41"/>
      <c r="I180" s="41"/>
      <c r="J180" s="41"/>
      <c r="K180" s="41"/>
      <c r="L180" s="107"/>
      <c r="M180" s="41"/>
      <c r="N180" s="41" t="s">
        <v>29</v>
      </c>
      <c r="O180" s="91">
        <v>0</v>
      </c>
      <c r="P180" s="66">
        <v>4.72</v>
      </c>
      <c r="Q180" s="3">
        <v>0</v>
      </c>
      <c r="R180" s="3"/>
      <c r="S180" s="3"/>
      <c r="T180" s="3"/>
      <c r="U180" s="67">
        <f t="shared" si="14"/>
        <v>4.72</v>
      </c>
      <c r="V180" s="67">
        <f t="shared" si="15"/>
        <v>0</v>
      </c>
      <c r="W180" s="91"/>
      <c r="X180" s="91"/>
      <c r="Y180" s="3"/>
      <c r="Z180" s="67">
        <f t="shared" si="16"/>
        <v>4.72</v>
      </c>
      <c r="AA180" s="67">
        <f t="shared" si="17"/>
        <v>0</v>
      </c>
      <c r="AB180" s="91"/>
      <c r="AC180" s="91"/>
      <c r="AD180" s="3"/>
      <c r="AE180" s="67">
        <f t="shared" si="18"/>
        <v>4.72</v>
      </c>
      <c r="AF180" s="67">
        <f t="shared" si="19"/>
        <v>0</v>
      </c>
    </row>
    <row r="181" spans="1:32" ht="62.4" hidden="1">
      <c r="A181" s="41">
        <f t="shared" si="20"/>
        <v>179</v>
      </c>
      <c r="B181" s="34" t="s">
        <v>895</v>
      </c>
      <c r="C181" s="34" t="s">
        <v>1002</v>
      </c>
      <c r="D181" s="42" t="s">
        <v>1017</v>
      </c>
      <c r="E181" s="41" t="s">
        <v>1230</v>
      </c>
      <c r="F181" s="43" t="s">
        <v>343</v>
      </c>
      <c r="G181" s="41" t="s">
        <v>28</v>
      </c>
      <c r="H181" s="41"/>
      <c r="I181" s="41"/>
      <c r="J181" s="41"/>
      <c r="K181" s="41"/>
      <c r="L181" s="107"/>
      <c r="M181" s="41"/>
      <c r="N181" s="41" t="s">
        <v>29</v>
      </c>
      <c r="O181" s="91">
        <v>0</v>
      </c>
      <c r="P181" s="66">
        <v>0.69</v>
      </c>
      <c r="Q181" s="3">
        <v>0</v>
      </c>
      <c r="R181" s="3"/>
      <c r="S181" s="3"/>
      <c r="T181" s="3"/>
      <c r="U181" s="67">
        <f t="shared" si="14"/>
        <v>0.69</v>
      </c>
      <c r="V181" s="67">
        <f t="shared" si="15"/>
        <v>0</v>
      </c>
      <c r="W181" s="91"/>
      <c r="X181" s="91"/>
      <c r="Y181" s="3"/>
      <c r="Z181" s="67">
        <f t="shared" si="16"/>
        <v>0.69</v>
      </c>
      <c r="AA181" s="67">
        <f t="shared" si="17"/>
        <v>0</v>
      </c>
      <c r="AB181" s="91"/>
      <c r="AC181" s="91"/>
      <c r="AD181" s="3"/>
      <c r="AE181" s="67">
        <f t="shared" si="18"/>
        <v>0.69</v>
      </c>
      <c r="AF181" s="67">
        <f t="shared" si="19"/>
        <v>0</v>
      </c>
    </row>
    <row r="182" spans="1:32" ht="62.4" hidden="1">
      <c r="A182" s="41">
        <f t="shared" si="20"/>
        <v>180</v>
      </c>
      <c r="B182" s="34" t="s">
        <v>896</v>
      </c>
      <c r="C182" s="34" t="s">
        <v>1002</v>
      </c>
      <c r="D182" s="42" t="s">
        <v>1017</v>
      </c>
      <c r="E182" s="41" t="s">
        <v>1231</v>
      </c>
      <c r="F182" s="43" t="s">
        <v>344</v>
      </c>
      <c r="G182" s="41" t="s">
        <v>28</v>
      </c>
      <c r="H182" s="41"/>
      <c r="I182" s="41"/>
      <c r="J182" s="41"/>
      <c r="K182" s="41"/>
      <c r="L182" s="107"/>
      <c r="M182" s="41"/>
      <c r="N182" s="41" t="s">
        <v>29</v>
      </c>
      <c r="O182" s="91">
        <v>0</v>
      </c>
      <c r="P182" s="66">
        <v>0.92</v>
      </c>
      <c r="Q182" s="3">
        <v>0</v>
      </c>
      <c r="R182" s="3"/>
      <c r="S182" s="3"/>
      <c r="T182" s="3"/>
      <c r="U182" s="67">
        <f t="shared" si="14"/>
        <v>0.92</v>
      </c>
      <c r="V182" s="67">
        <f t="shared" si="15"/>
        <v>0</v>
      </c>
      <c r="W182" s="91"/>
      <c r="X182" s="91"/>
      <c r="Y182" s="3"/>
      <c r="Z182" s="67">
        <f t="shared" si="16"/>
        <v>0.92</v>
      </c>
      <c r="AA182" s="67">
        <f t="shared" si="17"/>
        <v>0</v>
      </c>
      <c r="AB182" s="91"/>
      <c r="AC182" s="91"/>
      <c r="AD182" s="3"/>
      <c r="AE182" s="67">
        <f t="shared" si="18"/>
        <v>0.92</v>
      </c>
      <c r="AF182" s="67">
        <f t="shared" si="19"/>
        <v>0</v>
      </c>
    </row>
    <row r="183" spans="1:32" ht="46.8" hidden="1">
      <c r="A183" s="41">
        <f t="shared" si="20"/>
        <v>181</v>
      </c>
      <c r="B183" s="34" t="s">
        <v>897</v>
      </c>
      <c r="C183" s="34" t="s">
        <v>1002</v>
      </c>
      <c r="D183" s="42" t="s">
        <v>1017</v>
      </c>
      <c r="E183" s="41" t="s">
        <v>1232</v>
      </c>
      <c r="F183" s="43" t="s">
        <v>345</v>
      </c>
      <c r="G183" s="41" t="s">
        <v>28</v>
      </c>
      <c r="H183" s="41"/>
      <c r="I183" s="41"/>
      <c r="J183" s="41"/>
      <c r="K183" s="41"/>
      <c r="L183" s="107"/>
      <c r="M183" s="41"/>
      <c r="N183" s="41" t="s">
        <v>29</v>
      </c>
      <c r="O183" s="91">
        <v>0</v>
      </c>
      <c r="P183" s="66">
        <v>0.02</v>
      </c>
      <c r="Q183" s="3">
        <v>0</v>
      </c>
      <c r="R183" s="3"/>
      <c r="S183" s="3"/>
      <c r="T183" s="3"/>
      <c r="U183" s="67">
        <f t="shared" si="14"/>
        <v>0.02</v>
      </c>
      <c r="V183" s="67">
        <f t="shared" si="15"/>
        <v>0</v>
      </c>
      <c r="W183" s="91"/>
      <c r="X183" s="91"/>
      <c r="Y183" s="3"/>
      <c r="Z183" s="67">
        <f t="shared" si="16"/>
        <v>0.02</v>
      </c>
      <c r="AA183" s="67">
        <f t="shared" si="17"/>
        <v>0</v>
      </c>
      <c r="AB183" s="91"/>
      <c r="AC183" s="91"/>
      <c r="AD183" s="3"/>
      <c r="AE183" s="67">
        <f t="shared" si="18"/>
        <v>0.02</v>
      </c>
      <c r="AF183" s="67">
        <f t="shared" si="19"/>
        <v>0</v>
      </c>
    </row>
    <row r="184" spans="1:32" ht="46.8" hidden="1">
      <c r="A184" s="41">
        <f t="shared" si="20"/>
        <v>182</v>
      </c>
      <c r="B184" s="34" t="s">
        <v>898</v>
      </c>
      <c r="C184" s="34" t="s">
        <v>1002</v>
      </c>
      <c r="D184" s="42" t="s">
        <v>1017</v>
      </c>
      <c r="E184" s="41" t="s">
        <v>1233</v>
      </c>
      <c r="F184" s="43" t="s">
        <v>346</v>
      </c>
      <c r="G184" s="41" t="s">
        <v>28</v>
      </c>
      <c r="H184" s="41"/>
      <c r="I184" s="41"/>
      <c r="J184" s="41"/>
      <c r="K184" s="41"/>
      <c r="L184" s="107"/>
      <c r="M184" s="41"/>
      <c r="N184" s="41" t="s">
        <v>29</v>
      </c>
      <c r="O184" s="103">
        <v>38.630000000000003</v>
      </c>
      <c r="P184" s="66">
        <v>2.46</v>
      </c>
      <c r="Q184" s="3">
        <v>0</v>
      </c>
      <c r="R184" s="3"/>
      <c r="S184" s="3"/>
      <c r="T184" s="3"/>
      <c r="U184" s="67">
        <f t="shared" si="14"/>
        <v>2.46</v>
      </c>
      <c r="V184" s="67">
        <f t="shared" si="15"/>
        <v>0</v>
      </c>
      <c r="W184" s="91"/>
      <c r="X184" s="91"/>
      <c r="Y184" s="3"/>
      <c r="Z184" s="67">
        <f t="shared" si="16"/>
        <v>2.46</v>
      </c>
      <c r="AA184" s="67">
        <f t="shared" si="17"/>
        <v>0</v>
      </c>
      <c r="AB184" s="91"/>
      <c r="AC184" s="91"/>
      <c r="AD184" s="3"/>
      <c r="AE184" s="67">
        <f t="shared" si="18"/>
        <v>2.46</v>
      </c>
      <c r="AF184" s="67">
        <f t="shared" si="19"/>
        <v>0</v>
      </c>
    </row>
    <row r="185" spans="1:32" ht="46.8" hidden="1">
      <c r="A185" s="41">
        <f t="shared" si="20"/>
        <v>183</v>
      </c>
      <c r="B185" s="41" t="s">
        <v>724</v>
      </c>
      <c r="C185" s="41" t="s">
        <v>877</v>
      </c>
      <c r="D185" s="41" t="s">
        <v>1019</v>
      </c>
      <c r="E185" s="41" t="s">
        <v>1234</v>
      </c>
      <c r="F185" s="43" t="s">
        <v>725</v>
      </c>
      <c r="G185" s="41"/>
      <c r="H185" s="41"/>
      <c r="I185" s="41"/>
      <c r="J185" s="41"/>
      <c r="K185" s="41"/>
      <c r="L185" s="3"/>
      <c r="M185" s="3"/>
      <c r="N185" s="41" t="s">
        <v>67</v>
      </c>
      <c r="O185" s="3">
        <v>0</v>
      </c>
      <c r="P185" s="3">
        <v>0</v>
      </c>
      <c r="Q185" s="66">
        <v>0.72470880000000004</v>
      </c>
      <c r="R185" s="25">
        <v>0.72747859999999998</v>
      </c>
      <c r="S185" s="3"/>
      <c r="T185" s="3"/>
      <c r="U185" s="67">
        <f t="shared" si="14"/>
        <v>0</v>
      </c>
      <c r="V185" s="67">
        <f t="shared" si="15"/>
        <v>1.4521874000000001</v>
      </c>
      <c r="W185" s="3"/>
      <c r="X185" s="3"/>
      <c r="Y185" s="3"/>
      <c r="Z185" s="67">
        <f t="shared" si="16"/>
        <v>0</v>
      </c>
      <c r="AA185" s="67">
        <f t="shared" si="17"/>
        <v>1.4521874000000001</v>
      </c>
      <c r="AB185" s="3"/>
      <c r="AC185" s="3"/>
      <c r="AD185" s="3"/>
      <c r="AE185" s="67">
        <f t="shared" si="18"/>
        <v>0</v>
      </c>
      <c r="AF185" s="67">
        <f t="shared" si="19"/>
        <v>1.4521874000000001</v>
      </c>
    </row>
    <row r="186" spans="1:32" ht="93.6" hidden="1">
      <c r="A186" s="41">
        <f t="shared" si="20"/>
        <v>184</v>
      </c>
      <c r="B186" s="41" t="s">
        <v>661</v>
      </c>
      <c r="C186" s="41" t="s">
        <v>1000</v>
      </c>
      <c r="D186" s="42" t="s">
        <v>1017</v>
      </c>
      <c r="E186" s="41" t="s">
        <v>1236</v>
      </c>
      <c r="F186" s="43" t="s">
        <v>662</v>
      </c>
      <c r="G186" s="41" t="s">
        <v>28</v>
      </c>
      <c r="H186" s="41"/>
      <c r="I186" s="41"/>
      <c r="J186" s="41"/>
      <c r="K186" s="41"/>
      <c r="L186" s="41"/>
      <c r="M186" s="41"/>
      <c r="N186" s="41" t="s">
        <v>29</v>
      </c>
      <c r="O186" s="3">
        <v>0</v>
      </c>
      <c r="P186" s="66">
        <v>18.16</v>
      </c>
      <c r="Q186" s="3">
        <v>0</v>
      </c>
      <c r="R186" s="3"/>
      <c r="S186" s="3"/>
      <c r="T186" s="3"/>
      <c r="U186" s="67">
        <f t="shared" si="14"/>
        <v>18.16</v>
      </c>
      <c r="V186" s="67">
        <f t="shared" si="15"/>
        <v>0</v>
      </c>
      <c r="W186" s="3"/>
      <c r="X186" s="3"/>
      <c r="Y186" s="3"/>
      <c r="Z186" s="67">
        <f t="shared" si="16"/>
        <v>18.16</v>
      </c>
      <c r="AA186" s="67">
        <f t="shared" si="17"/>
        <v>0</v>
      </c>
      <c r="AB186" s="3"/>
      <c r="AC186" s="3"/>
      <c r="AD186" s="3"/>
      <c r="AE186" s="67">
        <f t="shared" si="18"/>
        <v>18.16</v>
      </c>
      <c r="AF186" s="67">
        <f t="shared" si="19"/>
        <v>0</v>
      </c>
    </row>
    <row r="187" spans="1:32" ht="93.6" hidden="1">
      <c r="A187" s="41">
        <f t="shared" si="20"/>
        <v>185</v>
      </c>
      <c r="B187" s="41" t="s">
        <v>661</v>
      </c>
      <c r="C187" s="41" t="s">
        <v>1001</v>
      </c>
      <c r="D187" s="67" t="s">
        <v>1016</v>
      </c>
      <c r="E187" s="41" t="s">
        <v>1235</v>
      </c>
      <c r="F187" s="43" t="s">
        <v>662</v>
      </c>
      <c r="G187" s="41" t="s">
        <v>28</v>
      </c>
      <c r="H187" s="41">
        <v>3</v>
      </c>
      <c r="I187" s="70" t="s">
        <v>663</v>
      </c>
      <c r="J187" s="70" t="s">
        <v>664</v>
      </c>
      <c r="K187" s="70" t="s">
        <v>665</v>
      </c>
      <c r="L187" s="3">
        <v>70</v>
      </c>
      <c r="M187" s="3"/>
      <c r="N187" s="41" t="s">
        <v>32</v>
      </c>
      <c r="O187" s="3">
        <v>72.78</v>
      </c>
      <c r="P187" s="66">
        <v>68.852474900000004</v>
      </c>
      <c r="Q187" s="66">
        <v>0.67999999999999972</v>
      </c>
      <c r="R187" s="69"/>
      <c r="S187" s="22"/>
      <c r="T187" s="3"/>
      <c r="U187" s="67">
        <f t="shared" si="14"/>
        <v>68.852474900000004</v>
      </c>
      <c r="V187" s="67">
        <f t="shared" si="15"/>
        <v>0.67999999999999972</v>
      </c>
      <c r="W187" s="3"/>
      <c r="X187" s="3"/>
      <c r="Y187" s="3"/>
      <c r="Z187" s="67">
        <f t="shared" si="16"/>
        <v>68.852474900000004</v>
      </c>
      <c r="AA187" s="67">
        <f t="shared" si="17"/>
        <v>0.67999999999999972</v>
      </c>
      <c r="AB187" s="3"/>
      <c r="AC187" s="3"/>
      <c r="AD187" s="3"/>
      <c r="AE187" s="67">
        <f t="shared" si="18"/>
        <v>68.852474900000004</v>
      </c>
      <c r="AF187" s="67">
        <f t="shared" si="19"/>
        <v>0.67999999999999972</v>
      </c>
    </row>
    <row r="188" spans="1:32" ht="46.8" hidden="1">
      <c r="A188" s="41">
        <f t="shared" si="20"/>
        <v>186</v>
      </c>
      <c r="B188" s="34"/>
      <c r="C188" s="34" t="s">
        <v>1002</v>
      </c>
      <c r="D188" s="42" t="s">
        <v>1017</v>
      </c>
      <c r="E188" s="41" t="s">
        <v>1237</v>
      </c>
      <c r="F188" s="43" t="s">
        <v>347</v>
      </c>
      <c r="G188" s="41"/>
      <c r="H188" s="41"/>
      <c r="I188" s="41"/>
      <c r="J188" s="41"/>
      <c r="K188" s="41"/>
      <c r="L188" s="107"/>
      <c r="M188" s="41"/>
      <c r="N188" s="41" t="s">
        <v>82</v>
      </c>
      <c r="O188" s="91">
        <v>0</v>
      </c>
      <c r="P188" s="66">
        <v>61.92</v>
      </c>
      <c r="Q188" s="66">
        <v>16.61</v>
      </c>
      <c r="R188" s="3"/>
      <c r="S188" s="3"/>
      <c r="T188" s="3"/>
      <c r="U188" s="67">
        <f t="shared" si="14"/>
        <v>61.92</v>
      </c>
      <c r="V188" s="67">
        <f t="shared" si="15"/>
        <v>16.61</v>
      </c>
      <c r="W188" s="91"/>
      <c r="X188" s="91"/>
      <c r="Y188" s="3"/>
      <c r="Z188" s="67">
        <f t="shared" si="16"/>
        <v>61.92</v>
      </c>
      <c r="AA188" s="67">
        <f t="shared" si="17"/>
        <v>16.61</v>
      </c>
      <c r="AB188" s="91"/>
      <c r="AC188" s="91"/>
      <c r="AD188" s="3"/>
      <c r="AE188" s="67">
        <f t="shared" si="18"/>
        <v>61.92</v>
      </c>
      <c r="AF188" s="67">
        <f t="shared" si="19"/>
        <v>16.61</v>
      </c>
    </row>
    <row r="189" spans="1:32" ht="46.8" hidden="1">
      <c r="A189" s="41">
        <f t="shared" si="20"/>
        <v>187</v>
      </c>
      <c r="B189" s="34"/>
      <c r="C189" s="34" t="s">
        <v>1002</v>
      </c>
      <c r="D189" s="34" t="s">
        <v>1017</v>
      </c>
      <c r="E189" s="41" t="s">
        <v>1238</v>
      </c>
      <c r="F189" s="43" t="s">
        <v>348</v>
      </c>
      <c r="G189" s="41" t="s">
        <v>28</v>
      </c>
      <c r="H189" s="41"/>
      <c r="I189" s="167" t="s">
        <v>349</v>
      </c>
      <c r="J189" s="167"/>
      <c r="K189" s="167"/>
      <c r="L189" s="174"/>
      <c r="M189" s="167"/>
      <c r="N189" s="41" t="s">
        <v>32</v>
      </c>
      <c r="O189" s="91">
        <v>0</v>
      </c>
      <c r="P189" s="3">
        <v>0</v>
      </c>
      <c r="Q189" s="66">
        <v>0.06</v>
      </c>
      <c r="R189" s="3"/>
      <c r="S189" s="3"/>
      <c r="T189" s="3"/>
      <c r="U189" s="67">
        <f t="shared" si="14"/>
        <v>0</v>
      </c>
      <c r="V189" s="67">
        <f t="shared" si="15"/>
        <v>0.06</v>
      </c>
      <c r="W189" s="91"/>
      <c r="X189" s="91"/>
      <c r="Y189" s="3"/>
      <c r="Z189" s="67">
        <f t="shared" si="16"/>
        <v>0</v>
      </c>
      <c r="AA189" s="67">
        <f t="shared" si="17"/>
        <v>0.06</v>
      </c>
      <c r="AB189" s="91"/>
      <c r="AC189" s="91"/>
      <c r="AD189" s="3"/>
      <c r="AE189" s="67">
        <f t="shared" si="18"/>
        <v>0</v>
      </c>
      <c r="AF189" s="67">
        <f t="shared" si="19"/>
        <v>0.06</v>
      </c>
    </row>
    <row r="190" spans="1:32" ht="46.8" hidden="1">
      <c r="A190" s="41">
        <f t="shared" si="20"/>
        <v>188</v>
      </c>
      <c r="B190" s="34"/>
      <c r="C190" s="34" t="s">
        <v>1002</v>
      </c>
      <c r="D190" s="34" t="s">
        <v>1017</v>
      </c>
      <c r="E190" s="41" t="s">
        <v>1239</v>
      </c>
      <c r="F190" s="43" t="s">
        <v>350</v>
      </c>
      <c r="G190" s="41" t="s">
        <v>28</v>
      </c>
      <c r="H190" s="41"/>
      <c r="I190" s="167" t="s">
        <v>349</v>
      </c>
      <c r="J190" s="167"/>
      <c r="K190" s="167"/>
      <c r="L190" s="174"/>
      <c r="M190" s="167"/>
      <c r="N190" s="41" t="s">
        <v>32</v>
      </c>
      <c r="O190" s="91">
        <v>0</v>
      </c>
      <c r="P190" s="3">
        <v>0</v>
      </c>
      <c r="Q190" s="66">
        <v>0.78</v>
      </c>
      <c r="R190" s="3"/>
      <c r="S190" s="3"/>
      <c r="T190" s="3"/>
      <c r="U190" s="67">
        <f t="shared" si="14"/>
        <v>0</v>
      </c>
      <c r="V190" s="67">
        <f t="shared" si="15"/>
        <v>0.78</v>
      </c>
      <c r="W190" s="91"/>
      <c r="X190" s="91"/>
      <c r="Y190" s="3"/>
      <c r="Z190" s="67">
        <f t="shared" si="16"/>
        <v>0</v>
      </c>
      <c r="AA190" s="67">
        <f t="shared" si="17"/>
        <v>0.78</v>
      </c>
      <c r="AB190" s="91"/>
      <c r="AC190" s="91"/>
      <c r="AD190" s="3"/>
      <c r="AE190" s="67">
        <f t="shared" si="18"/>
        <v>0</v>
      </c>
      <c r="AF190" s="67">
        <f t="shared" si="19"/>
        <v>0.78</v>
      </c>
    </row>
    <row r="191" spans="1:32" ht="46.8" hidden="1">
      <c r="A191" s="41">
        <f t="shared" si="20"/>
        <v>189</v>
      </c>
      <c r="B191" s="34" t="s">
        <v>899</v>
      </c>
      <c r="C191" s="34" t="s">
        <v>1002</v>
      </c>
      <c r="D191" s="41" t="s">
        <v>1019</v>
      </c>
      <c r="E191" s="41" t="s">
        <v>1240</v>
      </c>
      <c r="F191" s="43" t="s">
        <v>351</v>
      </c>
      <c r="G191" s="41" t="s">
        <v>28</v>
      </c>
      <c r="H191" s="41"/>
      <c r="I191" s="167" t="s">
        <v>349</v>
      </c>
      <c r="J191" s="167"/>
      <c r="K191" s="167"/>
      <c r="L191" s="174"/>
      <c r="M191" s="167"/>
      <c r="N191" s="41" t="s">
        <v>32</v>
      </c>
      <c r="O191" s="91">
        <v>0</v>
      </c>
      <c r="P191" s="66">
        <v>0.1</v>
      </c>
      <c r="Q191" s="3">
        <v>0</v>
      </c>
      <c r="R191" s="3"/>
      <c r="S191" s="3"/>
      <c r="T191" s="3"/>
      <c r="U191" s="67">
        <f t="shared" si="14"/>
        <v>0.1</v>
      </c>
      <c r="V191" s="67">
        <f t="shared" si="15"/>
        <v>0</v>
      </c>
      <c r="W191" s="91"/>
      <c r="X191" s="91"/>
      <c r="Y191" s="3"/>
      <c r="Z191" s="67">
        <f t="shared" si="16"/>
        <v>0.1</v>
      </c>
      <c r="AA191" s="67">
        <f t="shared" si="17"/>
        <v>0</v>
      </c>
      <c r="AB191" s="91"/>
      <c r="AC191" s="91"/>
      <c r="AD191" s="3"/>
      <c r="AE191" s="67">
        <f t="shared" si="18"/>
        <v>0.1</v>
      </c>
      <c r="AF191" s="67">
        <f t="shared" si="19"/>
        <v>0</v>
      </c>
    </row>
    <row r="192" spans="1:32" ht="46.8" hidden="1">
      <c r="A192" s="41">
        <f t="shared" si="20"/>
        <v>190</v>
      </c>
      <c r="B192" s="34"/>
      <c r="C192" s="34" t="s">
        <v>1002</v>
      </c>
      <c r="D192" s="34" t="s">
        <v>1017</v>
      </c>
      <c r="E192" s="41" t="s">
        <v>1241</v>
      </c>
      <c r="F192" s="43" t="s">
        <v>352</v>
      </c>
      <c r="G192" s="41" t="s">
        <v>28</v>
      </c>
      <c r="H192" s="41"/>
      <c r="I192" s="167" t="s">
        <v>349</v>
      </c>
      <c r="J192" s="167"/>
      <c r="K192" s="167"/>
      <c r="L192" s="174"/>
      <c r="M192" s="167"/>
      <c r="N192" s="41" t="s">
        <v>32</v>
      </c>
      <c r="O192" s="91">
        <v>0</v>
      </c>
      <c r="P192" s="66">
        <v>0.56000000000000005</v>
      </c>
      <c r="Q192" s="3">
        <v>0</v>
      </c>
      <c r="R192" s="3"/>
      <c r="S192" s="3"/>
      <c r="T192" s="3"/>
      <c r="U192" s="67">
        <f t="shared" si="14"/>
        <v>0.56000000000000005</v>
      </c>
      <c r="V192" s="67">
        <f t="shared" si="15"/>
        <v>0</v>
      </c>
      <c r="W192" s="91"/>
      <c r="X192" s="91"/>
      <c r="Y192" s="3"/>
      <c r="Z192" s="67">
        <f t="shared" si="16"/>
        <v>0.56000000000000005</v>
      </c>
      <c r="AA192" s="67">
        <f t="shared" si="17"/>
        <v>0</v>
      </c>
      <c r="AB192" s="91"/>
      <c r="AC192" s="91"/>
      <c r="AD192" s="3"/>
      <c r="AE192" s="67">
        <f t="shared" si="18"/>
        <v>0.56000000000000005</v>
      </c>
      <c r="AF192" s="67">
        <f t="shared" si="19"/>
        <v>0</v>
      </c>
    </row>
    <row r="193" spans="1:32" ht="46.8" hidden="1">
      <c r="A193" s="41">
        <f t="shared" si="20"/>
        <v>191</v>
      </c>
      <c r="B193" s="34" t="s">
        <v>900</v>
      </c>
      <c r="C193" s="34" t="s">
        <v>1002</v>
      </c>
      <c r="D193" s="34" t="s">
        <v>1017</v>
      </c>
      <c r="E193" s="41" t="s">
        <v>1242</v>
      </c>
      <c r="F193" s="43" t="s">
        <v>353</v>
      </c>
      <c r="G193" s="41" t="s">
        <v>28</v>
      </c>
      <c r="H193" s="41"/>
      <c r="I193" s="167" t="s">
        <v>349</v>
      </c>
      <c r="J193" s="167"/>
      <c r="K193" s="167"/>
      <c r="L193" s="174"/>
      <c r="M193" s="167"/>
      <c r="N193" s="41" t="s">
        <v>32</v>
      </c>
      <c r="O193" s="91">
        <v>0</v>
      </c>
      <c r="P193" s="66">
        <v>0.34</v>
      </c>
      <c r="Q193" s="3">
        <v>0</v>
      </c>
      <c r="R193" s="3"/>
      <c r="S193" s="3"/>
      <c r="T193" s="3"/>
      <c r="U193" s="67">
        <f t="shared" si="14"/>
        <v>0.34</v>
      </c>
      <c r="V193" s="67">
        <f t="shared" si="15"/>
        <v>0</v>
      </c>
      <c r="W193" s="91"/>
      <c r="X193" s="91"/>
      <c r="Y193" s="3"/>
      <c r="Z193" s="67">
        <f t="shared" si="16"/>
        <v>0.34</v>
      </c>
      <c r="AA193" s="67">
        <f t="shared" si="17"/>
        <v>0</v>
      </c>
      <c r="AB193" s="91"/>
      <c r="AC193" s="91"/>
      <c r="AD193" s="3"/>
      <c r="AE193" s="67">
        <f t="shared" si="18"/>
        <v>0.34</v>
      </c>
      <c r="AF193" s="67">
        <f t="shared" si="19"/>
        <v>0</v>
      </c>
    </row>
    <row r="194" spans="1:32" ht="46.8" hidden="1">
      <c r="A194" s="41">
        <f t="shared" si="20"/>
        <v>192</v>
      </c>
      <c r="B194" s="34" t="s">
        <v>901</v>
      </c>
      <c r="C194" s="34" t="s">
        <v>1002</v>
      </c>
      <c r="D194" s="34" t="s">
        <v>1017</v>
      </c>
      <c r="E194" s="41" t="s">
        <v>1243</v>
      </c>
      <c r="F194" s="43" t="s">
        <v>354</v>
      </c>
      <c r="G194" s="41" t="s">
        <v>28</v>
      </c>
      <c r="H194" s="41"/>
      <c r="I194" s="167" t="s">
        <v>349</v>
      </c>
      <c r="J194" s="167"/>
      <c r="K194" s="167"/>
      <c r="L194" s="174"/>
      <c r="M194" s="167"/>
      <c r="N194" s="41" t="s">
        <v>32</v>
      </c>
      <c r="O194" s="91">
        <v>0</v>
      </c>
      <c r="P194" s="66">
        <v>0.82</v>
      </c>
      <c r="Q194" s="3">
        <v>0</v>
      </c>
      <c r="R194" s="3"/>
      <c r="S194" s="3"/>
      <c r="T194" s="3"/>
      <c r="U194" s="67">
        <f t="shared" si="14"/>
        <v>0.82</v>
      </c>
      <c r="V194" s="67">
        <f t="shared" si="15"/>
        <v>0</v>
      </c>
      <c r="W194" s="91"/>
      <c r="X194" s="91"/>
      <c r="Y194" s="3"/>
      <c r="Z194" s="67">
        <f t="shared" si="16"/>
        <v>0.82</v>
      </c>
      <c r="AA194" s="67">
        <f t="shared" si="17"/>
        <v>0</v>
      </c>
      <c r="AB194" s="91"/>
      <c r="AC194" s="91"/>
      <c r="AD194" s="3"/>
      <c r="AE194" s="67">
        <f t="shared" si="18"/>
        <v>0.82</v>
      </c>
      <c r="AF194" s="67">
        <f t="shared" si="19"/>
        <v>0</v>
      </c>
    </row>
    <row r="195" spans="1:32" ht="46.8" hidden="1">
      <c r="A195" s="41">
        <f t="shared" si="20"/>
        <v>193</v>
      </c>
      <c r="B195" s="34" t="s">
        <v>902</v>
      </c>
      <c r="C195" s="34" t="s">
        <v>1002</v>
      </c>
      <c r="D195" s="34" t="s">
        <v>1017</v>
      </c>
      <c r="E195" s="41" t="s">
        <v>1244</v>
      </c>
      <c r="F195" s="43" t="s">
        <v>355</v>
      </c>
      <c r="G195" s="41" t="s">
        <v>28</v>
      </c>
      <c r="H195" s="41"/>
      <c r="I195" s="167" t="s">
        <v>349</v>
      </c>
      <c r="J195" s="167"/>
      <c r="K195" s="167"/>
      <c r="L195" s="174"/>
      <c r="M195" s="167"/>
      <c r="N195" s="41" t="s">
        <v>32</v>
      </c>
      <c r="O195" s="91">
        <v>0</v>
      </c>
      <c r="P195" s="66">
        <v>0.18</v>
      </c>
      <c r="Q195" s="66">
        <v>0</v>
      </c>
      <c r="R195" s="3"/>
      <c r="S195" s="3"/>
      <c r="T195" s="3"/>
      <c r="U195" s="67">
        <f t="shared" si="14"/>
        <v>0.18</v>
      </c>
      <c r="V195" s="67">
        <f t="shared" si="15"/>
        <v>0</v>
      </c>
      <c r="W195" s="91"/>
      <c r="X195" s="91"/>
      <c r="Y195" s="3"/>
      <c r="Z195" s="67">
        <f t="shared" si="16"/>
        <v>0.18</v>
      </c>
      <c r="AA195" s="67">
        <f t="shared" si="17"/>
        <v>0</v>
      </c>
      <c r="AB195" s="91"/>
      <c r="AC195" s="91"/>
      <c r="AD195" s="3"/>
      <c r="AE195" s="67">
        <f t="shared" si="18"/>
        <v>0.18</v>
      </c>
      <c r="AF195" s="67">
        <f t="shared" si="19"/>
        <v>0</v>
      </c>
    </row>
    <row r="196" spans="1:32" ht="46.8" hidden="1">
      <c r="A196" s="41">
        <f t="shared" si="20"/>
        <v>194</v>
      </c>
      <c r="B196" s="34" t="s">
        <v>903</v>
      </c>
      <c r="C196" s="34" t="s">
        <v>1002</v>
      </c>
      <c r="D196" s="34" t="s">
        <v>1017</v>
      </c>
      <c r="E196" s="41" t="s">
        <v>1245</v>
      </c>
      <c r="F196" s="43" t="s">
        <v>356</v>
      </c>
      <c r="G196" s="41" t="s">
        <v>28</v>
      </c>
      <c r="H196" s="41"/>
      <c r="I196" s="167" t="s">
        <v>349</v>
      </c>
      <c r="J196" s="167"/>
      <c r="K196" s="167"/>
      <c r="L196" s="174"/>
      <c r="M196" s="167"/>
      <c r="N196" s="41" t="s">
        <v>32</v>
      </c>
      <c r="O196" s="91">
        <v>0</v>
      </c>
      <c r="P196" s="3">
        <v>0</v>
      </c>
      <c r="Q196" s="66">
        <v>0.42</v>
      </c>
      <c r="R196" s="3"/>
      <c r="S196" s="3"/>
      <c r="T196" s="3"/>
      <c r="U196" s="67">
        <f t="shared" ref="U196:U259" si="21">P196+S196+T196</f>
        <v>0</v>
      </c>
      <c r="V196" s="67">
        <f t="shared" ref="V196:V259" si="22">Q196+R196-S196-T196</f>
        <v>0.42</v>
      </c>
      <c r="W196" s="91"/>
      <c r="X196" s="91"/>
      <c r="Y196" s="3"/>
      <c r="Z196" s="67">
        <f t="shared" ref="Z196:Z259" si="23">U196+X196+Y196</f>
        <v>0</v>
      </c>
      <c r="AA196" s="67">
        <f t="shared" ref="AA196:AA259" si="24">V196+W196-X196-Y196</f>
        <v>0.42</v>
      </c>
      <c r="AB196" s="91"/>
      <c r="AC196" s="91"/>
      <c r="AD196" s="3"/>
      <c r="AE196" s="67">
        <f t="shared" ref="AE196:AE259" si="25">Z196+AC196+AD196</f>
        <v>0</v>
      </c>
      <c r="AF196" s="67">
        <f t="shared" ref="AF196:AF259" si="26">AA196+AB196-AC196-AD196</f>
        <v>0.42</v>
      </c>
    </row>
    <row r="197" spans="1:32" ht="46.8" hidden="1">
      <c r="A197" s="41">
        <f t="shared" ref="A197:A260" si="27">A196+1</f>
        <v>195</v>
      </c>
      <c r="B197" s="34" t="s">
        <v>904</v>
      </c>
      <c r="C197" s="34" t="s">
        <v>1002</v>
      </c>
      <c r="D197" s="34" t="s">
        <v>1017</v>
      </c>
      <c r="E197" s="41" t="s">
        <v>1246</v>
      </c>
      <c r="F197" s="43" t="s">
        <v>357</v>
      </c>
      <c r="G197" s="41" t="s">
        <v>28</v>
      </c>
      <c r="H197" s="41"/>
      <c r="I197" s="167" t="s">
        <v>349</v>
      </c>
      <c r="J197" s="167"/>
      <c r="K197" s="167"/>
      <c r="L197" s="174"/>
      <c r="M197" s="167"/>
      <c r="N197" s="41" t="s">
        <v>32</v>
      </c>
      <c r="O197" s="91">
        <v>0</v>
      </c>
      <c r="P197" s="66">
        <v>10.119999999999999</v>
      </c>
      <c r="Q197" s="66">
        <v>0.28999999999999998</v>
      </c>
      <c r="R197" s="3"/>
      <c r="S197" s="3"/>
      <c r="T197" s="3"/>
      <c r="U197" s="67">
        <f t="shared" si="21"/>
        <v>10.119999999999999</v>
      </c>
      <c r="V197" s="67">
        <f t="shared" si="22"/>
        <v>0.28999999999999998</v>
      </c>
      <c r="W197" s="91"/>
      <c r="X197" s="91"/>
      <c r="Y197" s="3"/>
      <c r="Z197" s="67">
        <f t="shared" si="23"/>
        <v>10.119999999999999</v>
      </c>
      <c r="AA197" s="67">
        <f t="shared" si="24"/>
        <v>0.28999999999999998</v>
      </c>
      <c r="AB197" s="91"/>
      <c r="AC197" s="91"/>
      <c r="AD197" s="3"/>
      <c r="AE197" s="67">
        <f t="shared" si="25"/>
        <v>10.119999999999999</v>
      </c>
      <c r="AF197" s="67">
        <f t="shared" si="26"/>
        <v>0.28999999999999998</v>
      </c>
    </row>
    <row r="198" spans="1:32" ht="46.8" hidden="1">
      <c r="A198" s="41">
        <f t="shared" si="27"/>
        <v>196</v>
      </c>
      <c r="B198" s="34" t="s">
        <v>905</v>
      </c>
      <c r="C198" s="34" t="s">
        <v>1002</v>
      </c>
      <c r="D198" s="34" t="s">
        <v>1017</v>
      </c>
      <c r="E198" s="41" t="s">
        <v>1247</v>
      </c>
      <c r="F198" s="43" t="s">
        <v>358</v>
      </c>
      <c r="G198" s="41" t="s">
        <v>28</v>
      </c>
      <c r="H198" s="41"/>
      <c r="I198" s="167" t="s">
        <v>349</v>
      </c>
      <c r="J198" s="167"/>
      <c r="K198" s="167"/>
      <c r="L198" s="174"/>
      <c r="M198" s="167"/>
      <c r="N198" s="41" t="s">
        <v>32</v>
      </c>
      <c r="O198" s="103">
        <v>0.56999999999999995</v>
      </c>
      <c r="P198" s="66">
        <v>0.47</v>
      </c>
      <c r="Q198" s="3">
        <v>0</v>
      </c>
      <c r="R198" s="3"/>
      <c r="S198" s="3"/>
      <c r="T198" s="3"/>
      <c r="U198" s="67">
        <f t="shared" si="21"/>
        <v>0.47</v>
      </c>
      <c r="V198" s="67">
        <f t="shared" si="22"/>
        <v>0</v>
      </c>
      <c r="W198" s="91"/>
      <c r="X198" s="91"/>
      <c r="Y198" s="3"/>
      <c r="Z198" s="67">
        <f t="shared" si="23"/>
        <v>0.47</v>
      </c>
      <c r="AA198" s="67">
        <f t="shared" si="24"/>
        <v>0</v>
      </c>
      <c r="AB198" s="91"/>
      <c r="AC198" s="91"/>
      <c r="AD198" s="3"/>
      <c r="AE198" s="67">
        <f t="shared" si="25"/>
        <v>0.47</v>
      </c>
      <c r="AF198" s="67">
        <f t="shared" si="26"/>
        <v>0</v>
      </c>
    </row>
    <row r="199" spans="1:32" ht="46.8" hidden="1">
      <c r="A199" s="41">
        <f t="shared" si="27"/>
        <v>197</v>
      </c>
      <c r="B199" s="34" t="s">
        <v>906</v>
      </c>
      <c r="C199" s="34" t="s">
        <v>1002</v>
      </c>
      <c r="D199" s="34" t="s">
        <v>1017</v>
      </c>
      <c r="E199" s="41" t="s">
        <v>1248</v>
      </c>
      <c r="F199" s="43" t="s">
        <v>359</v>
      </c>
      <c r="G199" s="41" t="s">
        <v>28</v>
      </c>
      <c r="H199" s="41"/>
      <c r="I199" s="167" t="s">
        <v>349</v>
      </c>
      <c r="J199" s="167"/>
      <c r="K199" s="167"/>
      <c r="L199" s="174"/>
      <c r="M199" s="167"/>
      <c r="N199" s="41" t="s">
        <v>32</v>
      </c>
      <c r="O199" s="103">
        <v>0.36</v>
      </c>
      <c r="P199" s="66">
        <v>0.28999999999999998</v>
      </c>
      <c r="Q199" s="3">
        <v>0</v>
      </c>
      <c r="R199" s="3"/>
      <c r="S199" s="3"/>
      <c r="T199" s="3"/>
      <c r="U199" s="67">
        <f t="shared" si="21"/>
        <v>0.28999999999999998</v>
      </c>
      <c r="V199" s="67">
        <f t="shared" si="22"/>
        <v>0</v>
      </c>
      <c r="W199" s="91"/>
      <c r="X199" s="91"/>
      <c r="Y199" s="3"/>
      <c r="Z199" s="67">
        <f t="shared" si="23"/>
        <v>0.28999999999999998</v>
      </c>
      <c r="AA199" s="67">
        <f t="shared" si="24"/>
        <v>0</v>
      </c>
      <c r="AB199" s="91"/>
      <c r="AC199" s="91"/>
      <c r="AD199" s="3"/>
      <c r="AE199" s="67">
        <f t="shared" si="25"/>
        <v>0.28999999999999998</v>
      </c>
      <c r="AF199" s="67">
        <f t="shared" si="26"/>
        <v>0</v>
      </c>
    </row>
    <row r="200" spans="1:32" ht="46.8" hidden="1">
      <c r="A200" s="41">
        <f t="shared" si="27"/>
        <v>198</v>
      </c>
      <c r="B200" s="34" t="s">
        <v>907</v>
      </c>
      <c r="C200" s="34" t="s">
        <v>1002</v>
      </c>
      <c r="D200" s="34" t="s">
        <v>1017</v>
      </c>
      <c r="E200" s="41" t="s">
        <v>1249</v>
      </c>
      <c r="F200" s="43" t="s">
        <v>360</v>
      </c>
      <c r="G200" s="41" t="s">
        <v>28</v>
      </c>
      <c r="H200" s="41"/>
      <c r="I200" s="167" t="s">
        <v>349</v>
      </c>
      <c r="J200" s="167"/>
      <c r="K200" s="167"/>
      <c r="L200" s="174"/>
      <c r="M200" s="167"/>
      <c r="N200" s="41" t="s">
        <v>32</v>
      </c>
      <c r="O200" s="103">
        <v>0.47</v>
      </c>
      <c r="P200" s="66">
        <v>0.41</v>
      </c>
      <c r="Q200" s="3">
        <v>0</v>
      </c>
      <c r="R200" s="3"/>
      <c r="S200" s="3"/>
      <c r="T200" s="3"/>
      <c r="U200" s="67">
        <f t="shared" si="21"/>
        <v>0.41</v>
      </c>
      <c r="V200" s="67">
        <f t="shared" si="22"/>
        <v>0</v>
      </c>
      <c r="W200" s="91"/>
      <c r="X200" s="91"/>
      <c r="Y200" s="3"/>
      <c r="Z200" s="67">
        <f t="shared" si="23"/>
        <v>0.41</v>
      </c>
      <c r="AA200" s="67">
        <f t="shared" si="24"/>
        <v>0</v>
      </c>
      <c r="AB200" s="91"/>
      <c r="AC200" s="91"/>
      <c r="AD200" s="3"/>
      <c r="AE200" s="67">
        <f t="shared" si="25"/>
        <v>0.41</v>
      </c>
      <c r="AF200" s="67">
        <f t="shared" si="26"/>
        <v>0</v>
      </c>
    </row>
    <row r="201" spans="1:32" ht="46.8" hidden="1">
      <c r="A201" s="41">
        <f t="shared" si="27"/>
        <v>199</v>
      </c>
      <c r="B201" s="34" t="s">
        <v>908</v>
      </c>
      <c r="C201" s="34" t="s">
        <v>1002</v>
      </c>
      <c r="D201" s="34" t="s">
        <v>1017</v>
      </c>
      <c r="E201" s="41" t="s">
        <v>1250</v>
      </c>
      <c r="F201" s="43" t="s">
        <v>361</v>
      </c>
      <c r="G201" s="41" t="s">
        <v>28</v>
      </c>
      <c r="H201" s="41"/>
      <c r="I201" s="167" t="s">
        <v>349</v>
      </c>
      <c r="J201" s="167"/>
      <c r="K201" s="167"/>
      <c r="L201" s="174"/>
      <c r="M201" s="167"/>
      <c r="N201" s="41" t="s">
        <v>32</v>
      </c>
      <c r="O201" s="91">
        <v>0</v>
      </c>
      <c r="P201" s="66">
        <v>0.13</v>
      </c>
      <c r="Q201" s="3">
        <v>0</v>
      </c>
      <c r="R201" s="3"/>
      <c r="S201" s="3"/>
      <c r="T201" s="3"/>
      <c r="U201" s="67">
        <f t="shared" si="21"/>
        <v>0.13</v>
      </c>
      <c r="V201" s="67">
        <f t="shared" si="22"/>
        <v>0</v>
      </c>
      <c r="W201" s="91"/>
      <c r="X201" s="91"/>
      <c r="Y201" s="3"/>
      <c r="Z201" s="67">
        <f t="shared" si="23"/>
        <v>0.13</v>
      </c>
      <c r="AA201" s="67">
        <f t="shared" si="24"/>
        <v>0</v>
      </c>
      <c r="AB201" s="91"/>
      <c r="AC201" s="91"/>
      <c r="AD201" s="3"/>
      <c r="AE201" s="67">
        <f t="shared" si="25"/>
        <v>0.13</v>
      </c>
      <c r="AF201" s="67">
        <f t="shared" si="26"/>
        <v>0</v>
      </c>
    </row>
    <row r="202" spans="1:32" ht="46.8" hidden="1">
      <c r="A202" s="41">
        <f t="shared" si="27"/>
        <v>200</v>
      </c>
      <c r="B202" s="34" t="s">
        <v>909</v>
      </c>
      <c r="C202" s="34" t="s">
        <v>1002</v>
      </c>
      <c r="D202" s="34" t="s">
        <v>1017</v>
      </c>
      <c r="E202" s="41" t="s">
        <v>1251</v>
      </c>
      <c r="F202" s="43" t="s">
        <v>362</v>
      </c>
      <c r="G202" s="41" t="s">
        <v>28</v>
      </c>
      <c r="H202" s="41"/>
      <c r="I202" s="167" t="s">
        <v>349</v>
      </c>
      <c r="J202" s="167"/>
      <c r="K202" s="167"/>
      <c r="L202" s="174"/>
      <c r="M202" s="167"/>
      <c r="N202" s="41" t="s">
        <v>32</v>
      </c>
      <c r="O202" s="91">
        <v>0</v>
      </c>
      <c r="P202" s="66">
        <v>0.6</v>
      </c>
      <c r="Q202" s="3">
        <v>0</v>
      </c>
      <c r="R202" s="3"/>
      <c r="S202" s="3"/>
      <c r="T202" s="3"/>
      <c r="U202" s="67">
        <f t="shared" si="21"/>
        <v>0.6</v>
      </c>
      <c r="V202" s="67">
        <f t="shared" si="22"/>
        <v>0</v>
      </c>
      <c r="W202" s="91"/>
      <c r="X202" s="91"/>
      <c r="Y202" s="3"/>
      <c r="Z202" s="67">
        <f t="shared" si="23"/>
        <v>0.6</v>
      </c>
      <c r="AA202" s="67">
        <f t="shared" si="24"/>
        <v>0</v>
      </c>
      <c r="AB202" s="91"/>
      <c r="AC202" s="91"/>
      <c r="AD202" s="3"/>
      <c r="AE202" s="67">
        <f t="shared" si="25"/>
        <v>0.6</v>
      </c>
      <c r="AF202" s="67">
        <f t="shared" si="26"/>
        <v>0</v>
      </c>
    </row>
    <row r="203" spans="1:32" ht="46.8" hidden="1">
      <c r="A203" s="41">
        <f t="shared" si="27"/>
        <v>201</v>
      </c>
      <c r="B203" s="34" t="s">
        <v>910</v>
      </c>
      <c r="C203" s="34" t="s">
        <v>1002</v>
      </c>
      <c r="D203" s="34" t="s">
        <v>1017</v>
      </c>
      <c r="E203" s="41" t="s">
        <v>1252</v>
      </c>
      <c r="F203" s="43" t="s">
        <v>363</v>
      </c>
      <c r="G203" s="41" t="s">
        <v>28</v>
      </c>
      <c r="H203" s="41"/>
      <c r="I203" s="167" t="s">
        <v>349</v>
      </c>
      <c r="J203" s="167"/>
      <c r="K203" s="167"/>
      <c r="L203" s="174"/>
      <c r="M203" s="167"/>
      <c r="N203" s="41" t="s">
        <v>32</v>
      </c>
      <c r="O203" s="91">
        <v>0</v>
      </c>
      <c r="P203" s="66">
        <v>0.66</v>
      </c>
      <c r="Q203" s="3">
        <v>0</v>
      </c>
      <c r="R203" s="3"/>
      <c r="S203" s="3"/>
      <c r="T203" s="3"/>
      <c r="U203" s="67">
        <f t="shared" si="21"/>
        <v>0.66</v>
      </c>
      <c r="V203" s="67">
        <f t="shared" si="22"/>
        <v>0</v>
      </c>
      <c r="W203" s="91"/>
      <c r="X203" s="91"/>
      <c r="Y203" s="3"/>
      <c r="Z203" s="67">
        <f t="shared" si="23"/>
        <v>0.66</v>
      </c>
      <c r="AA203" s="67">
        <f t="shared" si="24"/>
        <v>0</v>
      </c>
      <c r="AB203" s="91"/>
      <c r="AC203" s="91"/>
      <c r="AD203" s="3"/>
      <c r="AE203" s="67">
        <f t="shared" si="25"/>
        <v>0.66</v>
      </c>
      <c r="AF203" s="67">
        <f t="shared" si="26"/>
        <v>0</v>
      </c>
    </row>
    <row r="204" spans="1:32" ht="46.8" hidden="1">
      <c r="A204" s="41">
        <f t="shared" si="27"/>
        <v>202</v>
      </c>
      <c r="B204" s="34" t="s">
        <v>911</v>
      </c>
      <c r="C204" s="34" t="s">
        <v>1002</v>
      </c>
      <c r="D204" s="34" t="s">
        <v>1017</v>
      </c>
      <c r="E204" s="41" t="s">
        <v>1253</v>
      </c>
      <c r="F204" s="43" t="s">
        <v>364</v>
      </c>
      <c r="G204" s="41" t="s">
        <v>28</v>
      </c>
      <c r="H204" s="41"/>
      <c r="I204" s="167" t="s">
        <v>349</v>
      </c>
      <c r="J204" s="167"/>
      <c r="K204" s="167"/>
      <c r="L204" s="174"/>
      <c r="M204" s="167"/>
      <c r="N204" s="41" t="s">
        <v>32</v>
      </c>
      <c r="O204" s="104">
        <v>0.8</v>
      </c>
      <c r="P204" s="66">
        <v>0.71</v>
      </c>
      <c r="Q204" s="3">
        <v>0</v>
      </c>
      <c r="R204" s="3"/>
      <c r="S204" s="3"/>
      <c r="T204" s="3"/>
      <c r="U204" s="67">
        <f t="shared" si="21"/>
        <v>0.71</v>
      </c>
      <c r="V204" s="67">
        <f t="shared" si="22"/>
        <v>0</v>
      </c>
      <c r="W204" s="91"/>
      <c r="X204" s="91"/>
      <c r="Y204" s="3"/>
      <c r="Z204" s="67">
        <f t="shared" si="23"/>
        <v>0.71</v>
      </c>
      <c r="AA204" s="67">
        <f t="shared" si="24"/>
        <v>0</v>
      </c>
      <c r="AB204" s="91"/>
      <c r="AC204" s="91"/>
      <c r="AD204" s="3"/>
      <c r="AE204" s="67">
        <f t="shared" si="25"/>
        <v>0.71</v>
      </c>
      <c r="AF204" s="67">
        <f t="shared" si="26"/>
        <v>0</v>
      </c>
    </row>
    <row r="205" spans="1:32" ht="46.8" hidden="1">
      <c r="A205" s="41">
        <f t="shared" si="27"/>
        <v>203</v>
      </c>
      <c r="B205" s="34" t="s">
        <v>912</v>
      </c>
      <c r="C205" s="34" t="s">
        <v>1002</v>
      </c>
      <c r="D205" s="34" t="s">
        <v>1017</v>
      </c>
      <c r="E205" s="41" t="s">
        <v>1254</v>
      </c>
      <c r="F205" s="41" t="s">
        <v>365</v>
      </c>
      <c r="G205" s="41" t="s">
        <v>28</v>
      </c>
      <c r="H205" s="41"/>
      <c r="I205" s="167" t="s">
        <v>349</v>
      </c>
      <c r="J205" s="167"/>
      <c r="K205" s="167"/>
      <c r="L205" s="174"/>
      <c r="M205" s="167"/>
      <c r="N205" s="41" t="s">
        <v>32</v>
      </c>
      <c r="O205" s="103">
        <v>0.76</v>
      </c>
      <c r="P205" s="66">
        <v>0.76</v>
      </c>
      <c r="Q205" s="3">
        <v>0</v>
      </c>
      <c r="R205" s="3"/>
      <c r="S205" s="3"/>
      <c r="T205" s="3"/>
      <c r="U205" s="67">
        <f t="shared" si="21"/>
        <v>0.76</v>
      </c>
      <c r="V205" s="67">
        <f t="shared" si="22"/>
        <v>0</v>
      </c>
      <c r="W205" s="91"/>
      <c r="X205" s="91"/>
      <c r="Y205" s="3"/>
      <c r="Z205" s="67">
        <f t="shared" si="23"/>
        <v>0.76</v>
      </c>
      <c r="AA205" s="67">
        <f t="shared" si="24"/>
        <v>0</v>
      </c>
      <c r="AB205" s="91"/>
      <c r="AC205" s="91"/>
      <c r="AD205" s="3"/>
      <c r="AE205" s="67">
        <f t="shared" si="25"/>
        <v>0.76</v>
      </c>
      <c r="AF205" s="67">
        <f t="shared" si="26"/>
        <v>0</v>
      </c>
    </row>
    <row r="206" spans="1:32" ht="46.8" hidden="1">
      <c r="A206" s="41">
        <f t="shared" si="27"/>
        <v>204</v>
      </c>
      <c r="B206" s="34" t="s">
        <v>913</v>
      </c>
      <c r="C206" s="34" t="s">
        <v>1002</v>
      </c>
      <c r="D206" s="34" t="s">
        <v>1017</v>
      </c>
      <c r="E206" s="41" t="s">
        <v>1255</v>
      </c>
      <c r="F206" s="43" t="s">
        <v>366</v>
      </c>
      <c r="G206" s="41" t="s">
        <v>28</v>
      </c>
      <c r="H206" s="41"/>
      <c r="I206" s="167" t="s">
        <v>349</v>
      </c>
      <c r="J206" s="167"/>
      <c r="K206" s="167"/>
      <c r="L206" s="174"/>
      <c r="M206" s="167"/>
      <c r="N206" s="41" t="s">
        <v>32</v>
      </c>
      <c r="O206" s="91">
        <v>0</v>
      </c>
      <c r="P206" s="66">
        <v>0.41</v>
      </c>
      <c r="Q206" s="3">
        <v>0</v>
      </c>
      <c r="R206" s="3"/>
      <c r="S206" s="3"/>
      <c r="T206" s="3"/>
      <c r="U206" s="67">
        <f t="shared" si="21"/>
        <v>0.41</v>
      </c>
      <c r="V206" s="67">
        <f t="shared" si="22"/>
        <v>0</v>
      </c>
      <c r="W206" s="91"/>
      <c r="X206" s="91"/>
      <c r="Y206" s="3"/>
      <c r="Z206" s="67">
        <f t="shared" si="23"/>
        <v>0.41</v>
      </c>
      <c r="AA206" s="67">
        <f t="shared" si="24"/>
        <v>0</v>
      </c>
      <c r="AB206" s="91"/>
      <c r="AC206" s="91"/>
      <c r="AD206" s="3"/>
      <c r="AE206" s="67">
        <f t="shared" si="25"/>
        <v>0.41</v>
      </c>
      <c r="AF206" s="67">
        <f t="shared" si="26"/>
        <v>0</v>
      </c>
    </row>
    <row r="207" spans="1:32" ht="46.8" hidden="1">
      <c r="A207" s="41">
        <f t="shared" si="27"/>
        <v>205</v>
      </c>
      <c r="B207" s="34" t="s">
        <v>915</v>
      </c>
      <c r="C207" s="34" t="s">
        <v>1002</v>
      </c>
      <c r="D207" s="34" t="s">
        <v>1017</v>
      </c>
      <c r="E207" s="41" t="s">
        <v>1256</v>
      </c>
      <c r="F207" s="43" t="s">
        <v>368</v>
      </c>
      <c r="G207" s="41" t="s">
        <v>28</v>
      </c>
      <c r="H207" s="41"/>
      <c r="I207" s="167" t="s">
        <v>349</v>
      </c>
      <c r="J207" s="167"/>
      <c r="K207" s="167"/>
      <c r="L207" s="174"/>
      <c r="M207" s="167"/>
      <c r="N207" s="41" t="s">
        <v>32</v>
      </c>
      <c r="O207" s="91">
        <v>0</v>
      </c>
      <c r="P207" s="66">
        <v>0.98</v>
      </c>
      <c r="Q207" s="3">
        <v>0</v>
      </c>
      <c r="R207" s="3"/>
      <c r="S207" s="3"/>
      <c r="T207" s="3"/>
      <c r="U207" s="67">
        <f t="shared" si="21"/>
        <v>0.98</v>
      </c>
      <c r="V207" s="67">
        <f t="shared" si="22"/>
        <v>0</v>
      </c>
      <c r="W207" s="91"/>
      <c r="X207" s="91"/>
      <c r="Y207" s="3"/>
      <c r="Z207" s="67">
        <f t="shared" si="23"/>
        <v>0.98</v>
      </c>
      <c r="AA207" s="67">
        <f t="shared" si="24"/>
        <v>0</v>
      </c>
      <c r="AB207" s="91"/>
      <c r="AC207" s="91"/>
      <c r="AD207" s="3"/>
      <c r="AE207" s="67">
        <f t="shared" si="25"/>
        <v>0.98</v>
      </c>
      <c r="AF207" s="67">
        <f t="shared" si="26"/>
        <v>0</v>
      </c>
    </row>
    <row r="208" spans="1:32" ht="46.8" hidden="1">
      <c r="A208" s="41">
        <f t="shared" si="27"/>
        <v>206</v>
      </c>
      <c r="B208" s="34" t="s">
        <v>916</v>
      </c>
      <c r="C208" s="34" t="s">
        <v>1002</v>
      </c>
      <c r="D208" s="34" t="s">
        <v>1017</v>
      </c>
      <c r="E208" s="41" t="s">
        <v>1257</v>
      </c>
      <c r="F208" s="43" t="s">
        <v>369</v>
      </c>
      <c r="G208" s="41" t="s">
        <v>28</v>
      </c>
      <c r="H208" s="41"/>
      <c r="I208" s="167" t="s">
        <v>349</v>
      </c>
      <c r="J208" s="167"/>
      <c r="K208" s="167"/>
      <c r="L208" s="174"/>
      <c r="M208" s="167"/>
      <c r="N208" s="41" t="s">
        <v>32</v>
      </c>
      <c r="O208" s="91">
        <v>0</v>
      </c>
      <c r="P208" s="66">
        <v>1.07</v>
      </c>
      <c r="Q208" s="3">
        <v>0</v>
      </c>
      <c r="R208" s="3"/>
      <c r="S208" s="3"/>
      <c r="T208" s="3"/>
      <c r="U208" s="67">
        <f t="shared" si="21"/>
        <v>1.07</v>
      </c>
      <c r="V208" s="67">
        <f t="shared" si="22"/>
        <v>0</v>
      </c>
      <c r="W208" s="91"/>
      <c r="X208" s="91"/>
      <c r="Y208" s="3"/>
      <c r="Z208" s="67">
        <f t="shared" si="23"/>
        <v>1.07</v>
      </c>
      <c r="AA208" s="67">
        <f t="shared" si="24"/>
        <v>0</v>
      </c>
      <c r="AB208" s="91"/>
      <c r="AC208" s="91"/>
      <c r="AD208" s="3"/>
      <c r="AE208" s="67">
        <f t="shared" si="25"/>
        <v>1.07</v>
      </c>
      <c r="AF208" s="67">
        <f t="shared" si="26"/>
        <v>0</v>
      </c>
    </row>
    <row r="209" spans="1:32" ht="46.8" hidden="1">
      <c r="A209" s="41">
        <f t="shared" si="27"/>
        <v>207</v>
      </c>
      <c r="B209" s="34" t="s">
        <v>917</v>
      </c>
      <c r="C209" s="34" t="s">
        <v>1002</v>
      </c>
      <c r="D209" s="34" t="s">
        <v>1017</v>
      </c>
      <c r="E209" s="41" t="s">
        <v>1258</v>
      </c>
      <c r="F209" s="43" t="s">
        <v>370</v>
      </c>
      <c r="G209" s="41" t="s">
        <v>28</v>
      </c>
      <c r="H209" s="41"/>
      <c r="I209" s="167" t="s">
        <v>349</v>
      </c>
      <c r="J209" s="167"/>
      <c r="K209" s="167"/>
      <c r="L209" s="174"/>
      <c r="M209" s="167"/>
      <c r="N209" s="41" t="s">
        <v>32</v>
      </c>
      <c r="O209" s="91">
        <v>0</v>
      </c>
      <c r="P209" s="66">
        <v>1.46</v>
      </c>
      <c r="Q209" s="3">
        <v>0</v>
      </c>
      <c r="R209" s="3"/>
      <c r="S209" s="3"/>
      <c r="T209" s="3"/>
      <c r="U209" s="67">
        <f t="shared" si="21"/>
        <v>1.46</v>
      </c>
      <c r="V209" s="67">
        <f t="shared" si="22"/>
        <v>0</v>
      </c>
      <c r="W209" s="91"/>
      <c r="X209" s="91"/>
      <c r="Y209" s="3"/>
      <c r="Z209" s="67">
        <f t="shared" si="23"/>
        <v>1.46</v>
      </c>
      <c r="AA209" s="67">
        <f t="shared" si="24"/>
        <v>0</v>
      </c>
      <c r="AB209" s="91"/>
      <c r="AC209" s="91"/>
      <c r="AD209" s="3"/>
      <c r="AE209" s="67">
        <f t="shared" si="25"/>
        <v>1.46</v>
      </c>
      <c r="AF209" s="67">
        <f t="shared" si="26"/>
        <v>0</v>
      </c>
    </row>
    <row r="210" spans="1:32" ht="46.8" hidden="1">
      <c r="A210" s="41">
        <f t="shared" si="27"/>
        <v>208</v>
      </c>
      <c r="B210" s="34" t="s">
        <v>918</v>
      </c>
      <c r="C210" s="34" t="s">
        <v>1002</v>
      </c>
      <c r="D210" s="34" t="s">
        <v>1017</v>
      </c>
      <c r="E210" s="41" t="s">
        <v>1259</v>
      </c>
      <c r="F210" s="43" t="s">
        <v>371</v>
      </c>
      <c r="G210" s="41" t="s">
        <v>28</v>
      </c>
      <c r="H210" s="41"/>
      <c r="I210" s="167" t="s">
        <v>349</v>
      </c>
      <c r="J210" s="167"/>
      <c r="K210" s="167"/>
      <c r="L210" s="174"/>
      <c r="M210" s="167"/>
      <c r="N210" s="41" t="s">
        <v>32</v>
      </c>
      <c r="O210" s="91">
        <v>0</v>
      </c>
      <c r="P210" s="66">
        <v>60.63</v>
      </c>
      <c r="Q210" s="3">
        <v>0</v>
      </c>
      <c r="R210" s="3"/>
      <c r="S210" s="3"/>
      <c r="T210" s="3"/>
      <c r="U210" s="67">
        <f t="shared" si="21"/>
        <v>60.63</v>
      </c>
      <c r="V210" s="67">
        <f t="shared" si="22"/>
        <v>0</v>
      </c>
      <c r="W210" s="91"/>
      <c r="X210" s="91"/>
      <c r="Y210" s="3"/>
      <c r="Z210" s="67">
        <f t="shared" si="23"/>
        <v>60.63</v>
      </c>
      <c r="AA210" s="67">
        <f t="shared" si="24"/>
        <v>0</v>
      </c>
      <c r="AB210" s="91"/>
      <c r="AC210" s="91"/>
      <c r="AD210" s="3"/>
      <c r="AE210" s="67">
        <f t="shared" si="25"/>
        <v>60.63</v>
      </c>
      <c r="AF210" s="67">
        <f t="shared" si="26"/>
        <v>0</v>
      </c>
    </row>
    <row r="211" spans="1:32" ht="46.8" hidden="1">
      <c r="A211" s="41">
        <f t="shared" si="27"/>
        <v>209</v>
      </c>
      <c r="B211" s="34" t="s">
        <v>919</v>
      </c>
      <c r="C211" s="34" t="s">
        <v>1002</v>
      </c>
      <c r="D211" s="34" t="s">
        <v>1017</v>
      </c>
      <c r="E211" s="41" t="s">
        <v>1260</v>
      </c>
      <c r="F211" s="43" t="s">
        <v>372</v>
      </c>
      <c r="G211" s="41" t="s">
        <v>28</v>
      </c>
      <c r="H211" s="41"/>
      <c r="I211" s="167" t="s">
        <v>349</v>
      </c>
      <c r="J211" s="167"/>
      <c r="K211" s="167"/>
      <c r="L211" s="174"/>
      <c r="M211" s="167"/>
      <c r="N211" s="41" t="s">
        <v>32</v>
      </c>
      <c r="O211" s="91">
        <v>0</v>
      </c>
      <c r="P211" s="3">
        <v>0</v>
      </c>
      <c r="Q211" s="66">
        <v>0.3</v>
      </c>
      <c r="R211" s="3"/>
      <c r="S211" s="3"/>
      <c r="T211" s="3"/>
      <c r="U211" s="67">
        <f t="shared" si="21"/>
        <v>0</v>
      </c>
      <c r="V211" s="67">
        <f t="shared" si="22"/>
        <v>0.3</v>
      </c>
      <c r="W211" s="91"/>
      <c r="X211" s="91"/>
      <c r="Y211" s="3"/>
      <c r="Z211" s="67">
        <f t="shared" si="23"/>
        <v>0</v>
      </c>
      <c r="AA211" s="67">
        <f t="shared" si="24"/>
        <v>0.3</v>
      </c>
      <c r="AB211" s="91"/>
      <c r="AC211" s="91"/>
      <c r="AD211" s="3"/>
      <c r="AE211" s="67">
        <f t="shared" si="25"/>
        <v>0</v>
      </c>
      <c r="AF211" s="67">
        <f t="shared" si="26"/>
        <v>0.3</v>
      </c>
    </row>
    <row r="212" spans="1:32" ht="46.8" hidden="1">
      <c r="A212" s="41">
        <f t="shared" si="27"/>
        <v>210</v>
      </c>
      <c r="B212" s="34" t="s">
        <v>920</v>
      </c>
      <c r="C212" s="34" t="s">
        <v>1002</v>
      </c>
      <c r="D212" s="34" t="s">
        <v>1017</v>
      </c>
      <c r="E212" s="41" t="s">
        <v>1261</v>
      </c>
      <c r="F212" s="43" t="s">
        <v>373</v>
      </c>
      <c r="G212" s="41" t="s">
        <v>28</v>
      </c>
      <c r="H212" s="41"/>
      <c r="I212" s="167" t="s">
        <v>349</v>
      </c>
      <c r="J212" s="167"/>
      <c r="K212" s="167"/>
      <c r="L212" s="174"/>
      <c r="M212" s="167"/>
      <c r="N212" s="41" t="s">
        <v>32</v>
      </c>
      <c r="O212" s="91">
        <v>0</v>
      </c>
      <c r="P212" s="66">
        <v>0.74</v>
      </c>
      <c r="Q212" s="66">
        <v>0.02</v>
      </c>
      <c r="R212" s="3"/>
      <c r="S212" s="3"/>
      <c r="T212" s="3"/>
      <c r="U212" s="67">
        <f t="shared" si="21"/>
        <v>0.74</v>
      </c>
      <c r="V212" s="67">
        <f t="shared" si="22"/>
        <v>0.02</v>
      </c>
      <c r="W212" s="91"/>
      <c r="X212" s="91"/>
      <c r="Y212" s="3"/>
      <c r="Z212" s="67">
        <f t="shared" si="23"/>
        <v>0.74</v>
      </c>
      <c r="AA212" s="67">
        <f t="shared" si="24"/>
        <v>0.02</v>
      </c>
      <c r="AB212" s="91"/>
      <c r="AC212" s="91"/>
      <c r="AD212" s="3"/>
      <c r="AE212" s="67">
        <f t="shared" si="25"/>
        <v>0.74</v>
      </c>
      <c r="AF212" s="67">
        <f t="shared" si="26"/>
        <v>0.02</v>
      </c>
    </row>
    <row r="213" spans="1:32" ht="93.6" hidden="1">
      <c r="A213" s="41">
        <f t="shared" si="27"/>
        <v>211</v>
      </c>
      <c r="B213" s="34" t="s">
        <v>921</v>
      </c>
      <c r="C213" s="34" t="s">
        <v>1002</v>
      </c>
      <c r="D213" s="34" t="s">
        <v>1017</v>
      </c>
      <c r="E213" s="41" t="s">
        <v>1262</v>
      </c>
      <c r="F213" s="43" t="s">
        <v>398</v>
      </c>
      <c r="G213" s="41" t="s">
        <v>28</v>
      </c>
      <c r="H213" s="41"/>
      <c r="I213" s="167" t="s">
        <v>349</v>
      </c>
      <c r="J213" s="167"/>
      <c r="K213" s="167"/>
      <c r="L213" s="174"/>
      <c r="M213" s="167"/>
      <c r="N213" s="41" t="s">
        <v>32</v>
      </c>
      <c r="O213" s="91">
        <v>0</v>
      </c>
      <c r="P213" s="66">
        <v>3.46</v>
      </c>
      <c r="Q213" s="3">
        <v>0</v>
      </c>
      <c r="R213" s="3"/>
      <c r="S213" s="3"/>
      <c r="T213" s="3"/>
      <c r="U213" s="67">
        <f t="shared" si="21"/>
        <v>3.46</v>
      </c>
      <c r="V213" s="67">
        <f t="shared" si="22"/>
        <v>0</v>
      </c>
      <c r="W213" s="91"/>
      <c r="X213" s="91"/>
      <c r="Y213" s="3"/>
      <c r="Z213" s="67">
        <f t="shared" si="23"/>
        <v>3.46</v>
      </c>
      <c r="AA213" s="67">
        <f t="shared" si="24"/>
        <v>0</v>
      </c>
      <c r="AB213" s="91"/>
      <c r="AC213" s="91"/>
      <c r="AD213" s="3"/>
      <c r="AE213" s="67">
        <f t="shared" si="25"/>
        <v>3.46</v>
      </c>
      <c r="AF213" s="67">
        <f t="shared" si="26"/>
        <v>0</v>
      </c>
    </row>
    <row r="214" spans="1:32" ht="46.8" hidden="1">
      <c r="A214" s="41">
        <f t="shared" si="27"/>
        <v>212</v>
      </c>
      <c r="B214" s="34" t="s">
        <v>922</v>
      </c>
      <c r="C214" s="34" t="s">
        <v>1002</v>
      </c>
      <c r="D214" s="34" t="s">
        <v>1017</v>
      </c>
      <c r="E214" s="41" t="s">
        <v>1263</v>
      </c>
      <c r="F214" s="43" t="s">
        <v>374</v>
      </c>
      <c r="G214" s="41" t="s">
        <v>28</v>
      </c>
      <c r="H214" s="41"/>
      <c r="I214" s="167" t="s">
        <v>349</v>
      </c>
      <c r="J214" s="167"/>
      <c r="K214" s="167"/>
      <c r="L214" s="174"/>
      <c r="M214" s="167"/>
      <c r="N214" s="41" t="s">
        <v>32</v>
      </c>
      <c r="O214" s="91">
        <v>0</v>
      </c>
      <c r="P214" s="66">
        <v>0.62</v>
      </c>
      <c r="Q214" s="3">
        <v>0</v>
      </c>
      <c r="R214" s="3"/>
      <c r="S214" s="3"/>
      <c r="T214" s="3"/>
      <c r="U214" s="67">
        <f t="shared" si="21"/>
        <v>0.62</v>
      </c>
      <c r="V214" s="67">
        <f t="shared" si="22"/>
        <v>0</v>
      </c>
      <c r="W214" s="91"/>
      <c r="X214" s="91"/>
      <c r="Y214" s="3"/>
      <c r="Z214" s="67">
        <f t="shared" si="23"/>
        <v>0.62</v>
      </c>
      <c r="AA214" s="67">
        <f t="shared" si="24"/>
        <v>0</v>
      </c>
      <c r="AB214" s="91"/>
      <c r="AC214" s="91"/>
      <c r="AD214" s="3"/>
      <c r="AE214" s="67">
        <f t="shared" si="25"/>
        <v>0.62</v>
      </c>
      <c r="AF214" s="67">
        <f t="shared" si="26"/>
        <v>0</v>
      </c>
    </row>
    <row r="215" spans="1:32" ht="46.8" hidden="1">
      <c r="A215" s="41">
        <f t="shared" si="27"/>
        <v>213</v>
      </c>
      <c r="B215" s="34" t="s">
        <v>923</v>
      </c>
      <c r="C215" s="34" t="s">
        <v>1002</v>
      </c>
      <c r="D215" s="34" t="s">
        <v>1017</v>
      </c>
      <c r="E215" s="41" t="s">
        <v>1264</v>
      </c>
      <c r="F215" s="43" t="s">
        <v>375</v>
      </c>
      <c r="G215" s="41" t="s">
        <v>28</v>
      </c>
      <c r="H215" s="41"/>
      <c r="I215" s="167" t="s">
        <v>349</v>
      </c>
      <c r="J215" s="167"/>
      <c r="K215" s="167"/>
      <c r="L215" s="174"/>
      <c r="M215" s="167"/>
      <c r="N215" s="41" t="s">
        <v>32</v>
      </c>
      <c r="O215" s="103">
        <v>0.23</v>
      </c>
      <c r="P215" s="66">
        <v>0.2</v>
      </c>
      <c r="Q215" s="3">
        <v>0</v>
      </c>
      <c r="R215" s="3"/>
      <c r="S215" s="3"/>
      <c r="T215" s="3"/>
      <c r="U215" s="67">
        <f t="shared" si="21"/>
        <v>0.2</v>
      </c>
      <c r="V215" s="67">
        <f t="shared" si="22"/>
        <v>0</v>
      </c>
      <c r="W215" s="91"/>
      <c r="X215" s="91"/>
      <c r="Y215" s="3"/>
      <c r="Z215" s="67">
        <f t="shared" si="23"/>
        <v>0.2</v>
      </c>
      <c r="AA215" s="67">
        <f t="shared" si="24"/>
        <v>0</v>
      </c>
      <c r="AB215" s="91"/>
      <c r="AC215" s="91"/>
      <c r="AD215" s="3"/>
      <c r="AE215" s="67">
        <f t="shared" si="25"/>
        <v>0.2</v>
      </c>
      <c r="AF215" s="67">
        <f t="shared" si="26"/>
        <v>0</v>
      </c>
    </row>
    <row r="216" spans="1:32" ht="46.8" hidden="1">
      <c r="A216" s="41">
        <f t="shared" si="27"/>
        <v>214</v>
      </c>
      <c r="B216" s="34" t="s">
        <v>924</v>
      </c>
      <c r="C216" s="34" t="s">
        <v>1002</v>
      </c>
      <c r="D216" s="34" t="s">
        <v>1017</v>
      </c>
      <c r="E216" s="41" t="s">
        <v>1265</v>
      </c>
      <c r="F216" s="43" t="s">
        <v>376</v>
      </c>
      <c r="G216" s="41" t="s">
        <v>28</v>
      </c>
      <c r="H216" s="41"/>
      <c r="I216" s="167" t="s">
        <v>349</v>
      </c>
      <c r="J216" s="167"/>
      <c r="K216" s="167"/>
      <c r="L216" s="174"/>
      <c r="M216" s="167"/>
      <c r="N216" s="41" t="s">
        <v>32</v>
      </c>
      <c r="O216" s="103">
        <v>0.11</v>
      </c>
      <c r="P216" s="66">
        <v>0.11</v>
      </c>
      <c r="Q216" s="3">
        <v>0</v>
      </c>
      <c r="R216" s="3"/>
      <c r="S216" s="3"/>
      <c r="T216" s="3"/>
      <c r="U216" s="67">
        <f t="shared" si="21"/>
        <v>0.11</v>
      </c>
      <c r="V216" s="67">
        <f t="shared" si="22"/>
        <v>0</v>
      </c>
      <c r="W216" s="91"/>
      <c r="X216" s="91"/>
      <c r="Y216" s="3"/>
      <c r="Z216" s="67">
        <f t="shared" si="23"/>
        <v>0.11</v>
      </c>
      <c r="AA216" s="67">
        <f t="shared" si="24"/>
        <v>0</v>
      </c>
      <c r="AB216" s="91"/>
      <c r="AC216" s="91"/>
      <c r="AD216" s="3"/>
      <c r="AE216" s="67">
        <f t="shared" si="25"/>
        <v>0.11</v>
      </c>
      <c r="AF216" s="67">
        <f t="shared" si="26"/>
        <v>0</v>
      </c>
    </row>
    <row r="217" spans="1:32" ht="46.8" hidden="1">
      <c r="A217" s="41">
        <f t="shared" si="27"/>
        <v>215</v>
      </c>
      <c r="B217" s="34" t="s">
        <v>925</v>
      </c>
      <c r="C217" s="34" t="s">
        <v>1002</v>
      </c>
      <c r="D217" s="34" t="s">
        <v>1017</v>
      </c>
      <c r="E217" s="41" t="s">
        <v>1266</v>
      </c>
      <c r="F217" s="43" t="s">
        <v>999</v>
      </c>
      <c r="G217" s="41" t="s">
        <v>28</v>
      </c>
      <c r="H217" s="41"/>
      <c r="I217" s="167" t="s">
        <v>349</v>
      </c>
      <c r="J217" s="167"/>
      <c r="K217" s="167"/>
      <c r="L217" s="174"/>
      <c r="M217" s="167"/>
      <c r="N217" s="41" t="s">
        <v>32</v>
      </c>
      <c r="O217" s="91">
        <v>0</v>
      </c>
      <c r="P217" s="66">
        <v>2.17</v>
      </c>
      <c r="Q217" s="3">
        <v>0</v>
      </c>
      <c r="R217" s="3"/>
      <c r="S217" s="3"/>
      <c r="T217" s="3"/>
      <c r="U217" s="67">
        <f t="shared" si="21"/>
        <v>2.17</v>
      </c>
      <c r="V217" s="67">
        <f t="shared" si="22"/>
        <v>0</v>
      </c>
      <c r="W217" s="91"/>
      <c r="X217" s="91"/>
      <c r="Y217" s="3"/>
      <c r="Z217" s="67">
        <f t="shared" si="23"/>
        <v>2.17</v>
      </c>
      <c r="AA217" s="67">
        <f t="shared" si="24"/>
        <v>0</v>
      </c>
      <c r="AB217" s="91"/>
      <c r="AC217" s="91"/>
      <c r="AD217" s="3"/>
      <c r="AE217" s="67">
        <f t="shared" si="25"/>
        <v>2.17</v>
      </c>
      <c r="AF217" s="67">
        <f t="shared" si="26"/>
        <v>0</v>
      </c>
    </row>
    <row r="218" spans="1:32" ht="46.8" hidden="1">
      <c r="A218" s="41">
        <f t="shared" si="27"/>
        <v>216</v>
      </c>
      <c r="B218" s="34"/>
      <c r="C218" s="34" t="s">
        <v>1002</v>
      </c>
      <c r="D218" s="34" t="s">
        <v>1017</v>
      </c>
      <c r="E218" s="41" t="s">
        <v>1267</v>
      </c>
      <c r="F218" s="43" t="s">
        <v>377</v>
      </c>
      <c r="G218" s="41" t="s">
        <v>28</v>
      </c>
      <c r="H218" s="41"/>
      <c r="I218" s="167" t="s">
        <v>349</v>
      </c>
      <c r="J218" s="167"/>
      <c r="K218" s="167"/>
      <c r="L218" s="174"/>
      <c r="M218" s="167"/>
      <c r="N218" s="41" t="s">
        <v>32</v>
      </c>
      <c r="O218" s="91">
        <v>0</v>
      </c>
      <c r="P218" s="66">
        <v>0.93</v>
      </c>
      <c r="Q218" s="3">
        <v>0</v>
      </c>
      <c r="R218" s="3"/>
      <c r="S218" s="3"/>
      <c r="T218" s="3"/>
      <c r="U218" s="67">
        <f t="shared" si="21"/>
        <v>0.93</v>
      </c>
      <c r="V218" s="67">
        <f t="shared" si="22"/>
        <v>0</v>
      </c>
      <c r="W218" s="91"/>
      <c r="X218" s="91"/>
      <c r="Y218" s="3"/>
      <c r="Z218" s="67">
        <f t="shared" si="23"/>
        <v>0.93</v>
      </c>
      <c r="AA218" s="67">
        <f t="shared" si="24"/>
        <v>0</v>
      </c>
      <c r="AB218" s="91"/>
      <c r="AC218" s="91"/>
      <c r="AD218" s="3"/>
      <c r="AE218" s="67">
        <f t="shared" si="25"/>
        <v>0.93</v>
      </c>
      <c r="AF218" s="67">
        <f t="shared" si="26"/>
        <v>0</v>
      </c>
    </row>
    <row r="219" spans="1:32" ht="46.8" hidden="1">
      <c r="A219" s="41">
        <f t="shared" si="27"/>
        <v>217</v>
      </c>
      <c r="B219" s="34" t="s">
        <v>926</v>
      </c>
      <c r="C219" s="34" t="s">
        <v>1002</v>
      </c>
      <c r="D219" s="34" t="s">
        <v>1017</v>
      </c>
      <c r="E219" s="41" t="s">
        <v>1268</v>
      </c>
      <c r="F219" s="43" t="s">
        <v>378</v>
      </c>
      <c r="G219" s="41" t="s">
        <v>28</v>
      </c>
      <c r="H219" s="41"/>
      <c r="I219" s="167" t="s">
        <v>349</v>
      </c>
      <c r="J219" s="167"/>
      <c r="K219" s="167"/>
      <c r="L219" s="174"/>
      <c r="M219" s="167"/>
      <c r="N219" s="41" t="s">
        <v>32</v>
      </c>
      <c r="O219" s="103">
        <v>0.82</v>
      </c>
      <c r="P219" s="66">
        <v>0.56999999999999995</v>
      </c>
      <c r="Q219" s="3">
        <v>0</v>
      </c>
      <c r="R219" s="3"/>
      <c r="S219" s="3"/>
      <c r="T219" s="3"/>
      <c r="U219" s="67">
        <f t="shared" si="21"/>
        <v>0.56999999999999995</v>
      </c>
      <c r="V219" s="67">
        <f t="shared" si="22"/>
        <v>0</v>
      </c>
      <c r="W219" s="91"/>
      <c r="X219" s="91"/>
      <c r="Y219" s="3"/>
      <c r="Z219" s="67">
        <f t="shared" si="23"/>
        <v>0.56999999999999995</v>
      </c>
      <c r="AA219" s="67">
        <f t="shared" si="24"/>
        <v>0</v>
      </c>
      <c r="AB219" s="91"/>
      <c r="AC219" s="91"/>
      <c r="AD219" s="3"/>
      <c r="AE219" s="67">
        <f t="shared" si="25"/>
        <v>0.56999999999999995</v>
      </c>
      <c r="AF219" s="67">
        <f t="shared" si="26"/>
        <v>0</v>
      </c>
    </row>
    <row r="220" spans="1:32" ht="46.8" hidden="1">
      <c r="A220" s="41">
        <f t="shared" si="27"/>
        <v>218</v>
      </c>
      <c r="B220" s="34" t="s">
        <v>927</v>
      </c>
      <c r="C220" s="34" t="s">
        <v>1002</v>
      </c>
      <c r="D220" s="34" t="s">
        <v>1017</v>
      </c>
      <c r="E220" s="41" t="s">
        <v>1269</v>
      </c>
      <c r="F220" s="43" t="s">
        <v>379</v>
      </c>
      <c r="G220" s="41" t="s">
        <v>28</v>
      </c>
      <c r="H220" s="41"/>
      <c r="I220" s="167" t="s">
        <v>349</v>
      </c>
      <c r="J220" s="167"/>
      <c r="K220" s="167"/>
      <c r="L220" s="174"/>
      <c r="M220" s="167"/>
      <c r="N220" s="41" t="s">
        <v>32</v>
      </c>
      <c r="O220" s="91">
        <v>0</v>
      </c>
      <c r="P220" s="66">
        <v>0.12</v>
      </c>
      <c r="Q220" s="3">
        <v>0</v>
      </c>
      <c r="R220" s="3"/>
      <c r="S220" s="3"/>
      <c r="T220" s="3"/>
      <c r="U220" s="67">
        <f t="shared" si="21"/>
        <v>0.12</v>
      </c>
      <c r="V220" s="67">
        <f t="shared" si="22"/>
        <v>0</v>
      </c>
      <c r="W220" s="91"/>
      <c r="X220" s="91"/>
      <c r="Y220" s="3"/>
      <c r="Z220" s="67">
        <f t="shared" si="23"/>
        <v>0.12</v>
      </c>
      <c r="AA220" s="67">
        <f t="shared" si="24"/>
        <v>0</v>
      </c>
      <c r="AB220" s="91"/>
      <c r="AC220" s="91"/>
      <c r="AD220" s="3"/>
      <c r="AE220" s="67">
        <f t="shared" si="25"/>
        <v>0.12</v>
      </c>
      <c r="AF220" s="67">
        <f t="shared" si="26"/>
        <v>0</v>
      </c>
    </row>
    <row r="221" spans="1:32" ht="46.8" hidden="1">
      <c r="A221" s="41">
        <f t="shared" si="27"/>
        <v>219</v>
      </c>
      <c r="B221" s="34" t="s">
        <v>928</v>
      </c>
      <c r="C221" s="34" t="s">
        <v>1002</v>
      </c>
      <c r="D221" s="34" t="s">
        <v>1017</v>
      </c>
      <c r="E221" s="41" t="s">
        <v>1270</v>
      </c>
      <c r="F221" s="43" t="s">
        <v>380</v>
      </c>
      <c r="G221" s="41" t="s">
        <v>28</v>
      </c>
      <c r="H221" s="41"/>
      <c r="I221" s="167" t="s">
        <v>349</v>
      </c>
      <c r="J221" s="167"/>
      <c r="K221" s="167"/>
      <c r="L221" s="174"/>
      <c r="M221" s="167"/>
      <c r="N221" s="41" t="s">
        <v>32</v>
      </c>
      <c r="O221" s="91">
        <v>0</v>
      </c>
      <c r="P221" s="66">
        <v>0.31</v>
      </c>
      <c r="Q221" s="3">
        <v>0</v>
      </c>
      <c r="R221" s="3"/>
      <c r="S221" s="3"/>
      <c r="T221" s="3"/>
      <c r="U221" s="67">
        <f t="shared" si="21"/>
        <v>0.31</v>
      </c>
      <c r="V221" s="67">
        <f t="shared" si="22"/>
        <v>0</v>
      </c>
      <c r="W221" s="91"/>
      <c r="X221" s="91"/>
      <c r="Y221" s="3"/>
      <c r="Z221" s="67">
        <f t="shared" si="23"/>
        <v>0.31</v>
      </c>
      <c r="AA221" s="67">
        <f t="shared" si="24"/>
        <v>0</v>
      </c>
      <c r="AB221" s="91"/>
      <c r="AC221" s="91"/>
      <c r="AD221" s="3"/>
      <c r="AE221" s="67">
        <f t="shared" si="25"/>
        <v>0.31</v>
      </c>
      <c r="AF221" s="67">
        <f t="shared" si="26"/>
        <v>0</v>
      </c>
    </row>
    <row r="222" spans="1:32" ht="46.8" hidden="1">
      <c r="A222" s="41">
        <f t="shared" si="27"/>
        <v>220</v>
      </c>
      <c r="B222" s="34" t="s">
        <v>929</v>
      </c>
      <c r="C222" s="34" t="s">
        <v>1002</v>
      </c>
      <c r="D222" s="34" t="s">
        <v>1017</v>
      </c>
      <c r="E222" s="41" t="s">
        <v>1271</v>
      </c>
      <c r="F222" s="43" t="s">
        <v>381</v>
      </c>
      <c r="G222" s="41" t="s">
        <v>28</v>
      </c>
      <c r="H222" s="41"/>
      <c r="I222" s="167" t="s">
        <v>349</v>
      </c>
      <c r="J222" s="167"/>
      <c r="K222" s="167"/>
      <c r="L222" s="174"/>
      <c r="M222" s="167"/>
      <c r="N222" s="41" t="s">
        <v>32</v>
      </c>
      <c r="O222" s="91">
        <v>0</v>
      </c>
      <c r="P222" s="66">
        <v>0.6</v>
      </c>
      <c r="Q222" s="3">
        <v>0</v>
      </c>
      <c r="R222" s="3"/>
      <c r="S222" s="3"/>
      <c r="T222" s="3"/>
      <c r="U222" s="67">
        <f t="shared" si="21"/>
        <v>0.6</v>
      </c>
      <c r="V222" s="67">
        <f t="shared" si="22"/>
        <v>0</v>
      </c>
      <c r="W222" s="91"/>
      <c r="X222" s="91"/>
      <c r="Y222" s="3"/>
      <c r="Z222" s="67">
        <f t="shared" si="23"/>
        <v>0.6</v>
      </c>
      <c r="AA222" s="67">
        <f t="shared" si="24"/>
        <v>0</v>
      </c>
      <c r="AB222" s="91"/>
      <c r="AC222" s="91"/>
      <c r="AD222" s="3"/>
      <c r="AE222" s="67">
        <f t="shared" si="25"/>
        <v>0.6</v>
      </c>
      <c r="AF222" s="67">
        <f t="shared" si="26"/>
        <v>0</v>
      </c>
    </row>
    <row r="223" spans="1:32" ht="46.8" hidden="1">
      <c r="A223" s="41">
        <f t="shared" si="27"/>
        <v>221</v>
      </c>
      <c r="B223" s="34" t="s">
        <v>930</v>
      </c>
      <c r="C223" s="34" t="s">
        <v>1002</v>
      </c>
      <c r="D223" s="34" t="s">
        <v>1017</v>
      </c>
      <c r="E223" s="41" t="s">
        <v>1272</v>
      </c>
      <c r="F223" s="43" t="s">
        <v>382</v>
      </c>
      <c r="G223" s="41" t="s">
        <v>28</v>
      </c>
      <c r="H223" s="41"/>
      <c r="I223" s="167" t="s">
        <v>349</v>
      </c>
      <c r="J223" s="167"/>
      <c r="K223" s="167"/>
      <c r="L223" s="174"/>
      <c r="M223" s="167"/>
      <c r="N223" s="41" t="s">
        <v>32</v>
      </c>
      <c r="O223" s="103">
        <v>7.0000000000000007E-2</v>
      </c>
      <c r="P223" s="66">
        <v>7.0000000000000007E-2</v>
      </c>
      <c r="Q223" s="3">
        <v>0</v>
      </c>
      <c r="R223" s="3"/>
      <c r="S223" s="3"/>
      <c r="T223" s="3"/>
      <c r="U223" s="67">
        <f t="shared" si="21"/>
        <v>7.0000000000000007E-2</v>
      </c>
      <c r="V223" s="67">
        <f t="shared" si="22"/>
        <v>0</v>
      </c>
      <c r="W223" s="91"/>
      <c r="X223" s="91"/>
      <c r="Y223" s="3"/>
      <c r="Z223" s="67">
        <f t="shared" si="23"/>
        <v>7.0000000000000007E-2</v>
      </c>
      <c r="AA223" s="67">
        <f t="shared" si="24"/>
        <v>0</v>
      </c>
      <c r="AB223" s="91"/>
      <c r="AC223" s="91"/>
      <c r="AD223" s="3"/>
      <c r="AE223" s="67">
        <f t="shared" si="25"/>
        <v>7.0000000000000007E-2</v>
      </c>
      <c r="AF223" s="67">
        <f t="shared" si="26"/>
        <v>0</v>
      </c>
    </row>
    <row r="224" spans="1:32" ht="46.8" hidden="1">
      <c r="A224" s="41">
        <f t="shared" si="27"/>
        <v>222</v>
      </c>
      <c r="B224" s="34" t="s">
        <v>931</v>
      </c>
      <c r="C224" s="34" t="s">
        <v>1002</v>
      </c>
      <c r="D224" s="34" t="s">
        <v>1017</v>
      </c>
      <c r="E224" s="41" t="s">
        <v>1273</v>
      </c>
      <c r="F224" s="43" t="s">
        <v>383</v>
      </c>
      <c r="G224" s="41" t="s">
        <v>28</v>
      </c>
      <c r="H224" s="41"/>
      <c r="I224" s="167" t="s">
        <v>349</v>
      </c>
      <c r="J224" s="167"/>
      <c r="K224" s="167"/>
      <c r="L224" s="174"/>
      <c r="M224" s="167"/>
      <c r="N224" s="41" t="s">
        <v>32</v>
      </c>
      <c r="O224" s="103">
        <v>0.33</v>
      </c>
      <c r="P224" s="66">
        <v>0.24</v>
      </c>
      <c r="Q224" s="3">
        <v>0</v>
      </c>
      <c r="R224" s="3"/>
      <c r="S224" s="3"/>
      <c r="T224" s="3"/>
      <c r="U224" s="67">
        <f t="shared" si="21"/>
        <v>0.24</v>
      </c>
      <c r="V224" s="67">
        <f t="shared" si="22"/>
        <v>0</v>
      </c>
      <c r="W224" s="91"/>
      <c r="X224" s="91"/>
      <c r="Y224" s="3"/>
      <c r="Z224" s="67">
        <f t="shared" si="23"/>
        <v>0.24</v>
      </c>
      <c r="AA224" s="67">
        <f t="shared" si="24"/>
        <v>0</v>
      </c>
      <c r="AB224" s="91"/>
      <c r="AC224" s="91"/>
      <c r="AD224" s="3"/>
      <c r="AE224" s="67">
        <f t="shared" si="25"/>
        <v>0.24</v>
      </c>
      <c r="AF224" s="67">
        <f t="shared" si="26"/>
        <v>0</v>
      </c>
    </row>
    <row r="225" spans="1:32" ht="46.8" hidden="1">
      <c r="A225" s="41">
        <f t="shared" si="27"/>
        <v>223</v>
      </c>
      <c r="B225" s="34" t="s">
        <v>932</v>
      </c>
      <c r="C225" s="34" t="s">
        <v>1002</v>
      </c>
      <c r="D225" s="34" t="s">
        <v>1017</v>
      </c>
      <c r="E225" s="41" t="s">
        <v>1274</v>
      </c>
      <c r="F225" s="43" t="s">
        <v>384</v>
      </c>
      <c r="G225" s="41" t="s">
        <v>28</v>
      </c>
      <c r="H225" s="41"/>
      <c r="I225" s="167" t="s">
        <v>349</v>
      </c>
      <c r="J225" s="167"/>
      <c r="K225" s="167"/>
      <c r="L225" s="174"/>
      <c r="M225" s="167"/>
      <c r="N225" s="41" t="s">
        <v>32</v>
      </c>
      <c r="O225" s="103">
        <v>4.95</v>
      </c>
      <c r="P225" s="66">
        <v>5.35</v>
      </c>
      <c r="Q225" s="3">
        <v>0</v>
      </c>
      <c r="R225" s="3"/>
      <c r="S225" s="3"/>
      <c r="T225" s="3"/>
      <c r="U225" s="67">
        <f t="shared" si="21"/>
        <v>5.35</v>
      </c>
      <c r="V225" s="67">
        <f t="shared" si="22"/>
        <v>0</v>
      </c>
      <c r="W225" s="91"/>
      <c r="X225" s="91"/>
      <c r="Y225" s="3"/>
      <c r="Z225" s="67">
        <f t="shared" si="23"/>
        <v>5.35</v>
      </c>
      <c r="AA225" s="67">
        <f t="shared" si="24"/>
        <v>0</v>
      </c>
      <c r="AB225" s="91"/>
      <c r="AC225" s="91"/>
      <c r="AD225" s="3"/>
      <c r="AE225" s="67">
        <f t="shared" si="25"/>
        <v>5.35</v>
      </c>
      <c r="AF225" s="67">
        <f t="shared" si="26"/>
        <v>0</v>
      </c>
    </row>
    <row r="226" spans="1:32" ht="46.8" hidden="1">
      <c r="A226" s="41">
        <f t="shared" si="27"/>
        <v>224</v>
      </c>
      <c r="B226" s="34" t="s">
        <v>933</v>
      </c>
      <c r="C226" s="34" t="s">
        <v>1002</v>
      </c>
      <c r="D226" s="34" t="s">
        <v>1017</v>
      </c>
      <c r="E226" s="41" t="s">
        <v>1275</v>
      </c>
      <c r="F226" s="43" t="s">
        <v>385</v>
      </c>
      <c r="G226" s="41" t="s">
        <v>28</v>
      </c>
      <c r="H226" s="41"/>
      <c r="I226" s="167" t="s">
        <v>349</v>
      </c>
      <c r="J226" s="167"/>
      <c r="K226" s="167"/>
      <c r="L226" s="174"/>
      <c r="M226" s="167"/>
      <c r="N226" s="41" t="s">
        <v>32</v>
      </c>
      <c r="O226" s="91">
        <v>0</v>
      </c>
      <c r="P226" s="66">
        <v>2.37</v>
      </c>
      <c r="Q226" s="3">
        <v>0</v>
      </c>
      <c r="R226" s="3"/>
      <c r="S226" s="3"/>
      <c r="T226" s="3"/>
      <c r="U226" s="67">
        <f t="shared" si="21"/>
        <v>2.37</v>
      </c>
      <c r="V226" s="67">
        <f t="shared" si="22"/>
        <v>0</v>
      </c>
      <c r="W226" s="91"/>
      <c r="X226" s="91"/>
      <c r="Y226" s="3"/>
      <c r="Z226" s="67">
        <f t="shared" si="23"/>
        <v>2.37</v>
      </c>
      <c r="AA226" s="67">
        <f t="shared" si="24"/>
        <v>0</v>
      </c>
      <c r="AB226" s="91"/>
      <c r="AC226" s="91"/>
      <c r="AD226" s="3"/>
      <c r="AE226" s="67">
        <f t="shared" si="25"/>
        <v>2.37</v>
      </c>
      <c r="AF226" s="67">
        <f t="shared" si="26"/>
        <v>0</v>
      </c>
    </row>
    <row r="227" spans="1:32" ht="46.8" hidden="1">
      <c r="A227" s="41">
        <f t="shared" si="27"/>
        <v>225</v>
      </c>
      <c r="B227" s="34" t="s">
        <v>934</v>
      </c>
      <c r="C227" s="34" t="s">
        <v>1002</v>
      </c>
      <c r="D227" s="34" t="s">
        <v>1017</v>
      </c>
      <c r="E227" s="41" t="s">
        <v>1276</v>
      </c>
      <c r="F227" s="43" t="s">
        <v>386</v>
      </c>
      <c r="G227" s="41" t="s">
        <v>28</v>
      </c>
      <c r="H227" s="41"/>
      <c r="I227" s="167" t="s">
        <v>349</v>
      </c>
      <c r="J227" s="167"/>
      <c r="K227" s="167"/>
      <c r="L227" s="174"/>
      <c r="M227" s="167"/>
      <c r="N227" s="41" t="s">
        <v>32</v>
      </c>
      <c r="O227" s="103">
        <v>0.22</v>
      </c>
      <c r="P227" s="66">
        <v>0.18</v>
      </c>
      <c r="Q227" s="3">
        <v>0</v>
      </c>
      <c r="R227" s="3"/>
      <c r="S227" s="3"/>
      <c r="T227" s="3"/>
      <c r="U227" s="67">
        <f t="shared" si="21"/>
        <v>0.18</v>
      </c>
      <c r="V227" s="67">
        <f t="shared" si="22"/>
        <v>0</v>
      </c>
      <c r="W227" s="91"/>
      <c r="X227" s="91"/>
      <c r="Y227" s="3"/>
      <c r="Z227" s="67">
        <f t="shared" si="23"/>
        <v>0.18</v>
      </c>
      <c r="AA227" s="67">
        <f t="shared" si="24"/>
        <v>0</v>
      </c>
      <c r="AB227" s="91"/>
      <c r="AC227" s="91"/>
      <c r="AD227" s="3"/>
      <c r="AE227" s="67">
        <f t="shared" si="25"/>
        <v>0.18</v>
      </c>
      <c r="AF227" s="67">
        <f t="shared" si="26"/>
        <v>0</v>
      </c>
    </row>
    <row r="228" spans="1:32" ht="46.8" hidden="1">
      <c r="A228" s="41">
        <f t="shared" si="27"/>
        <v>226</v>
      </c>
      <c r="B228" s="34" t="s">
        <v>935</v>
      </c>
      <c r="C228" s="34" t="s">
        <v>1002</v>
      </c>
      <c r="D228" s="34" t="s">
        <v>1017</v>
      </c>
      <c r="E228" s="41" t="s">
        <v>1277</v>
      </c>
      <c r="F228" s="43" t="s">
        <v>387</v>
      </c>
      <c r="G228" s="41" t="s">
        <v>28</v>
      </c>
      <c r="H228" s="41"/>
      <c r="I228" s="167" t="s">
        <v>349</v>
      </c>
      <c r="J228" s="167"/>
      <c r="K228" s="167"/>
      <c r="L228" s="174"/>
      <c r="M228" s="167"/>
      <c r="N228" s="41" t="s">
        <v>32</v>
      </c>
      <c r="O228" s="103">
        <v>0.14000000000000001</v>
      </c>
      <c r="P228" s="66">
        <v>0.13</v>
      </c>
      <c r="Q228" s="3">
        <v>0</v>
      </c>
      <c r="R228" s="3"/>
      <c r="S228" s="3"/>
      <c r="T228" s="3"/>
      <c r="U228" s="67">
        <f t="shared" si="21"/>
        <v>0.13</v>
      </c>
      <c r="V228" s="67">
        <f t="shared" si="22"/>
        <v>0</v>
      </c>
      <c r="W228" s="91"/>
      <c r="X228" s="91"/>
      <c r="Y228" s="3"/>
      <c r="Z228" s="67">
        <f t="shared" si="23"/>
        <v>0.13</v>
      </c>
      <c r="AA228" s="67">
        <f t="shared" si="24"/>
        <v>0</v>
      </c>
      <c r="AB228" s="91"/>
      <c r="AC228" s="91"/>
      <c r="AD228" s="3"/>
      <c r="AE228" s="67">
        <f t="shared" si="25"/>
        <v>0.13</v>
      </c>
      <c r="AF228" s="67">
        <f t="shared" si="26"/>
        <v>0</v>
      </c>
    </row>
    <row r="229" spans="1:32" ht="78" hidden="1">
      <c r="A229" s="41">
        <f t="shared" si="27"/>
        <v>227</v>
      </c>
      <c r="B229" s="34" t="s">
        <v>936</v>
      </c>
      <c r="C229" s="34" t="s">
        <v>1002</v>
      </c>
      <c r="D229" s="34" t="s">
        <v>1017</v>
      </c>
      <c r="E229" s="41" t="s">
        <v>1278</v>
      </c>
      <c r="F229" s="43" t="s">
        <v>388</v>
      </c>
      <c r="G229" s="41" t="s">
        <v>28</v>
      </c>
      <c r="H229" s="41"/>
      <c r="I229" s="167" t="s">
        <v>349</v>
      </c>
      <c r="J229" s="167"/>
      <c r="K229" s="167"/>
      <c r="L229" s="174"/>
      <c r="M229" s="167"/>
      <c r="N229" s="41" t="s">
        <v>32</v>
      </c>
      <c r="O229" s="91">
        <v>0</v>
      </c>
      <c r="P229" s="66">
        <v>0.26</v>
      </c>
      <c r="Q229" s="3">
        <v>0</v>
      </c>
      <c r="R229" s="3"/>
      <c r="S229" s="3"/>
      <c r="T229" s="3"/>
      <c r="U229" s="67">
        <f t="shared" si="21"/>
        <v>0.26</v>
      </c>
      <c r="V229" s="67">
        <f t="shared" si="22"/>
        <v>0</v>
      </c>
      <c r="W229" s="91"/>
      <c r="X229" s="91"/>
      <c r="Y229" s="3"/>
      <c r="Z229" s="67">
        <f t="shared" si="23"/>
        <v>0.26</v>
      </c>
      <c r="AA229" s="67">
        <f t="shared" si="24"/>
        <v>0</v>
      </c>
      <c r="AB229" s="91"/>
      <c r="AC229" s="91"/>
      <c r="AD229" s="3"/>
      <c r="AE229" s="67">
        <f t="shared" si="25"/>
        <v>0.26</v>
      </c>
      <c r="AF229" s="67">
        <f t="shared" si="26"/>
        <v>0</v>
      </c>
    </row>
    <row r="230" spans="1:32" ht="46.8" hidden="1">
      <c r="A230" s="41">
        <f t="shared" si="27"/>
        <v>228</v>
      </c>
      <c r="B230" s="34" t="s">
        <v>937</v>
      </c>
      <c r="C230" s="34" t="s">
        <v>1002</v>
      </c>
      <c r="D230" s="34" t="s">
        <v>1017</v>
      </c>
      <c r="E230" s="41" t="s">
        <v>1279</v>
      </c>
      <c r="F230" s="43" t="s">
        <v>389</v>
      </c>
      <c r="G230" s="41" t="s">
        <v>28</v>
      </c>
      <c r="H230" s="41"/>
      <c r="I230" s="167" t="s">
        <v>349</v>
      </c>
      <c r="J230" s="167"/>
      <c r="K230" s="167"/>
      <c r="L230" s="174"/>
      <c r="M230" s="167"/>
      <c r="N230" s="41" t="s">
        <v>32</v>
      </c>
      <c r="O230" s="91">
        <v>0</v>
      </c>
      <c r="P230" s="66">
        <v>0.41</v>
      </c>
      <c r="Q230" s="3">
        <v>0</v>
      </c>
      <c r="R230" s="3"/>
      <c r="S230" s="3"/>
      <c r="T230" s="3"/>
      <c r="U230" s="67">
        <f t="shared" si="21"/>
        <v>0.41</v>
      </c>
      <c r="V230" s="67">
        <f t="shared" si="22"/>
        <v>0</v>
      </c>
      <c r="W230" s="91"/>
      <c r="X230" s="91"/>
      <c r="Y230" s="3"/>
      <c r="Z230" s="67">
        <f t="shared" si="23"/>
        <v>0.41</v>
      </c>
      <c r="AA230" s="67">
        <f t="shared" si="24"/>
        <v>0</v>
      </c>
      <c r="AB230" s="91"/>
      <c r="AC230" s="91"/>
      <c r="AD230" s="3"/>
      <c r="AE230" s="67">
        <f t="shared" si="25"/>
        <v>0.41</v>
      </c>
      <c r="AF230" s="67">
        <f t="shared" si="26"/>
        <v>0</v>
      </c>
    </row>
    <row r="231" spans="1:32" ht="46.8" hidden="1">
      <c r="A231" s="41">
        <f t="shared" si="27"/>
        <v>229</v>
      </c>
      <c r="B231" s="34" t="s">
        <v>938</v>
      </c>
      <c r="C231" s="34" t="s">
        <v>1002</v>
      </c>
      <c r="D231" s="34" t="s">
        <v>1017</v>
      </c>
      <c r="E231" s="41" t="s">
        <v>1280</v>
      </c>
      <c r="F231" s="43" t="s">
        <v>390</v>
      </c>
      <c r="G231" s="41" t="s">
        <v>28</v>
      </c>
      <c r="H231" s="41"/>
      <c r="I231" s="167" t="s">
        <v>349</v>
      </c>
      <c r="J231" s="167"/>
      <c r="K231" s="167"/>
      <c r="L231" s="174"/>
      <c r="M231" s="167"/>
      <c r="N231" s="41" t="s">
        <v>32</v>
      </c>
      <c r="O231" s="91">
        <v>0</v>
      </c>
      <c r="P231" s="66">
        <v>0.28000000000000003</v>
      </c>
      <c r="Q231" s="3">
        <v>0</v>
      </c>
      <c r="R231" s="3"/>
      <c r="S231" s="3"/>
      <c r="T231" s="3"/>
      <c r="U231" s="67">
        <f t="shared" si="21"/>
        <v>0.28000000000000003</v>
      </c>
      <c r="V231" s="67">
        <f t="shared" si="22"/>
        <v>0</v>
      </c>
      <c r="W231" s="91"/>
      <c r="X231" s="91"/>
      <c r="Y231" s="3"/>
      <c r="Z231" s="67">
        <f t="shared" si="23"/>
        <v>0.28000000000000003</v>
      </c>
      <c r="AA231" s="67">
        <f t="shared" si="24"/>
        <v>0</v>
      </c>
      <c r="AB231" s="91"/>
      <c r="AC231" s="91"/>
      <c r="AD231" s="3"/>
      <c r="AE231" s="67">
        <f t="shared" si="25"/>
        <v>0.28000000000000003</v>
      </c>
      <c r="AF231" s="67">
        <f t="shared" si="26"/>
        <v>0</v>
      </c>
    </row>
    <row r="232" spans="1:32" ht="46.8" hidden="1">
      <c r="A232" s="41">
        <f t="shared" si="27"/>
        <v>230</v>
      </c>
      <c r="B232" s="34" t="s">
        <v>939</v>
      </c>
      <c r="C232" s="34" t="s">
        <v>1002</v>
      </c>
      <c r="D232" s="34" t="s">
        <v>1017</v>
      </c>
      <c r="E232" s="41" t="s">
        <v>1281</v>
      </c>
      <c r="F232" s="43" t="s">
        <v>391</v>
      </c>
      <c r="G232" s="41" t="s">
        <v>28</v>
      </c>
      <c r="H232" s="41"/>
      <c r="I232" s="167" t="s">
        <v>349</v>
      </c>
      <c r="J232" s="167"/>
      <c r="K232" s="167"/>
      <c r="L232" s="174"/>
      <c r="M232" s="167"/>
      <c r="N232" s="41" t="s">
        <v>32</v>
      </c>
      <c r="O232" s="103">
        <v>0.22</v>
      </c>
      <c r="P232" s="66">
        <v>0.21</v>
      </c>
      <c r="Q232" s="3">
        <v>0</v>
      </c>
      <c r="R232" s="3"/>
      <c r="S232" s="3"/>
      <c r="T232" s="3"/>
      <c r="U232" s="67">
        <f t="shared" si="21"/>
        <v>0.21</v>
      </c>
      <c r="V232" s="67">
        <f t="shared" si="22"/>
        <v>0</v>
      </c>
      <c r="W232" s="91"/>
      <c r="X232" s="91"/>
      <c r="Y232" s="3"/>
      <c r="Z232" s="67">
        <f t="shared" si="23"/>
        <v>0.21</v>
      </c>
      <c r="AA232" s="67">
        <f t="shared" si="24"/>
        <v>0</v>
      </c>
      <c r="AB232" s="91"/>
      <c r="AC232" s="91"/>
      <c r="AD232" s="3"/>
      <c r="AE232" s="67">
        <f t="shared" si="25"/>
        <v>0.21</v>
      </c>
      <c r="AF232" s="67">
        <f t="shared" si="26"/>
        <v>0</v>
      </c>
    </row>
    <row r="233" spans="1:32" ht="46.8" hidden="1">
      <c r="A233" s="41">
        <f t="shared" si="27"/>
        <v>231</v>
      </c>
      <c r="B233" s="34" t="s">
        <v>940</v>
      </c>
      <c r="C233" s="34" t="s">
        <v>1002</v>
      </c>
      <c r="D233" s="34" t="s">
        <v>1017</v>
      </c>
      <c r="E233" s="41" t="s">
        <v>1282</v>
      </c>
      <c r="F233" s="43" t="s">
        <v>392</v>
      </c>
      <c r="G233" s="41" t="s">
        <v>28</v>
      </c>
      <c r="H233" s="41"/>
      <c r="I233" s="167" t="s">
        <v>349</v>
      </c>
      <c r="J233" s="167"/>
      <c r="K233" s="167"/>
      <c r="L233" s="174"/>
      <c r="M233" s="167"/>
      <c r="N233" s="41" t="s">
        <v>32</v>
      </c>
      <c r="O233" s="91">
        <v>0</v>
      </c>
      <c r="P233" s="66">
        <v>0.3</v>
      </c>
      <c r="Q233" s="3">
        <v>0</v>
      </c>
      <c r="R233" s="3"/>
      <c r="S233" s="3"/>
      <c r="T233" s="3"/>
      <c r="U233" s="67">
        <f t="shared" si="21"/>
        <v>0.3</v>
      </c>
      <c r="V233" s="67">
        <f t="shared" si="22"/>
        <v>0</v>
      </c>
      <c r="W233" s="91"/>
      <c r="X233" s="91"/>
      <c r="Y233" s="3"/>
      <c r="Z233" s="67">
        <f t="shared" si="23"/>
        <v>0.3</v>
      </c>
      <c r="AA233" s="67">
        <f t="shared" si="24"/>
        <v>0</v>
      </c>
      <c r="AB233" s="91"/>
      <c r="AC233" s="91"/>
      <c r="AD233" s="3"/>
      <c r="AE233" s="67">
        <f t="shared" si="25"/>
        <v>0.3</v>
      </c>
      <c r="AF233" s="67">
        <f t="shared" si="26"/>
        <v>0</v>
      </c>
    </row>
    <row r="234" spans="1:32" ht="46.8" hidden="1">
      <c r="A234" s="41">
        <f t="shared" si="27"/>
        <v>232</v>
      </c>
      <c r="B234" s="34" t="s">
        <v>941</v>
      </c>
      <c r="C234" s="34" t="s">
        <v>1002</v>
      </c>
      <c r="D234" s="34" t="s">
        <v>1017</v>
      </c>
      <c r="E234" s="41" t="s">
        <v>1283</v>
      </c>
      <c r="F234" s="43" t="s">
        <v>393</v>
      </c>
      <c r="G234" s="41" t="s">
        <v>28</v>
      </c>
      <c r="H234" s="41"/>
      <c r="I234" s="167" t="s">
        <v>349</v>
      </c>
      <c r="J234" s="167"/>
      <c r="K234" s="167"/>
      <c r="L234" s="174"/>
      <c r="M234" s="167"/>
      <c r="N234" s="41" t="s">
        <v>32</v>
      </c>
      <c r="O234" s="103">
        <v>0.18</v>
      </c>
      <c r="P234" s="66">
        <v>0.17</v>
      </c>
      <c r="Q234" s="3">
        <v>0</v>
      </c>
      <c r="R234" s="3"/>
      <c r="S234" s="3"/>
      <c r="T234" s="3"/>
      <c r="U234" s="67">
        <f t="shared" si="21"/>
        <v>0.17</v>
      </c>
      <c r="V234" s="67">
        <f t="shared" si="22"/>
        <v>0</v>
      </c>
      <c r="W234" s="91"/>
      <c r="X234" s="91"/>
      <c r="Y234" s="3"/>
      <c r="Z234" s="67">
        <f t="shared" si="23"/>
        <v>0.17</v>
      </c>
      <c r="AA234" s="67">
        <f t="shared" si="24"/>
        <v>0</v>
      </c>
      <c r="AB234" s="91"/>
      <c r="AC234" s="91"/>
      <c r="AD234" s="3"/>
      <c r="AE234" s="67">
        <f t="shared" si="25"/>
        <v>0.17</v>
      </c>
      <c r="AF234" s="67">
        <f t="shared" si="26"/>
        <v>0</v>
      </c>
    </row>
    <row r="235" spans="1:32" ht="46.8" hidden="1">
      <c r="A235" s="41">
        <f t="shared" si="27"/>
        <v>233</v>
      </c>
      <c r="B235" s="34" t="s">
        <v>942</v>
      </c>
      <c r="C235" s="34" t="s">
        <v>1002</v>
      </c>
      <c r="D235" s="34" t="s">
        <v>1017</v>
      </c>
      <c r="E235" s="41" t="s">
        <v>1284</v>
      </c>
      <c r="F235" s="43" t="s">
        <v>394</v>
      </c>
      <c r="G235" s="41" t="s">
        <v>28</v>
      </c>
      <c r="H235" s="41"/>
      <c r="I235" s="167" t="s">
        <v>349</v>
      </c>
      <c r="J235" s="167"/>
      <c r="K235" s="167"/>
      <c r="L235" s="174"/>
      <c r="M235" s="167"/>
      <c r="N235" s="41" t="s">
        <v>32</v>
      </c>
      <c r="O235" s="91">
        <v>0</v>
      </c>
      <c r="P235" s="66">
        <v>0.27</v>
      </c>
      <c r="Q235" s="3">
        <v>0</v>
      </c>
      <c r="R235" s="3"/>
      <c r="S235" s="3"/>
      <c r="T235" s="3"/>
      <c r="U235" s="67">
        <f t="shared" si="21"/>
        <v>0.27</v>
      </c>
      <c r="V235" s="67">
        <f t="shared" si="22"/>
        <v>0</v>
      </c>
      <c r="W235" s="91"/>
      <c r="X235" s="91"/>
      <c r="Y235" s="3"/>
      <c r="Z235" s="67">
        <f t="shared" si="23"/>
        <v>0.27</v>
      </c>
      <c r="AA235" s="67">
        <f t="shared" si="24"/>
        <v>0</v>
      </c>
      <c r="AB235" s="91"/>
      <c r="AC235" s="91"/>
      <c r="AD235" s="3"/>
      <c r="AE235" s="67">
        <f t="shared" si="25"/>
        <v>0.27</v>
      </c>
      <c r="AF235" s="67">
        <f t="shared" si="26"/>
        <v>0</v>
      </c>
    </row>
    <row r="236" spans="1:32" ht="46.8" hidden="1">
      <c r="A236" s="41">
        <f t="shared" si="27"/>
        <v>234</v>
      </c>
      <c r="B236" s="34"/>
      <c r="C236" s="34" t="s">
        <v>1002</v>
      </c>
      <c r="D236" s="34" t="s">
        <v>1017</v>
      </c>
      <c r="E236" s="41" t="s">
        <v>1285</v>
      </c>
      <c r="F236" s="43" t="s">
        <v>395</v>
      </c>
      <c r="G236" s="41" t="s">
        <v>28</v>
      </c>
      <c r="H236" s="41"/>
      <c r="I236" s="167" t="s">
        <v>349</v>
      </c>
      <c r="J236" s="167"/>
      <c r="K236" s="167"/>
      <c r="L236" s="174"/>
      <c r="M236" s="167"/>
      <c r="N236" s="41" t="s">
        <v>32</v>
      </c>
      <c r="O236" s="91">
        <v>0</v>
      </c>
      <c r="P236" s="3">
        <v>0</v>
      </c>
      <c r="Q236" s="66">
        <v>0.11</v>
      </c>
      <c r="R236" s="3"/>
      <c r="S236" s="3"/>
      <c r="T236" s="3"/>
      <c r="U236" s="67">
        <f t="shared" si="21"/>
        <v>0</v>
      </c>
      <c r="V236" s="67">
        <f t="shared" si="22"/>
        <v>0.11</v>
      </c>
      <c r="W236" s="91"/>
      <c r="X236" s="91"/>
      <c r="Y236" s="3"/>
      <c r="Z236" s="67">
        <f t="shared" si="23"/>
        <v>0</v>
      </c>
      <c r="AA236" s="67">
        <f t="shared" si="24"/>
        <v>0.11</v>
      </c>
      <c r="AB236" s="91"/>
      <c r="AC236" s="91"/>
      <c r="AD236" s="3"/>
      <c r="AE236" s="67">
        <f t="shared" si="25"/>
        <v>0</v>
      </c>
      <c r="AF236" s="67">
        <f t="shared" si="26"/>
        <v>0.11</v>
      </c>
    </row>
    <row r="237" spans="1:32" ht="46.8" hidden="1">
      <c r="A237" s="41">
        <f t="shared" si="27"/>
        <v>235</v>
      </c>
      <c r="B237" s="34" t="s">
        <v>943</v>
      </c>
      <c r="C237" s="34" t="s">
        <v>1002</v>
      </c>
      <c r="D237" s="34" t="s">
        <v>1017</v>
      </c>
      <c r="E237" s="41" t="s">
        <v>1286</v>
      </c>
      <c r="F237" s="43" t="s">
        <v>396</v>
      </c>
      <c r="G237" s="41" t="s">
        <v>28</v>
      </c>
      <c r="H237" s="41"/>
      <c r="I237" s="167" t="s">
        <v>349</v>
      </c>
      <c r="J237" s="167"/>
      <c r="K237" s="167"/>
      <c r="L237" s="174"/>
      <c r="M237" s="167"/>
      <c r="N237" s="41" t="s">
        <v>32</v>
      </c>
      <c r="O237" s="103">
        <v>0.17</v>
      </c>
      <c r="P237" s="66">
        <v>0.15</v>
      </c>
      <c r="Q237" s="3">
        <v>0</v>
      </c>
      <c r="R237" s="3"/>
      <c r="S237" s="3"/>
      <c r="T237" s="3"/>
      <c r="U237" s="67">
        <f t="shared" si="21"/>
        <v>0.15</v>
      </c>
      <c r="V237" s="67">
        <f t="shared" si="22"/>
        <v>0</v>
      </c>
      <c r="W237" s="91"/>
      <c r="X237" s="91"/>
      <c r="Y237" s="3"/>
      <c r="Z237" s="67">
        <f t="shared" si="23"/>
        <v>0.15</v>
      </c>
      <c r="AA237" s="67">
        <f t="shared" si="24"/>
        <v>0</v>
      </c>
      <c r="AB237" s="91"/>
      <c r="AC237" s="91"/>
      <c r="AD237" s="3"/>
      <c r="AE237" s="67">
        <f t="shared" si="25"/>
        <v>0.15</v>
      </c>
      <c r="AF237" s="67">
        <f t="shared" si="26"/>
        <v>0</v>
      </c>
    </row>
    <row r="238" spans="1:32" ht="46.8" hidden="1">
      <c r="A238" s="41">
        <f t="shared" si="27"/>
        <v>236</v>
      </c>
      <c r="B238" s="34"/>
      <c r="C238" s="34" t="s">
        <v>1002</v>
      </c>
      <c r="D238" s="34" t="s">
        <v>1017</v>
      </c>
      <c r="E238" s="41" t="s">
        <v>1287</v>
      </c>
      <c r="F238" s="43" t="s">
        <v>397</v>
      </c>
      <c r="G238" s="41" t="s">
        <v>28</v>
      </c>
      <c r="H238" s="41"/>
      <c r="I238" s="167" t="s">
        <v>349</v>
      </c>
      <c r="J238" s="167"/>
      <c r="K238" s="167"/>
      <c r="L238" s="174"/>
      <c r="M238" s="167"/>
      <c r="N238" s="41" t="s">
        <v>32</v>
      </c>
      <c r="O238" s="91">
        <v>0</v>
      </c>
      <c r="P238" s="3">
        <v>0</v>
      </c>
      <c r="Q238" s="66">
        <v>0.28999999999999998</v>
      </c>
      <c r="R238" s="3"/>
      <c r="S238" s="3"/>
      <c r="T238" s="3"/>
      <c r="U238" s="67">
        <f t="shared" si="21"/>
        <v>0</v>
      </c>
      <c r="V238" s="67">
        <f t="shared" si="22"/>
        <v>0.28999999999999998</v>
      </c>
      <c r="W238" s="91"/>
      <c r="X238" s="91"/>
      <c r="Y238" s="3"/>
      <c r="Z238" s="67">
        <f t="shared" si="23"/>
        <v>0</v>
      </c>
      <c r="AA238" s="67">
        <f t="shared" si="24"/>
        <v>0.28999999999999998</v>
      </c>
      <c r="AB238" s="91"/>
      <c r="AC238" s="91"/>
      <c r="AD238" s="3"/>
      <c r="AE238" s="67">
        <f t="shared" si="25"/>
        <v>0</v>
      </c>
      <c r="AF238" s="67">
        <f t="shared" si="26"/>
        <v>0.28999999999999998</v>
      </c>
    </row>
    <row r="239" spans="1:32" ht="46.8" hidden="1">
      <c r="A239" s="41">
        <f t="shared" si="27"/>
        <v>237</v>
      </c>
      <c r="B239" s="34" t="s">
        <v>944</v>
      </c>
      <c r="C239" s="34" t="s">
        <v>1002</v>
      </c>
      <c r="D239" s="34" t="s">
        <v>1017</v>
      </c>
      <c r="E239" s="41" t="s">
        <v>1288</v>
      </c>
      <c r="F239" s="43" t="s">
        <v>399</v>
      </c>
      <c r="G239" s="41" t="s">
        <v>28</v>
      </c>
      <c r="H239" s="41"/>
      <c r="I239" s="167" t="s">
        <v>349</v>
      </c>
      <c r="J239" s="167"/>
      <c r="K239" s="167"/>
      <c r="L239" s="174"/>
      <c r="M239" s="167"/>
      <c r="N239" s="41" t="s">
        <v>32</v>
      </c>
      <c r="O239" s="91">
        <v>0</v>
      </c>
      <c r="P239" s="66">
        <v>0.97</v>
      </c>
      <c r="Q239" s="3">
        <v>0</v>
      </c>
      <c r="R239" s="3"/>
      <c r="S239" s="3"/>
      <c r="T239" s="3"/>
      <c r="U239" s="67">
        <f t="shared" si="21"/>
        <v>0.97</v>
      </c>
      <c r="V239" s="67">
        <f t="shared" si="22"/>
        <v>0</v>
      </c>
      <c r="W239" s="91"/>
      <c r="X239" s="91"/>
      <c r="Y239" s="3"/>
      <c r="Z239" s="67">
        <f t="shared" si="23"/>
        <v>0.97</v>
      </c>
      <c r="AA239" s="67">
        <f t="shared" si="24"/>
        <v>0</v>
      </c>
      <c r="AB239" s="91"/>
      <c r="AC239" s="91"/>
      <c r="AD239" s="3"/>
      <c r="AE239" s="67">
        <f t="shared" si="25"/>
        <v>0.97</v>
      </c>
      <c r="AF239" s="67">
        <f t="shared" si="26"/>
        <v>0</v>
      </c>
    </row>
    <row r="240" spans="1:32" ht="46.8" hidden="1">
      <c r="A240" s="41">
        <f t="shared" si="27"/>
        <v>238</v>
      </c>
      <c r="B240" s="34" t="s">
        <v>945</v>
      </c>
      <c r="C240" s="34" t="s">
        <v>1002</v>
      </c>
      <c r="D240" s="34" t="s">
        <v>1017</v>
      </c>
      <c r="E240" s="41" t="s">
        <v>1289</v>
      </c>
      <c r="F240" s="43" t="s">
        <v>400</v>
      </c>
      <c r="G240" s="41" t="s">
        <v>28</v>
      </c>
      <c r="H240" s="41"/>
      <c r="I240" s="167" t="s">
        <v>349</v>
      </c>
      <c r="J240" s="167"/>
      <c r="K240" s="167"/>
      <c r="L240" s="174"/>
      <c r="M240" s="167"/>
      <c r="N240" s="41" t="s">
        <v>32</v>
      </c>
      <c r="O240" s="91">
        <v>0</v>
      </c>
      <c r="P240" s="66">
        <v>0.48</v>
      </c>
      <c r="Q240" s="3">
        <v>0</v>
      </c>
      <c r="R240" s="3"/>
      <c r="S240" s="3"/>
      <c r="T240" s="3"/>
      <c r="U240" s="67">
        <f t="shared" si="21"/>
        <v>0.48</v>
      </c>
      <c r="V240" s="67">
        <f t="shared" si="22"/>
        <v>0</v>
      </c>
      <c r="W240" s="91"/>
      <c r="X240" s="91"/>
      <c r="Y240" s="3"/>
      <c r="Z240" s="67">
        <f t="shared" si="23"/>
        <v>0.48</v>
      </c>
      <c r="AA240" s="67">
        <f t="shared" si="24"/>
        <v>0</v>
      </c>
      <c r="AB240" s="91"/>
      <c r="AC240" s="91"/>
      <c r="AD240" s="3"/>
      <c r="AE240" s="67">
        <f t="shared" si="25"/>
        <v>0.48</v>
      </c>
      <c r="AF240" s="67">
        <f t="shared" si="26"/>
        <v>0</v>
      </c>
    </row>
    <row r="241" spans="1:32" ht="46.8" hidden="1">
      <c r="A241" s="41">
        <f t="shared" si="27"/>
        <v>239</v>
      </c>
      <c r="B241" s="34" t="s">
        <v>946</v>
      </c>
      <c r="C241" s="34" t="s">
        <v>1002</v>
      </c>
      <c r="D241" s="34" t="s">
        <v>1017</v>
      </c>
      <c r="E241" s="41" t="s">
        <v>1290</v>
      </c>
      <c r="F241" s="43" t="s">
        <v>401</v>
      </c>
      <c r="G241" s="41" t="s">
        <v>28</v>
      </c>
      <c r="H241" s="41"/>
      <c r="I241" s="167" t="s">
        <v>349</v>
      </c>
      <c r="J241" s="167"/>
      <c r="K241" s="167"/>
      <c r="L241" s="174"/>
      <c r="M241" s="167"/>
      <c r="N241" s="41" t="s">
        <v>32</v>
      </c>
      <c r="O241" s="91">
        <v>0</v>
      </c>
      <c r="P241" s="66">
        <v>0.64</v>
      </c>
      <c r="Q241" s="3">
        <v>0</v>
      </c>
      <c r="R241" s="3"/>
      <c r="S241" s="3"/>
      <c r="T241" s="3"/>
      <c r="U241" s="67">
        <f t="shared" si="21"/>
        <v>0.64</v>
      </c>
      <c r="V241" s="67">
        <f t="shared" si="22"/>
        <v>0</v>
      </c>
      <c r="W241" s="91"/>
      <c r="X241" s="91"/>
      <c r="Y241" s="3"/>
      <c r="Z241" s="67">
        <f t="shared" si="23"/>
        <v>0.64</v>
      </c>
      <c r="AA241" s="67">
        <f t="shared" si="24"/>
        <v>0</v>
      </c>
      <c r="AB241" s="91"/>
      <c r="AC241" s="91"/>
      <c r="AD241" s="3"/>
      <c r="AE241" s="67">
        <f t="shared" si="25"/>
        <v>0.64</v>
      </c>
      <c r="AF241" s="67">
        <f t="shared" si="26"/>
        <v>0</v>
      </c>
    </row>
    <row r="242" spans="1:32" ht="46.8" hidden="1">
      <c r="A242" s="41">
        <f t="shared" si="27"/>
        <v>240</v>
      </c>
      <c r="B242" s="34" t="s">
        <v>947</v>
      </c>
      <c r="C242" s="34" t="s">
        <v>1002</v>
      </c>
      <c r="D242" s="34" t="s">
        <v>1017</v>
      </c>
      <c r="E242" s="41" t="s">
        <v>1258</v>
      </c>
      <c r="F242" s="43" t="s">
        <v>402</v>
      </c>
      <c r="G242" s="41" t="s">
        <v>28</v>
      </c>
      <c r="H242" s="41"/>
      <c r="I242" s="167" t="s">
        <v>349</v>
      </c>
      <c r="J242" s="167"/>
      <c r="K242" s="167"/>
      <c r="L242" s="174"/>
      <c r="M242" s="167"/>
      <c r="N242" s="41" t="s">
        <v>32</v>
      </c>
      <c r="O242" s="91">
        <v>0</v>
      </c>
      <c r="P242" s="66">
        <v>1.67</v>
      </c>
      <c r="Q242" s="66">
        <v>0</v>
      </c>
      <c r="R242" s="3"/>
      <c r="S242" s="3"/>
      <c r="T242" s="3"/>
      <c r="U242" s="67">
        <f t="shared" si="21"/>
        <v>1.67</v>
      </c>
      <c r="V242" s="67">
        <f t="shared" si="22"/>
        <v>0</v>
      </c>
      <c r="W242" s="91"/>
      <c r="X242" s="91"/>
      <c r="Y242" s="3"/>
      <c r="Z242" s="67">
        <f t="shared" si="23"/>
        <v>1.67</v>
      </c>
      <c r="AA242" s="67">
        <f t="shared" si="24"/>
        <v>0</v>
      </c>
      <c r="AB242" s="91"/>
      <c r="AC242" s="91"/>
      <c r="AD242" s="3"/>
      <c r="AE242" s="67">
        <f t="shared" si="25"/>
        <v>1.67</v>
      </c>
      <c r="AF242" s="67">
        <f t="shared" si="26"/>
        <v>0</v>
      </c>
    </row>
    <row r="243" spans="1:32" ht="46.8" hidden="1">
      <c r="A243" s="41">
        <f t="shared" si="27"/>
        <v>241</v>
      </c>
      <c r="B243" s="34" t="s">
        <v>948</v>
      </c>
      <c r="C243" s="34" t="s">
        <v>1002</v>
      </c>
      <c r="D243" s="34" t="s">
        <v>1017</v>
      </c>
      <c r="E243" s="41" t="s">
        <v>1261</v>
      </c>
      <c r="F243" s="43" t="s">
        <v>403</v>
      </c>
      <c r="G243" s="41" t="s">
        <v>28</v>
      </c>
      <c r="H243" s="41"/>
      <c r="I243" s="167" t="s">
        <v>349</v>
      </c>
      <c r="J243" s="167"/>
      <c r="K243" s="167"/>
      <c r="L243" s="174"/>
      <c r="M243" s="167"/>
      <c r="N243" s="41" t="s">
        <v>32</v>
      </c>
      <c r="O243" s="91">
        <v>0</v>
      </c>
      <c r="P243" s="66">
        <v>0.86</v>
      </c>
      <c r="Q243" s="3">
        <v>0</v>
      </c>
      <c r="R243" s="3"/>
      <c r="S243" s="3"/>
      <c r="T243" s="3"/>
      <c r="U243" s="67">
        <f t="shared" si="21"/>
        <v>0.86</v>
      </c>
      <c r="V243" s="67">
        <f t="shared" si="22"/>
        <v>0</v>
      </c>
      <c r="W243" s="91"/>
      <c r="X243" s="91"/>
      <c r="Y243" s="3"/>
      <c r="Z243" s="67">
        <f t="shared" si="23"/>
        <v>0.86</v>
      </c>
      <c r="AA243" s="67">
        <f t="shared" si="24"/>
        <v>0</v>
      </c>
      <c r="AB243" s="91"/>
      <c r="AC243" s="91"/>
      <c r="AD243" s="3"/>
      <c r="AE243" s="67">
        <f t="shared" si="25"/>
        <v>0.86</v>
      </c>
      <c r="AF243" s="67">
        <f t="shared" si="26"/>
        <v>0</v>
      </c>
    </row>
    <row r="244" spans="1:32" ht="46.8" hidden="1">
      <c r="A244" s="41">
        <f t="shared" si="27"/>
        <v>242</v>
      </c>
      <c r="B244" s="34" t="s">
        <v>949</v>
      </c>
      <c r="C244" s="34" t="s">
        <v>1002</v>
      </c>
      <c r="D244" s="34" t="s">
        <v>1017</v>
      </c>
      <c r="E244" s="41" t="s">
        <v>1291</v>
      </c>
      <c r="F244" s="43" t="s">
        <v>404</v>
      </c>
      <c r="G244" s="41" t="s">
        <v>28</v>
      </c>
      <c r="H244" s="41"/>
      <c r="I244" s="167" t="s">
        <v>349</v>
      </c>
      <c r="J244" s="167"/>
      <c r="K244" s="167"/>
      <c r="L244" s="174"/>
      <c r="M244" s="167"/>
      <c r="N244" s="41" t="s">
        <v>32</v>
      </c>
      <c r="O244" s="91">
        <v>0</v>
      </c>
      <c r="P244" s="66">
        <v>1.22</v>
      </c>
      <c r="Q244" s="3">
        <v>0</v>
      </c>
      <c r="R244" s="3"/>
      <c r="S244" s="3"/>
      <c r="T244" s="3"/>
      <c r="U244" s="67">
        <f t="shared" si="21"/>
        <v>1.22</v>
      </c>
      <c r="V244" s="67">
        <f t="shared" si="22"/>
        <v>0</v>
      </c>
      <c r="W244" s="91"/>
      <c r="X244" s="91"/>
      <c r="Y244" s="3"/>
      <c r="Z244" s="67">
        <f t="shared" si="23"/>
        <v>1.22</v>
      </c>
      <c r="AA244" s="67">
        <f t="shared" si="24"/>
        <v>0</v>
      </c>
      <c r="AB244" s="91"/>
      <c r="AC244" s="91"/>
      <c r="AD244" s="3"/>
      <c r="AE244" s="67">
        <f t="shared" si="25"/>
        <v>1.22</v>
      </c>
      <c r="AF244" s="67">
        <f t="shared" si="26"/>
        <v>0</v>
      </c>
    </row>
    <row r="245" spans="1:32" ht="46.8" hidden="1">
      <c r="A245" s="41">
        <f t="shared" si="27"/>
        <v>243</v>
      </c>
      <c r="B245" s="34" t="s">
        <v>950</v>
      </c>
      <c r="C245" s="34" t="s">
        <v>1002</v>
      </c>
      <c r="D245" s="34" t="s">
        <v>1017</v>
      </c>
      <c r="E245" s="41" t="s">
        <v>1292</v>
      </c>
      <c r="F245" s="43" t="s">
        <v>405</v>
      </c>
      <c r="G245" s="41" t="s">
        <v>28</v>
      </c>
      <c r="H245" s="41"/>
      <c r="I245" s="167" t="s">
        <v>349</v>
      </c>
      <c r="J245" s="167"/>
      <c r="K245" s="167"/>
      <c r="L245" s="174"/>
      <c r="M245" s="167"/>
      <c r="N245" s="41" t="s">
        <v>32</v>
      </c>
      <c r="O245" s="91">
        <v>0</v>
      </c>
      <c r="P245" s="66">
        <v>1.01</v>
      </c>
      <c r="Q245" s="3">
        <v>0</v>
      </c>
      <c r="R245" s="3"/>
      <c r="S245" s="3"/>
      <c r="T245" s="3"/>
      <c r="U245" s="67">
        <f t="shared" si="21"/>
        <v>1.01</v>
      </c>
      <c r="V245" s="67">
        <f t="shared" si="22"/>
        <v>0</v>
      </c>
      <c r="W245" s="91"/>
      <c r="X245" s="91"/>
      <c r="Y245" s="3"/>
      <c r="Z245" s="67">
        <f t="shared" si="23"/>
        <v>1.01</v>
      </c>
      <c r="AA245" s="67">
        <f t="shared" si="24"/>
        <v>0</v>
      </c>
      <c r="AB245" s="91"/>
      <c r="AC245" s="91"/>
      <c r="AD245" s="3"/>
      <c r="AE245" s="67">
        <f t="shared" si="25"/>
        <v>1.01</v>
      </c>
      <c r="AF245" s="67">
        <f t="shared" si="26"/>
        <v>0</v>
      </c>
    </row>
    <row r="246" spans="1:32" ht="46.8" hidden="1">
      <c r="A246" s="41">
        <f t="shared" si="27"/>
        <v>244</v>
      </c>
      <c r="B246" s="34" t="s">
        <v>951</v>
      </c>
      <c r="C246" s="34" t="s">
        <v>1002</v>
      </c>
      <c r="D246" s="34" t="s">
        <v>1017</v>
      </c>
      <c r="E246" s="41" t="s">
        <v>1293</v>
      </c>
      <c r="F246" s="43" t="s">
        <v>406</v>
      </c>
      <c r="G246" s="41" t="s">
        <v>28</v>
      </c>
      <c r="H246" s="41"/>
      <c r="I246" s="167" t="s">
        <v>349</v>
      </c>
      <c r="J246" s="167"/>
      <c r="K246" s="167"/>
      <c r="L246" s="174"/>
      <c r="M246" s="167"/>
      <c r="N246" s="41" t="s">
        <v>32</v>
      </c>
      <c r="O246" s="91">
        <v>0</v>
      </c>
      <c r="P246" s="66">
        <v>2.29</v>
      </c>
      <c r="Q246" s="3">
        <v>0</v>
      </c>
      <c r="R246" s="3"/>
      <c r="S246" s="3"/>
      <c r="T246" s="3"/>
      <c r="U246" s="67">
        <f t="shared" si="21"/>
        <v>2.29</v>
      </c>
      <c r="V246" s="67">
        <f t="shared" si="22"/>
        <v>0</v>
      </c>
      <c r="W246" s="91"/>
      <c r="X246" s="91"/>
      <c r="Y246" s="3"/>
      <c r="Z246" s="67">
        <f t="shared" si="23"/>
        <v>2.29</v>
      </c>
      <c r="AA246" s="67">
        <f t="shared" si="24"/>
        <v>0</v>
      </c>
      <c r="AB246" s="91"/>
      <c r="AC246" s="91"/>
      <c r="AD246" s="3"/>
      <c r="AE246" s="67">
        <f t="shared" si="25"/>
        <v>2.29</v>
      </c>
      <c r="AF246" s="67">
        <f t="shared" si="26"/>
        <v>0</v>
      </c>
    </row>
    <row r="247" spans="1:32" ht="46.8" hidden="1">
      <c r="A247" s="41">
        <f t="shared" si="27"/>
        <v>245</v>
      </c>
      <c r="B247" s="34" t="s">
        <v>952</v>
      </c>
      <c r="C247" s="34" t="s">
        <v>1002</v>
      </c>
      <c r="D247" s="34" t="s">
        <v>1017</v>
      </c>
      <c r="E247" s="41" t="s">
        <v>1294</v>
      </c>
      <c r="F247" s="43" t="s">
        <v>407</v>
      </c>
      <c r="G247" s="41" t="s">
        <v>28</v>
      </c>
      <c r="H247" s="41"/>
      <c r="I247" s="167" t="s">
        <v>349</v>
      </c>
      <c r="J247" s="167"/>
      <c r="K247" s="167"/>
      <c r="L247" s="174"/>
      <c r="M247" s="167"/>
      <c r="N247" s="41" t="s">
        <v>32</v>
      </c>
      <c r="O247" s="103">
        <v>0.98</v>
      </c>
      <c r="P247" s="66">
        <v>0.91</v>
      </c>
      <c r="Q247" s="3">
        <v>0</v>
      </c>
      <c r="R247" s="3"/>
      <c r="S247" s="3"/>
      <c r="T247" s="3"/>
      <c r="U247" s="67">
        <f t="shared" si="21"/>
        <v>0.91</v>
      </c>
      <c r="V247" s="67">
        <f t="shared" si="22"/>
        <v>0</v>
      </c>
      <c r="W247" s="91"/>
      <c r="X247" s="91"/>
      <c r="Y247" s="3"/>
      <c r="Z247" s="67">
        <f t="shared" si="23"/>
        <v>0.91</v>
      </c>
      <c r="AA247" s="67">
        <f t="shared" si="24"/>
        <v>0</v>
      </c>
      <c r="AB247" s="91"/>
      <c r="AC247" s="91"/>
      <c r="AD247" s="3"/>
      <c r="AE247" s="67">
        <f t="shared" si="25"/>
        <v>0.91</v>
      </c>
      <c r="AF247" s="67">
        <f t="shared" si="26"/>
        <v>0</v>
      </c>
    </row>
    <row r="248" spans="1:32" ht="46.8" hidden="1">
      <c r="A248" s="41">
        <f t="shared" si="27"/>
        <v>246</v>
      </c>
      <c r="B248" s="34" t="s">
        <v>953</v>
      </c>
      <c r="C248" s="34" t="s">
        <v>1002</v>
      </c>
      <c r="D248" s="34" t="s">
        <v>1017</v>
      </c>
      <c r="E248" s="41" t="s">
        <v>1295</v>
      </c>
      <c r="F248" s="43" t="s">
        <v>408</v>
      </c>
      <c r="G248" s="41" t="s">
        <v>28</v>
      </c>
      <c r="H248" s="41"/>
      <c r="I248" s="167" t="s">
        <v>349</v>
      </c>
      <c r="J248" s="167"/>
      <c r="K248" s="167"/>
      <c r="L248" s="174"/>
      <c r="M248" s="167"/>
      <c r="N248" s="41" t="s">
        <v>32</v>
      </c>
      <c r="O248" s="91">
        <v>0</v>
      </c>
      <c r="P248" s="66">
        <v>1.1299999999999999</v>
      </c>
      <c r="Q248" s="3">
        <v>0</v>
      </c>
      <c r="R248" s="3"/>
      <c r="S248" s="3"/>
      <c r="T248" s="3"/>
      <c r="U248" s="67">
        <f t="shared" si="21"/>
        <v>1.1299999999999999</v>
      </c>
      <c r="V248" s="67">
        <f t="shared" si="22"/>
        <v>0</v>
      </c>
      <c r="W248" s="91"/>
      <c r="X248" s="91"/>
      <c r="Y248" s="3"/>
      <c r="Z248" s="67">
        <f t="shared" si="23"/>
        <v>1.1299999999999999</v>
      </c>
      <c r="AA248" s="67">
        <f t="shared" si="24"/>
        <v>0</v>
      </c>
      <c r="AB248" s="91"/>
      <c r="AC248" s="91"/>
      <c r="AD248" s="3"/>
      <c r="AE248" s="67">
        <f t="shared" si="25"/>
        <v>1.1299999999999999</v>
      </c>
      <c r="AF248" s="67">
        <f t="shared" si="26"/>
        <v>0</v>
      </c>
    </row>
    <row r="249" spans="1:32" ht="46.8" hidden="1">
      <c r="A249" s="41">
        <f t="shared" si="27"/>
        <v>247</v>
      </c>
      <c r="B249" s="34" t="s">
        <v>954</v>
      </c>
      <c r="C249" s="34" t="s">
        <v>1002</v>
      </c>
      <c r="D249" s="34" t="s">
        <v>1017</v>
      </c>
      <c r="E249" s="41" t="s">
        <v>1296</v>
      </c>
      <c r="F249" s="43" t="s">
        <v>409</v>
      </c>
      <c r="G249" s="41"/>
      <c r="H249" s="41"/>
      <c r="I249" s="167" t="s">
        <v>349</v>
      </c>
      <c r="J249" s="167"/>
      <c r="K249" s="167"/>
      <c r="L249" s="174"/>
      <c r="M249" s="167"/>
      <c r="N249" s="41" t="s">
        <v>32</v>
      </c>
      <c r="O249" s="103">
        <v>0.57999999999999996</v>
      </c>
      <c r="P249" s="66">
        <v>0.47</v>
      </c>
      <c r="Q249" s="3">
        <v>0</v>
      </c>
      <c r="R249" s="3"/>
      <c r="S249" s="3"/>
      <c r="T249" s="3"/>
      <c r="U249" s="67">
        <f t="shared" si="21"/>
        <v>0.47</v>
      </c>
      <c r="V249" s="67">
        <f t="shared" si="22"/>
        <v>0</v>
      </c>
      <c r="W249" s="91"/>
      <c r="X249" s="91"/>
      <c r="Y249" s="3"/>
      <c r="Z249" s="67">
        <f t="shared" si="23"/>
        <v>0.47</v>
      </c>
      <c r="AA249" s="67">
        <f t="shared" si="24"/>
        <v>0</v>
      </c>
      <c r="AB249" s="91"/>
      <c r="AC249" s="91"/>
      <c r="AD249" s="3"/>
      <c r="AE249" s="67">
        <f t="shared" si="25"/>
        <v>0.47</v>
      </c>
      <c r="AF249" s="67">
        <f t="shared" si="26"/>
        <v>0</v>
      </c>
    </row>
    <row r="250" spans="1:32" ht="93.6" hidden="1">
      <c r="A250" s="41">
        <f t="shared" si="27"/>
        <v>248</v>
      </c>
      <c r="B250" s="34" t="s">
        <v>955</v>
      </c>
      <c r="C250" s="34" t="s">
        <v>1002</v>
      </c>
      <c r="D250" s="34" t="s">
        <v>1017</v>
      </c>
      <c r="E250" s="41" t="s">
        <v>1297</v>
      </c>
      <c r="F250" s="43" t="s">
        <v>410</v>
      </c>
      <c r="G250" s="41"/>
      <c r="H250" s="41"/>
      <c r="I250" s="167" t="s">
        <v>349</v>
      </c>
      <c r="J250" s="167"/>
      <c r="K250" s="167"/>
      <c r="L250" s="174"/>
      <c r="M250" s="167"/>
      <c r="N250" s="41" t="s">
        <v>32</v>
      </c>
      <c r="O250" s="91">
        <v>0</v>
      </c>
      <c r="P250" s="66">
        <v>0.28000000000000003</v>
      </c>
      <c r="Q250" s="3">
        <v>0</v>
      </c>
      <c r="R250" s="3"/>
      <c r="S250" s="3"/>
      <c r="T250" s="3"/>
      <c r="U250" s="67">
        <f t="shared" si="21"/>
        <v>0.28000000000000003</v>
      </c>
      <c r="V250" s="67">
        <f t="shared" si="22"/>
        <v>0</v>
      </c>
      <c r="W250" s="91"/>
      <c r="X250" s="91"/>
      <c r="Y250" s="3"/>
      <c r="Z250" s="67">
        <f t="shared" si="23"/>
        <v>0.28000000000000003</v>
      </c>
      <c r="AA250" s="67">
        <f t="shared" si="24"/>
        <v>0</v>
      </c>
      <c r="AB250" s="91"/>
      <c r="AC250" s="91"/>
      <c r="AD250" s="3"/>
      <c r="AE250" s="67">
        <f t="shared" si="25"/>
        <v>0.28000000000000003</v>
      </c>
      <c r="AF250" s="67">
        <f t="shared" si="26"/>
        <v>0</v>
      </c>
    </row>
    <row r="251" spans="1:32" ht="62.4" hidden="1">
      <c r="A251" s="41">
        <f t="shared" si="27"/>
        <v>249</v>
      </c>
      <c r="B251" s="34" t="s">
        <v>956</v>
      </c>
      <c r="C251" s="34" t="s">
        <v>1002</v>
      </c>
      <c r="D251" s="34" t="s">
        <v>1017</v>
      </c>
      <c r="E251" s="41" t="s">
        <v>1298</v>
      </c>
      <c r="F251" s="43" t="s">
        <v>411</v>
      </c>
      <c r="G251" s="41"/>
      <c r="H251" s="41"/>
      <c r="I251" s="167" t="s">
        <v>349</v>
      </c>
      <c r="J251" s="167"/>
      <c r="K251" s="167"/>
      <c r="L251" s="174"/>
      <c r="M251" s="167"/>
      <c r="N251" s="41" t="s">
        <v>32</v>
      </c>
      <c r="O251" s="91">
        <v>0</v>
      </c>
      <c r="P251" s="66">
        <v>0.65</v>
      </c>
      <c r="Q251" s="3">
        <v>0</v>
      </c>
      <c r="R251" s="3"/>
      <c r="S251" s="3"/>
      <c r="T251" s="3"/>
      <c r="U251" s="67">
        <f t="shared" si="21"/>
        <v>0.65</v>
      </c>
      <c r="V251" s="67">
        <f t="shared" si="22"/>
        <v>0</v>
      </c>
      <c r="W251" s="91"/>
      <c r="X251" s="91"/>
      <c r="Y251" s="3"/>
      <c r="Z251" s="67">
        <f t="shared" si="23"/>
        <v>0.65</v>
      </c>
      <c r="AA251" s="67">
        <f t="shared" si="24"/>
        <v>0</v>
      </c>
      <c r="AB251" s="91"/>
      <c r="AC251" s="91"/>
      <c r="AD251" s="3"/>
      <c r="AE251" s="67">
        <f t="shared" si="25"/>
        <v>0.65</v>
      </c>
      <c r="AF251" s="67">
        <f t="shared" si="26"/>
        <v>0</v>
      </c>
    </row>
    <row r="252" spans="1:32" ht="46.8" hidden="1">
      <c r="A252" s="41">
        <f t="shared" si="27"/>
        <v>250</v>
      </c>
      <c r="B252" s="34" t="s">
        <v>957</v>
      </c>
      <c r="C252" s="34" t="s">
        <v>1002</v>
      </c>
      <c r="D252" s="34" t="s">
        <v>1017</v>
      </c>
      <c r="E252" s="41" t="s">
        <v>1299</v>
      </c>
      <c r="F252" s="43" t="s">
        <v>412</v>
      </c>
      <c r="G252" s="41"/>
      <c r="H252" s="41"/>
      <c r="I252" s="167" t="s">
        <v>349</v>
      </c>
      <c r="J252" s="167"/>
      <c r="K252" s="167"/>
      <c r="L252" s="174"/>
      <c r="M252" s="167"/>
      <c r="N252" s="41" t="s">
        <v>32</v>
      </c>
      <c r="O252" s="91">
        <v>0</v>
      </c>
      <c r="P252" s="66">
        <v>1.6</v>
      </c>
      <c r="Q252" s="3">
        <v>0</v>
      </c>
      <c r="R252" s="3"/>
      <c r="S252" s="3"/>
      <c r="T252" s="3"/>
      <c r="U252" s="67">
        <f t="shared" si="21"/>
        <v>1.6</v>
      </c>
      <c r="V252" s="67">
        <f t="shared" si="22"/>
        <v>0</v>
      </c>
      <c r="W252" s="91"/>
      <c r="X252" s="91"/>
      <c r="Y252" s="3"/>
      <c r="Z252" s="67">
        <f t="shared" si="23"/>
        <v>1.6</v>
      </c>
      <c r="AA252" s="67">
        <f t="shared" si="24"/>
        <v>0</v>
      </c>
      <c r="AB252" s="91"/>
      <c r="AC252" s="91"/>
      <c r="AD252" s="3"/>
      <c r="AE252" s="67">
        <f t="shared" si="25"/>
        <v>1.6</v>
      </c>
      <c r="AF252" s="67">
        <f t="shared" si="26"/>
        <v>0</v>
      </c>
    </row>
    <row r="253" spans="1:32" ht="46.8" hidden="1">
      <c r="A253" s="41">
        <f t="shared" si="27"/>
        <v>251</v>
      </c>
      <c r="B253" s="34" t="s">
        <v>958</v>
      </c>
      <c r="C253" s="34" t="s">
        <v>1002</v>
      </c>
      <c r="D253" s="34" t="s">
        <v>1017</v>
      </c>
      <c r="E253" s="41" t="s">
        <v>1300</v>
      </c>
      <c r="F253" s="43" t="s">
        <v>413</v>
      </c>
      <c r="G253" s="41"/>
      <c r="H253" s="41"/>
      <c r="I253" s="167" t="s">
        <v>349</v>
      </c>
      <c r="J253" s="167"/>
      <c r="K253" s="167"/>
      <c r="L253" s="174"/>
      <c r="M253" s="167"/>
      <c r="N253" s="41" t="s">
        <v>32</v>
      </c>
      <c r="O253" s="91">
        <v>0</v>
      </c>
      <c r="P253" s="66">
        <v>1.89</v>
      </c>
      <c r="Q253" s="66">
        <v>0</v>
      </c>
      <c r="R253" s="3"/>
      <c r="S253" s="3"/>
      <c r="T253" s="3"/>
      <c r="U253" s="67">
        <f t="shared" si="21"/>
        <v>1.89</v>
      </c>
      <c r="V253" s="67">
        <f t="shared" si="22"/>
        <v>0</v>
      </c>
      <c r="W253" s="91"/>
      <c r="X253" s="91"/>
      <c r="Y253" s="3"/>
      <c r="Z253" s="67">
        <f t="shared" si="23"/>
        <v>1.89</v>
      </c>
      <c r="AA253" s="67">
        <f t="shared" si="24"/>
        <v>0</v>
      </c>
      <c r="AB253" s="91"/>
      <c r="AC253" s="91"/>
      <c r="AD253" s="3"/>
      <c r="AE253" s="67">
        <f t="shared" si="25"/>
        <v>1.89</v>
      </c>
      <c r="AF253" s="67">
        <f t="shared" si="26"/>
        <v>0</v>
      </c>
    </row>
    <row r="254" spans="1:32" ht="46.8" hidden="1">
      <c r="A254" s="41">
        <f t="shared" si="27"/>
        <v>252</v>
      </c>
      <c r="B254" s="34" t="s">
        <v>959</v>
      </c>
      <c r="C254" s="34" t="s">
        <v>1002</v>
      </c>
      <c r="D254" s="34" t="s">
        <v>1017</v>
      </c>
      <c r="E254" s="41" t="s">
        <v>1301</v>
      </c>
      <c r="F254" s="43" t="s">
        <v>414</v>
      </c>
      <c r="G254" s="41"/>
      <c r="H254" s="41"/>
      <c r="I254" s="167" t="s">
        <v>349</v>
      </c>
      <c r="J254" s="167"/>
      <c r="K254" s="167"/>
      <c r="L254" s="174"/>
      <c r="M254" s="167"/>
      <c r="N254" s="41" t="s">
        <v>32</v>
      </c>
      <c r="O254" s="104">
        <v>29.4</v>
      </c>
      <c r="P254" s="66">
        <v>31.67</v>
      </c>
      <c r="Q254" s="66">
        <v>0</v>
      </c>
      <c r="R254" s="3"/>
      <c r="S254" s="3"/>
      <c r="T254" s="3"/>
      <c r="U254" s="67">
        <f t="shared" si="21"/>
        <v>31.67</v>
      </c>
      <c r="V254" s="67">
        <f t="shared" si="22"/>
        <v>0</v>
      </c>
      <c r="W254" s="91"/>
      <c r="X254" s="91"/>
      <c r="Y254" s="3"/>
      <c r="Z254" s="67">
        <f t="shared" si="23"/>
        <v>31.67</v>
      </c>
      <c r="AA254" s="67">
        <f t="shared" si="24"/>
        <v>0</v>
      </c>
      <c r="AB254" s="91"/>
      <c r="AC254" s="91"/>
      <c r="AD254" s="3"/>
      <c r="AE254" s="67">
        <f t="shared" si="25"/>
        <v>31.67</v>
      </c>
      <c r="AF254" s="67">
        <f t="shared" si="26"/>
        <v>0</v>
      </c>
    </row>
    <row r="255" spans="1:32" ht="46.8" hidden="1">
      <c r="A255" s="41">
        <f t="shared" si="27"/>
        <v>253</v>
      </c>
      <c r="B255" s="34" t="s">
        <v>960</v>
      </c>
      <c r="C255" s="34" t="s">
        <v>1002</v>
      </c>
      <c r="D255" s="34" t="s">
        <v>1017</v>
      </c>
      <c r="E255" s="41" t="s">
        <v>1302</v>
      </c>
      <c r="F255" s="43" t="s">
        <v>415</v>
      </c>
      <c r="G255" s="41"/>
      <c r="H255" s="41"/>
      <c r="I255" s="167" t="s">
        <v>349</v>
      </c>
      <c r="J255" s="167"/>
      <c r="K255" s="167"/>
      <c r="L255" s="174"/>
      <c r="M255" s="167"/>
      <c r="N255" s="41" t="s">
        <v>32</v>
      </c>
      <c r="O255" s="103">
        <v>10.07</v>
      </c>
      <c r="P255" s="66">
        <v>10.7</v>
      </c>
      <c r="Q255" s="3">
        <v>0</v>
      </c>
      <c r="R255" s="3"/>
      <c r="S255" s="3"/>
      <c r="T255" s="3"/>
      <c r="U255" s="67">
        <f t="shared" si="21"/>
        <v>10.7</v>
      </c>
      <c r="V255" s="67">
        <f t="shared" si="22"/>
        <v>0</v>
      </c>
      <c r="W255" s="91"/>
      <c r="X255" s="91"/>
      <c r="Y255" s="3"/>
      <c r="Z255" s="67">
        <f t="shared" si="23"/>
        <v>10.7</v>
      </c>
      <c r="AA255" s="67">
        <f t="shared" si="24"/>
        <v>0</v>
      </c>
      <c r="AB255" s="91"/>
      <c r="AC255" s="91"/>
      <c r="AD255" s="3"/>
      <c r="AE255" s="67">
        <f t="shared" si="25"/>
        <v>10.7</v>
      </c>
      <c r="AF255" s="67">
        <f t="shared" si="26"/>
        <v>0</v>
      </c>
    </row>
    <row r="256" spans="1:32" ht="46.8" hidden="1">
      <c r="A256" s="41">
        <f t="shared" si="27"/>
        <v>254</v>
      </c>
      <c r="B256" s="34" t="s">
        <v>961</v>
      </c>
      <c r="C256" s="34" t="s">
        <v>1002</v>
      </c>
      <c r="D256" s="34" t="s">
        <v>1017</v>
      </c>
      <c r="E256" s="41" t="s">
        <v>1308</v>
      </c>
      <c r="F256" s="43" t="s">
        <v>416</v>
      </c>
      <c r="G256" s="41"/>
      <c r="H256" s="41"/>
      <c r="I256" s="167" t="s">
        <v>349</v>
      </c>
      <c r="J256" s="167"/>
      <c r="K256" s="167"/>
      <c r="L256" s="174"/>
      <c r="M256" s="167"/>
      <c r="N256" s="41" t="s">
        <v>32</v>
      </c>
      <c r="O256" s="91">
        <v>0</v>
      </c>
      <c r="P256" s="66">
        <v>0.32</v>
      </c>
      <c r="Q256" s="3">
        <v>0</v>
      </c>
      <c r="R256" s="3"/>
      <c r="S256" s="3"/>
      <c r="T256" s="3"/>
      <c r="U256" s="67">
        <f t="shared" si="21"/>
        <v>0.32</v>
      </c>
      <c r="V256" s="67">
        <f t="shared" si="22"/>
        <v>0</v>
      </c>
      <c r="W256" s="91"/>
      <c r="X256" s="91"/>
      <c r="Y256" s="3"/>
      <c r="Z256" s="67">
        <f t="shared" si="23"/>
        <v>0.32</v>
      </c>
      <c r="AA256" s="67">
        <f t="shared" si="24"/>
        <v>0</v>
      </c>
      <c r="AB256" s="91"/>
      <c r="AC256" s="91"/>
      <c r="AD256" s="3"/>
      <c r="AE256" s="67">
        <f t="shared" si="25"/>
        <v>0.32</v>
      </c>
      <c r="AF256" s="67">
        <f t="shared" si="26"/>
        <v>0</v>
      </c>
    </row>
    <row r="257" spans="1:32" ht="46.8" hidden="1">
      <c r="A257" s="41">
        <f t="shared" si="27"/>
        <v>255</v>
      </c>
      <c r="B257" s="34" t="s">
        <v>962</v>
      </c>
      <c r="C257" s="34" t="s">
        <v>1002</v>
      </c>
      <c r="D257" s="34" t="s">
        <v>1017</v>
      </c>
      <c r="E257" s="41" t="s">
        <v>1303</v>
      </c>
      <c r="F257" s="43" t="s">
        <v>963</v>
      </c>
      <c r="G257" s="41"/>
      <c r="H257" s="41"/>
      <c r="I257" s="167" t="s">
        <v>349</v>
      </c>
      <c r="J257" s="167"/>
      <c r="K257" s="167"/>
      <c r="L257" s="174"/>
      <c r="M257" s="167"/>
      <c r="N257" s="41" t="s">
        <v>32</v>
      </c>
      <c r="O257" s="91">
        <v>0</v>
      </c>
      <c r="P257" s="3">
        <v>0</v>
      </c>
      <c r="Q257" s="66">
        <v>0.12</v>
      </c>
      <c r="R257" s="3"/>
      <c r="S257" s="3"/>
      <c r="T257" s="3"/>
      <c r="U257" s="67">
        <f t="shared" si="21"/>
        <v>0</v>
      </c>
      <c r="V257" s="67">
        <f t="shared" si="22"/>
        <v>0.12</v>
      </c>
      <c r="W257" s="91"/>
      <c r="X257" s="91"/>
      <c r="Y257" s="3"/>
      <c r="Z257" s="67">
        <f t="shared" si="23"/>
        <v>0</v>
      </c>
      <c r="AA257" s="67">
        <f t="shared" si="24"/>
        <v>0.12</v>
      </c>
      <c r="AB257" s="91"/>
      <c r="AC257" s="91"/>
      <c r="AD257" s="3"/>
      <c r="AE257" s="67">
        <f t="shared" si="25"/>
        <v>0</v>
      </c>
      <c r="AF257" s="67">
        <f t="shared" si="26"/>
        <v>0.12</v>
      </c>
    </row>
    <row r="258" spans="1:32" ht="46.8" hidden="1">
      <c r="A258" s="41">
        <f t="shared" si="27"/>
        <v>256</v>
      </c>
      <c r="B258" s="34"/>
      <c r="C258" s="34" t="s">
        <v>1002</v>
      </c>
      <c r="D258" s="34" t="s">
        <v>1017</v>
      </c>
      <c r="E258" s="41" t="s">
        <v>1304</v>
      </c>
      <c r="F258" s="43" t="s">
        <v>417</v>
      </c>
      <c r="G258" s="41"/>
      <c r="H258" s="41"/>
      <c r="I258" s="167" t="s">
        <v>349</v>
      </c>
      <c r="J258" s="167"/>
      <c r="K258" s="167"/>
      <c r="L258" s="174"/>
      <c r="M258" s="167"/>
      <c r="N258" s="41" t="s">
        <v>32</v>
      </c>
      <c r="O258" s="91">
        <v>0</v>
      </c>
      <c r="P258" s="3">
        <v>0</v>
      </c>
      <c r="Q258" s="66">
        <v>1.97</v>
      </c>
      <c r="R258" s="3"/>
      <c r="S258" s="3"/>
      <c r="T258" s="3"/>
      <c r="U258" s="67">
        <f t="shared" si="21"/>
        <v>0</v>
      </c>
      <c r="V258" s="67">
        <f t="shared" si="22"/>
        <v>1.97</v>
      </c>
      <c r="W258" s="91"/>
      <c r="X258" s="91"/>
      <c r="Y258" s="3"/>
      <c r="Z258" s="67">
        <f t="shared" si="23"/>
        <v>0</v>
      </c>
      <c r="AA258" s="67">
        <f t="shared" si="24"/>
        <v>1.97</v>
      </c>
      <c r="AB258" s="91"/>
      <c r="AC258" s="91"/>
      <c r="AD258" s="3"/>
      <c r="AE258" s="67">
        <f t="shared" si="25"/>
        <v>0</v>
      </c>
      <c r="AF258" s="67">
        <f t="shared" si="26"/>
        <v>1.97</v>
      </c>
    </row>
    <row r="259" spans="1:32" ht="46.8" hidden="1">
      <c r="A259" s="41">
        <f t="shared" si="27"/>
        <v>257</v>
      </c>
      <c r="B259" s="34"/>
      <c r="C259" s="34" t="s">
        <v>1002</v>
      </c>
      <c r="D259" s="34" t="s">
        <v>1017</v>
      </c>
      <c r="E259" s="41" t="s">
        <v>1305</v>
      </c>
      <c r="F259" s="43" t="s">
        <v>418</v>
      </c>
      <c r="G259" s="41"/>
      <c r="H259" s="41"/>
      <c r="I259" s="167" t="s">
        <v>349</v>
      </c>
      <c r="J259" s="167"/>
      <c r="K259" s="167"/>
      <c r="L259" s="174"/>
      <c r="M259" s="167"/>
      <c r="N259" s="41" t="s">
        <v>32</v>
      </c>
      <c r="O259" s="91">
        <v>0</v>
      </c>
      <c r="P259" s="66">
        <v>1.1299999999999999</v>
      </c>
      <c r="Q259" s="3">
        <v>0</v>
      </c>
      <c r="R259" s="3"/>
      <c r="S259" s="3"/>
      <c r="T259" s="3"/>
      <c r="U259" s="67">
        <f t="shared" si="21"/>
        <v>1.1299999999999999</v>
      </c>
      <c r="V259" s="67">
        <f t="shared" si="22"/>
        <v>0</v>
      </c>
      <c r="W259" s="91"/>
      <c r="X259" s="91"/>
      <c r="Y259" s="3"/>
      <c r="Z259" s="67">
        <f t="shared" si="23"/>
        <v>1.1299999999999999</v>
      </c>
      <c r="AA259" s="67">
        <f t="shared" si="24"/>
        <v>0</v>
      </c>
      <c r="AB259" s="91"/>
      <c r="AC259" s="91"/>
      <c r="AD259" s="3"/>
      <c r="AE259" s="67">
        <f t="shared" si="25"/>
        <v>1.1299999999999999</v>
      </c>
      <c r="AF259" s="67">
        <f t="shared" si="26"/>
        <v>0</v>
      </c>
    </row>
    <row r="260" spans="1:32" ht="46.8" hidden="1">
      <c r="A260" s="41">
        <f t="shared" si="27"/>
        <v>258</v>
      </c>
      <c r="B260" s="34"/>
      <c r="C260" s="34" t="s">
        <v>1002</v>
      </c>
      <c r="D260" s="34" t="s">
        <v>1017</v>
      </c>
      <c r="E260" s="41" t="s">
        <v>1306</v>
      </c>
      <c r="F260" s="43" t="s">
        <v>419</v>
      </c>
      <c r="G260" s="41"/>
      <c r="H260" s="41"/>
      <c r="I260" s="167" t="s">
        <v>349</v>
      </c>
      <c r="J260" s="167"/>
      <c r="K260" s="167"/>
      <c r="L260" s="174"/>
      <c r="M260" s="167"/>
      <c r="N260" s="41" t="s">
        <v>32</v>
      </c>
      <c r="O260" s="91">
        <v>0</v>
      </c>
      <c r="P260" s="3">
        <v>0</v>
      </c>
      <c r="Q260" s="66">
        <v>0.2</v>
      </c>
      <c r="R260" s="3"/>
      <c r="S260" s="3"/>
      <c r="T260" s="3"/>
      <c r="U260" s="67">
        <f t="shared" ref="U260:U323" si="28">P260+S260+T260</f>
        <v>0</v>
      </c>
      <c r="V260" s="67">
        <f t="shared" ref="V260:V323" si="29">Q260+R260-S260-T260</f>
        <v>0.2</v>
      </c>
      <c r="W260" s="91"/>
      <c r="X260" s="91"/>
      <c r="Y260" s="3"/>
      <c r="Z260" s="67">
        <f t="shared" ref="Z260:Z323" si="30">U260+X260+Y260</f>
        <v>0</v>
      </c>
      <c r="AA260" s="67">
        <f t="shared" ref="AA260:AA323" si="31">V260+W260-X260-Y260</f>
        <v>0.2</v>
      </c>
      <c r="AB260" s="91"/>
      <c r="AC260" s="91"/>
      <c r="AD260" s="3"/>
      <c r="AE260" s="67">
        <f t="shared" ref="AE260:AE323" si="32">Z260+AC260+AD260</f>
        <v>0</v>
      </c>
      <c r="AF260" s="67">
        <f t="shared" ref="AF260:AF323" si="33">AA260+AB260-AC260-AD260</f>
        <v>0.2</v>
      </c>
    </row>
    <row r="261" spans="1:32" ht="46.8" hidden="1">
      <c r="A261" s="41">
        <f t="shared" ref="A261:A324" si="34">A260+1</f>
        <v>259</v>
      </c>
      <c r="B261" s="34"/>
      <c r="C261" s="34" t="s">
        <v>1002</v>
      </c>
      <c r="D261" s="34" t="s">
        <v>1017</v>
      </c>
      <c r="E261" s="41" t="s">
        <v>1307</v>
      </c>
      <c r="F261" s="43" t="s">
        <v>420</v>
      </c>
      <c r="G261" s="41"/>
      <c r="H261" s="41"/>
      <c r="I261" s="167" t="s">
        <v>349</v>
      </c>
      <c r="J261" s="167"/>
      <c r="K261" s="167"/>
      <c r="L261" s="174"/>
      <c r="M261" s="167"/>
      <c r="N261" s="41" t="s">
        <v>32</v>
      </c>
      <c r="O261" s="91">
        <v>0</v>
      </c>
      <c r="P261" s="3">
        <v>0</v>
      </c>
      <c r="Q261" s="66">
        <v>0.11</v>
      </c>
      <c r="R261" s="3"/>
      <c r="S261" s="3"/>
      <c r="T261" s="3"/>
      <c r="U261" s="67">
        <f t="shared" si="28"/>
        <v>0</v>
      </c>
      <c r="V261" s="67">
        <f t="shared" si="29"/>
        <v>0.11</v>
      </c>
      <c r="W261" s="91"/>
      <c r="X261" s="91"/>
      <c r="Y261" s="3"/>
      <c r="Z261" s="67">
        <f t="shared" si="30"/>
        <v>0</v>
      </c>
      <c r="AA261" s="67">
        <f t="shared" si="31"/>
        <v>0.11</v>
      </c>
      <c r="AB261" s="91"/>
      <c r="AC261" s="91"/>
      <c r="AD261" s="3"/>
      <c r="AE261" s="67">
        <f t="shared" si="32"/>
        <v>0</v>
      </c>
      <c r="AF261" s="67">
        <f t="shared" si="33"/>
        <v>0.11</v>
      </c>
    </row>
    <row r="262" spans="1:32" ht="46.8" hidden="1">
      <c r="A262" s="41">
        <f t="shared" si="34"/>
        <v>260</v>
      </c>
      <c r="B262" s="34"/>
      <c r="C262" s="34" t="s">
        <v>1002</v>
      </c>
      <c r="D262" s="34" t="s">
        <v>1017</v>
      </c>
      <c r="E262" s="41" t="s">
        <v>1309</v>
      </c>
      <c r="F262" s="43" t="s">
        <v>421</v>
      </c>
      <c r="G262" s="41"/>
      <c r="H262" s="41"/>
      <c r="I262" s="167" t="s">
        <v>349</v>
      </c>
      <c r="J262" s="167"/>
      <c r="K262" s="167"/>
      <c r="L262" s="174"/>
      <c r="M262" s="167"/>
      <c r="N262" s="41" t="s">
        <v>32</v>
      </c>
      <c r="O262" s="91">
        <v>0</v>
      </c>
      <c r="P262" s="3">
        <v>0</v>
      </c>
      <c r="Q262" s="66">
        <v>5</v>
      </c>
      <c r="R262" s="3"/>
      <c r="S262" s="3"/>
      <c r="T262" s="3"/>
      <c r="U262" s="67">
        <f t="shared" si="28"/>
        <v>0</v>
      </c>
      <c r="V262" s="67">
        <f t="shared" si="29"/>
        <v>5</v>
      </c>
      <c r="W262" s="91"/>
      <c r="X262" s="91"/>
      <c r="Y262" s="3"/>
      <c r="Z262" s="67">
        <f t="shared" si="30"/>
        <v>0</v>
      </c>
      <c r="AA262" s="67">
        <f t="shared" si="31"/>
        <v>5</v>
      </c>
      <c r="AB262" s="91"/>
      <c r="AC262" s="91"/>
      <c r="AD262" s="3"/>
      <c r="AE262" s="67">
        <f t="shared" si="32"/>
        <v>0</v>
      </c>
      <c r="AF262" s="67">
        <f t="shared" si="33"/>
        <v>5</v>
      </c>
    </row>
    <row r="263" spans="1:32" ht="46.8" hidden="1">
      <c r="A263" s="41">
        <f t="shared" si="34"/>
        <v>261</v>
      </c>
      <c r="B263" s="34" t="s">
        <v>964</v>
      </c>
      <c r="C263" s="34" t="s">
        <v>1002</v>
      </c>
      <c r="D263" s="34" t="s">
        <v>1017</v>
      </c>
      <c r="E263" s="41" t="s">
        <v>1310</v>
      </c>
      <c r="F263" s="43" t="s">
        <v>422</v>
      </c>
      <c r="G263" s="41"/>
      <c r="H263" s="41"/>
      <c r="I263" s="167" t="s">
        <v>349</v>
      </c>
      <c r="J263" s="167"/>
      <c r="K263" s="167"/>
      <c r="L263" s="174"/>
      <c r="M263" s="167"/>
      <c r="N263" s="41" t="s">
        <v>32</v>
      </c>
      <c r="O263" s="91">
        <v>0</v>
      </c>
      <c r="P263" s="66">
        <v>0.5</v>
      </c>
      <c r="Q263" s="3">
        <v>0</v>
      </c>
      <c r="R263" s="3"/>
      <c r="S263" s="3"/>
      <c r="T263" s="3"/>
      <c r="U263" s="67">
        <f t="shared" si="28"/>
        <v>0.5</v>
      </c>
      <c r="V263" s="67">
        <f t="shared" si="29"/>
        <v>0</v>
      </c>
      <c r="W263" s="91"/>
      <c r="X263" s="91"/>
      <c r="Y263" s="3"/>
      <c r="Z263" s="67">
        <f t="shared" si="30"/>
        <v>0.5</v>
      </c>
      <c r="AA263" s="67">
        <f t="shared" si="31"/>
        <v>0</v>
      </c>
      <c r="AB263" s="91"/>
      <c r="AC263" s="91"/>
      <c r="AD263" s="3"/>
      <c r="AE263" s="67">
        <f t="shared" si="32"/>
        <v>0.5</v>
      </c>
      <c r="AF263" s="67">
        <f t="shared" si="33"/>
        <v>0</v>
      </c>
    </row>
    <row r="264" spans="1:32" ht="46.8" hidden="1">
      <c r="A264" s="41">
        <f t="shared" si="34"/>
        <v>262</v>
      </c>
      <c r="B264" s="34"/>
      <c r="C264" s="34" t="s">
        <v>1002</v>
      </c>
      <c r="D264" s="34" t="s">
        <v>1017</v>
      </c>
      <c r="E264" s="41" t="s">
        <v>1311</v>
      </c>
      <c r="F264" s="43" t="s">
        <v>423</v>
      </c>
      <c r="G264" s="41"/>
      <c r="H264" s="41"/>
      <c r="I264" s="167" t="s">
        <v>349</v>
      </c>
      <c r="J264" s="167"/>
      <c r="K264" s="167"/>
      <c r="L264" s="174"/>
      <c r="M264" s="167"/>
      <c r="N264" s="41" t="s">
        <v>32</v>
      </c>
      <c r="O264" s="91">
        <v>0</v>
      </c>
      <c r="P264" s="66">
        <v>24.41</v>
      </c>
      <c r="Q264" s="66">
        <v>0</v>
      </c>
      <c r="R264" s="3"/>
      <c r="S264" s="3"/>
      <c r="T264" s="3"/>
      <c r="U264" s="67">
        <f t="shared" si="28"/>
        <v>24.41</v>
      </c>
      <c r="V264" s="67">
        <f t="shared" si="29"/>
        <v>0</v>
      </c>
      <c r="W264" s="91"/>
      <c r="X264" s="91"/>
      <c r="Y264" s="3"/>
      <c r="Z264" s="67">
        <f t="shared" si="30"/>
        <v>24.41</v>
      </c>
      <c r="AA264" s="67">
        <f t="shared" si="31"/>
        <v>0</v>
      </c>
      <c r="AB264" s="91"/>
      <c r="AC264" s="91"/>
      <c r="AD264" s="3"/>
      <c r="AE264" s="67">
        <f t="shared" si="32"/>
        <v>24.41</v>
      </c>
      <c r="AF264" s="67">
        <f t="shared" si="33"/>
        <v>0</v>
      </c>
    </row>
    <row r="265" spans="1:32" ht="46.8" hidden="1">
      <c r="A265" s="41">
        <f t="shared" si="34"/>
        <v>263</v>
      </c>
      <c r="B265" s="34" t="s">
        <v>965</v>
      </c>
      <c r="C265" s="34" t="s">
        <v>1002</v>
      </c>
      <c r="D265" s="34" t="s">
        <v>1017</v>
      </c>
      <c r="E265" s="41" t="s">
        <v>1312</v>
      </c>
      <c r="F265" s="43" t="s">
        <v>424</v>
      </c>
      <c r="G265" s="41"/>
      <c r="H265" s="41"/>
      <c r="I265" s="167" t="s">
        <v>349</v>
      </c>
      <c r="J265" s="167"/>
      <c r="K265" s="167"/>
      <c r="L265" s="174"/>
      <c r="M265" s="167"/>
      <c r="N265" s="41" t="s">
        <v>32</v>
      </c>
      <c r="O265" s="91">
        <v>0</v>
      </c>
      <c r="P265" s="66">
        <v>42.27</v>
      </c>
      <c r="Q265" s="66">
        <v>0</v>
      </c>
      <c r="R265" s="3"/>
      <c r="S265" s="3"/>
      <c r="T265" s="3"/>
      <c r="U265" s="67">
        <f t="shared" si="28"/>
        <v>42.27</v>
      </c>
      <c r="V265" s="67">
        <f t="shared" si="29"/>
        <v>0</v>
      </c>
      <c r="W265" s="91"/>
      <c r="X265" s="91"/>
      <c r="Y265" s="3"/>
      <c r="Z265" s="67">
        <f t="shared" si="30"/>
        <v>42.27</v>
      </c>
      <c r="AA265" s="67">
        <f t="shared" si="31"/>
        <v>0</v>
      </c>
      <c r="AB265" s="91"/>
      <c r="AC265" s="91"/>
      <c r="AD265" s="3"/>
      <c r="AE265" s="67">
        <f t="shared" si="32"/>
        <v>42.27</v>
      </c>
      <c r="AF265" s="67">
        <f t="shared" si="33"/>
        <v>0</v>
      </c>
    </row>
    <row r="266" spans="1:32" ht="46.8" hidden="1">
      <c r="A266" s="41">
        <f t="shared" si="34"/>
        <v>264</v>
      </c>
      <c r="B266" s="34" t="s">
        <v>966</v>
      </c>
      <c r="C266" s="34" t="s">
        <v>1002</v>
      </c>
      <c r="D266" s="34" t="s">
        <v>1017</v>
      </c>
      <c r="E266" s="41" t="s">
        <v>1313</v>
      </c>
      <c r="F266" s="43" t="s">
        <v>425</v>
      </c>
      <c r="G266" s="41"/>
      <c r="H266" s="41"/>
      <c r="I266" s="167" t="s">
        <v>349</v>
      </c>
      <c r="J266" s="167"/>
      <c r="K266" s="167"/>
      <c r="L266" s="174"/>
      <c r="M266" s="167"/>
      <c r="N266" s="41" t="s">
        <v>32</v>
      </c>
      <c r="O266" s="91">
        <v>0</v>
      </c>
      <c r="P266" s="66">
        <v>27.65</v>
      </c>
      <c r="Q266" s="3">
        <v>0</v>
      </c>
      <c r="R266" s="3"/>
      <c r="S266" s="3"/>
      <c r="T266" s="3"/>
      <c r="U266" s="67">
        <f t="shared" si="28"/>
        <v>27.65</v>
      </c>
      <c r="V266" s="67">
        <f t="shared" si="29"/>
        <v>0</v>
      </c>
      <c r="W266" s="91"/>
      <c r="X266" s="91"/>
      <c r="Y266" s="3"/>
      <c r="Z266" s="67">
        <f t="shared" si="30"/>
        <v>27.65</v>
      </c>
      <c r="AA266" s="67">
        <f t="shared" si="31"/>
        <v>0</v>
      </c>
      <c r="AB266" s="91"/>
      <c r="AC266" s="91"/>
      <c r="AD266" s="3"/>
      <c r="AE266" s="67">
        <f t="shared" si="32"/>
        <v>27.65</v>
      </c>
      <c r="AF266" s="67">
        <f t="shared" si="33"/>
        <v>0</v>
      </c>
    </row>
    <row r="267" spans="1:32" ht="46.8" hidden="1">
      <c r="A267" s="41">
        <f t="shared" si="34"/>
        <v>265</v>
      </c>
      <c r="B267" s="34" t="s">
        <v>967</v>
      </c>
      <c r="C267" s="34" t="s">
        <v>1002</v>
      </c>
      <c r="D267" s="34" t="s">
        <v>1017</v>
      </c>
      <c r="E267" s="41" t="s">
        <v>1314</v>
      </c>
      <c r="F267" s="43" t="s">
        <v>426</v>
      </c>
      <c r="G267" s="41"/>
      <c r="H267" s="41"/>
      <c r="I267" s="167" t="s">
        <v>349</v>
      </c>
      <c r="J267" s="167"/>
      <c r="K267" s="167"/>
      <c r="L267" s="174"/>
      <c r="M267" s="167"/>
      <c r="N267" s="41" t="s">
        <v>32</v>
      </c>
      <c r="O267" s="91">
        <v>0</v>
      </c>
      <c r="P267" s="66">
        <v>61.16</v>
      </c>
      <c r="Q267" s="3">
        <v>0</v>
      </c>
      <c r="R267" s="3"/>
      <c r="S267" s="3"/>
      <c r="T267" s="3"/>
      <c r="U267" s="67">
        <f t="shared" si="28"/>
        <v>61.16</v>
      </c>
      <c r="V267" s="67">
        <f t="shared" si="29"/>
        <v>0</v>
      </c>
      <c r="W267" s="91"/>
      <c r="X267" s="91"/>
      <c r="Y267" s="3"/>
      <c r="Z267" s="67">
        <f t="shared" si="30"/>
        <v>61.16</v>
      </c>
      <c r="AA267" s="67">
        <f t="shared" si="31"/>
        <v>0</v>
      </c>
      <c r="AB267" s="91"/>
      <c r="AC267" s="91"/>
      <c r="AD267" s="3"/>
      <c r="AE267" s="67">
        <f t="shared" si="32"/>
        <v>61.16</v>
      </c>
      <c r="AF267" s="67">
        <f t="shared" si="33"/>
        <v>0</v>
      </c>
    </row>
    <row r="268" spans="1:32" ht="46.8" hidden="1">
      <c r="A268" s="41">
        <f t="shared" si="34"/>
        <v>266</v>
      </c>
      <c r="B268" s="34" t="s">
        <v>968</v>
      </c>
      <c r="C268" s="34" t="s">
        <v>1002</v>
      </c>
      <c r="D268" s="34" t="s">
        <v>1017</v>
      </c>
      <c r="E268" s="41" t="s">
        <v>1315</v>
      </c>
      <c r="F268" s="43" t="s">
        <v>427</v>
      </c>
      <c r="G268" s="41"/>
      <c r="H268" s="41"/>
      <c r="I268" s="167" t="s">
        <v>349</v>
      </c>
      <c r="J268" s="167"/>
      <c r="K268" s="167"/>
      <c r="L268" s="174"/>
      <c r="M268" s="167"/>
      <c r="N268" s="41" t="s">
        <v>32</v>
      </c>
      <c r="O268" s="91">
        <v>0</v>
      </c>
      <c r="P268" s="66">
        <v>2.08</v>
      </c>
      <c r="Q268" s="3">
        <v>0</v>
      </c>
      <c r="R268" s="3"/>
      <c r="S268" s="3"/>
      <c r="T268" s="3"/>
      <c r="U268" s="67">
        <f t="shared" si="28"/>
        <v>2.08</v>
      </c>
      <c r="V268" s="67">
        <f t="shared" si="29"/>
        <v>0</v>
      </c>
      <c r="W268" s="91"/>
      <c r="X268" s="91"/>
      <c r="Y268" s="3"/>
      <c r="Z268" s="67">
        <f t="shared" si="30"/>
        <v>2.08</v>
      </c>
      <c r="AA268" s="67">
        <f t="shared" si="31"/>
        <v>0</v>
      </c>
      <c r="AB268" s="91"/>
      <c r="AC268" s="91"/>
      <c r="AD268" s="3"/>
      <c r="AE268" s="67">
        <f t="shared" si="32"/>
        <v>2.08</v>
      </c>
      <c r="AF268" s="67">
        <f t="shared" si="33"/>
        <v>0</v>
      </c>
    </row>
    <row r="269" spans="1:32" ht="46.8" hidden="1">
      <c r="A269" s="41">
        <f t="shared" si="34"/>
        <v>267</v>
      </c>
      <c r="B269" s="34"/>
      <c r="C269" s="34" t="s">
        <v>1002</v>
      </c>
      <c r="D269" s="34" t="s">
        <v>1017</v>
      </c>
      <c r="E269" s="41" t="s">
        <v>1316</v>
      </c>
      <c r="F269" s="43" t="s">
        <v>428</v>
      </c>
      <c r="G269" s="41"/>
      <c r="H269" s="41"/>
      <c r="I269" s="167" t="s">
        <v>349</v>
      </c>
      <c r="J269" s="167"/>
      <c r="K269" s="167"/>
      <c r="L269" s="174"/>
      <c r="M269" s="167"/>
      <c r="N269" s="41" t="s">
        <v>32</v>
      </c>
      <c r="O269" s="91">
        <v>0</v>
      </c>
      <c r="P269" s="66">
        <v>6.53</v>
      </c>
      <c r="Q269" s="3">
        <v>0</v>
      </c>
      <c r="R269" s="3"/>
      <c r="S269" s="3"/>
      <c r="T269" s="3"/>
      <c r="U269" s="67">
        <f t="shared" si="28"/>
        <v>6.53</v>
      </c>
      <c r="V269" s="67">
        <f t="shared" si="29"/>
        <v>0</v>
      </c>
      <c r="W269" s="91"/>
      <c r="X269" s="91"/>
      <c r="Y269" s="3"/>
      <c r="Z269" s="67">
        <f t="shared" si="30"/>
        <v>6.53</v>
      </c>
      <c r="AA269" s="67">
        <f t="shared" si="31"/>
        <v>0</v>
      </c>
      <c r="AB269" s="91"/>
      <c r="AC269" s="91"/>
      <c r="AD269" s="3"/>
      <c r="AE269" s="67">
        <f t="shared" si="32"/>
        <v>6.53</v>
      </c>
      <c r="AF269" s="67">
        <f t="shared" si="33"/>
        <v>0</v>
      </c>
    </row>
    <row r="270" spans="1:32" ht="46.8" hidden="1">
      <c r="A270" s="41">
        <f t="shared" si="34"/>
        <v>268</v>
      </c>
      <c r="B270" s="34" t="s">
        <v>969</v>
      </c>
      <c r="C270" s="34" t="s">
        <v>1002</v>
      </c>
      <c r="D270" s="34" t="s">
        <v>1017</v>
      </c>
      <c r="E270" s="41" t="s">
        <v>1317</v>
      </c>
      <c r="F270" s="43" t="s">
        <v>429</v>
      </c>
      <c r="G270" s="41"/>
      <c r="H270" s="41"/>
      <c r="I270" s="167" t="s">
        <v>349</v>
      </c>
      <c r="J270" s="167"/>
      <c r="K270" s="167"/>
      <c r="L270" s="174"/>
      <c r="M270" s="167"/>
      <c r="N270" s="41" t="s">
        <v>32</v>
      </c>
      <c r="O270" s="91">
        <v>0</v>
      </c>
      <c r="P270" s="66">
        <v>1.89</v>
      </c>
      <c r="Q270" s="3">
        <v>0</v>
      </c>
      <c r="R270" s="3"/>
      <c r="S270" s="3"/>
      <c r="T270" s="3"/>
      <c r="U270" s="67">
        <f t="shared" si="28"/>
        <v>1.89</v>
      </c>
      <c r="V270" s="67">
        <f t="shared" si="29"/>
        <v>0</v>
      </c>
      <c r="W270" s="91"/>
      <c r="X270" s="91"/>
      <c r="Y270" s="3"/>
      <c r="Z270" s="67">
        <f t="shared" si="30"/>
        <v>1.89</v>
      </c>
      <c r="AA270" s="67">
        <f t="shared" si="31"/>
        <v>0</v>
      </c>
      <c r="AB270" s="91"/>
      <c r="AC270" s="91"/>
      <c r="AD270" s="3"/>
      <c r="AE270" s="67">
        <f t="shared" si="32"/>
        <v>1.89</v>
      </c>
      <c r="AF270" s="67">
        <f t="shared" si="33"/>
        <v>0</v>
      </c>
    </row>
    <row r="271" spans="1:32" ht="62.4" hidden="1">
      <c r="A271" s="41">
        <f t="shared" si="34"/>
        <v>269</v>
      </c>
      <c r="B271" s="34" t="s">
        <v>970</v>
      </c>
      <c r="C271" s="34" t="s">
        <v>1002</v>
      </c>
      <c r="D271" s="34" t="s">
        <v>1017</v>
      </c>
      <c r="E271" s="41" t="s">
        <v>1318</v>
      </c>
      <c r="F271" s="43" t="s">
        <v>430</v>
      </c>
      <c r="G271" s="41"/>
      <c r="H271" s="41"/>
      <c r="I271" s="167" t="s">
        <v>349</v>
      </c>
      <c r="J271" s="167"/>
      <c r="K271" s="167"/>
      <c r="L271" s="174"/>
      <c r="M271" s="167"/>
      <c r="N271" s="41" t="s">
        <v>32</v>
      </c>
      <c r="O271" s="91">
        <v>0</v>
      </c>
      <c r="P271" s="66">
        <v>7.97</v>
      </c>
      <c r="Q271" s="3">
        <v>0</v>
      </c>
      <c r="R271" s="3"/>
      <c r="S271" s="3"/>
      <c r="T271" s="3"/>
      <c r="U271" s="67">
        <f t="shared" si="28"/>
        <v>7.97</v>
      </c>
      <c r="V271" s="67">
        <f t="shared" si="29"/>
        <v>0</v>
      </c>
      <c r="W271" s="91"/>
      <c r="X271" s="91"/>
      <c r="Y271" s="3"/>
      <c r="Z271" s="67">
        <f t="shared" si="30"/>
        <v>7.97</v>
      </c>
      <c r="AA271" s="67">
        <f t="shared" si="31"/>
        <v>0</v>
      </c>
      <c r="AB271" s="91"/>
      <c r="AC271" s="91"/>
      <c r="AD271" s="3"/>
      <c r="AE271" s="67">
        <f t="shared" si="32"/>
        <v>7.97</v>
      </c>
      <c r="AF271" s="67">
        <f t="shared" si="33"/>
        <v>0</v>
      </c>
    </row>
    <row r="272" spans="1:32" ht="46.8" hidden="1">
      <c r="A272" s="41">
        <f t="shared" si="34"/>
        <v>270</v>
      </c>
      <c r="B272" s="34" t="s">
        <v>971</v>
      </c>
      <c r="C272" s="34" t="s">
        <v>1002</v>
      </c>
      <c r="D272" s="34" t="s">
        <v>1017</v>
      </c>
      <c r="E272" s="41" t="s">
        <v>1319</v>
      </c>
      <c r="F272" s="43" t="s">
        <v>431</v>
      </c>
      <c r="G272" s="41"/>
      <c r="H272" s="41"/>
      <c r="I272" s="167" t="s">
        <v>349</v>
      </c>
      <c r="J272" s="167"/>
      <c r="K272" s="167"/>
      <c r="L272" s="174"/>
      <c r="M272" s="167"/>
      <c r="N272" s="41" t="s">
        <v>32</v>
      </c>
      <c r="O272" s="91">
        <v>0</v>
      </c>
      <c r="P272" s="66">
        <v>1</v>
      </c>
      <c r="Q272" s="3">
        <v>0</v>
      </c>
      <c r="R272" s="3"/>
      <c r="S272" s="3"/>
      <c r="T272" s="3"/>
      <c r="U272" s="67">
        <f t="shared" si="28"/>
        <v>1</v>
      </c>
      <c r="V272" s="67">
        <f t="shared" si="29"/>
        <v>0</v>
      </c>
      <c r="W272" s="91"/>
      <c r="X272" s="91"/>
      <c r="Y272" s="3"/>
      <c r="Z272" s="67">
        <f t="shared" si="30"/>
        <v>1</v>
      </c>
      <c r="AA272" s="67">
        <f t="shared" si="31"/>
        <v>0</v>
      </c>
      <c r="AB272" s="91"/>
      <c r="AC272" s="91"/>
      <c r="AD272" s="3"/>
      <c r="AE272" s="67">
        <f t="shared" si="32"/>
        <v>1</v>
      </c>
      <c r="AF272" s="67">
        <f t="shared" si="33"/>
        <v>0</v>
      </c>
    </row>
    <row r="273" spans="1:32" ht="46.8" hidden="1">
      <c r="A273" s="41">
        <f t="shared" si="34"/>
        <v>271</v>
      </c>
      <c r="B273" s="34" t="s">
        <v>972</v>
      </c>
      <c r="C273" s="34" t="s">
        <v>1002</v>
      </c>
      <c r="D273" s="34" t="s">
        <v>1017</v>
      </c>
      <c r="E273" s="41" t="s">
        <v>1320</v>
      </c>
      <c r="F273" s="43" t="s">
        <v>432</v>
      </c>
      <c r="G273" s="41"/>
      <c r="H273" s="41"/>
      <c r="I273" s="167" t="s">
        <v>349</v>
      </c>
      <c r="J273" s="167"/>
      <c r="K273" s="167"/>
      <c r="L273" s="174"/>
      <c r="M273" s="167"/>
      <c r="N273" s="41" t="s">
        <v>32</v>
      </c>
      <c r="O273" s="91">
        <v>0</v>
      </c>
      <c r="P273" s="66">
        <v>0.83</v>
      </c>
      <c r="Q273" s="3">
        <v>0</v>
      </c>
      <c r="R273" s="3"/>
      <c r="S273" s="3"/>
      <c r="T273" s="3"/>
      <c r="U273" s="67">
        <f t="shared" si="28"/>
        <v>0.83</v>
      </c>
      <c r="V273" s="67">
        <f t="shared" si="29"/>
        <v>0</v>
      </c>
      <c r="W273" s="91"/>
      <c r="X273" s="91"/>
      <c r="Y273" s="3"/>
      <c r="Z273" s="67">
        <f t="shared" si="30"/>
        <v>0.83</v>
      </c>
      <c r="AA273" s="67">
        <f t="shared" si="31"/>
        <v>0</v>
      </c>
      <c r="AB273" s="91"/>
      <c r="AC273" s="91"/>
      <c r="AD273" s="3"/>
      <c r="AE273" s="67">
        <f t="shared" si="32"/>
        <v>0.83</v>
      </c>
      <c r="AF273" s="67">
        <f t="shared" si="33"/>
        <v>0</v>
      </c>
    </row>
    <row r="274" spans="1:32" ht="46.8" hidden="1">
      <c r="A274" s="41">
        <f t="shared" si="34"/>
        <v>272</v>
      </c>
      <c r="B274" s="34" t="s">
        <v>973</v>
      </c>
      <c r="C274" s="34" t="s">
        <v>1002</v>
      </c>
      <c r="D274" s="34" t="s">
        <v>1017</v>
      </c>
      <c r="E274" s="41" t="s">
        <v>1321</v>
      </c>
      <c r="F274" s="43" t="s">
        <v>433</v>
      </c>
      <c r="G274" s="41"/>
      <c r="H274" s="41"/>
      <c r="I274" s="167" t="s">
        <v>349</v>
      </c>
      <c r="J274" s="167"/>
      <c r="K274" s="167"/>
      <c r="L274" s="174"/>
      <c r="M274" s="167"/>
      <c r="N274" s="41" t="s">
        <v>32</v>
      </c>
      <c r="O274" s="91">
        <v>0</v>
      </c>
      <c r="P274" s="66">
        <v>0.54</v>
      </c>
      <c r="Q274" s="3">
        <v>0</v>
      </c>
      <c r="R274" s="3"/>
      <c r="S274" s="3"/>
      <c r="T274" s="3"/>
      <c r="U274" s="67">
        <f t="shared" si="28"/>
        <v>0.54</v>
      </c>
      <c r="V274" s="67">
        <f t="shared" si="29"/>
        <v>0</v>
      </c>
      <c r="W274" s="91"/>
      <c r="X274" s="91"/>
      <c r="Y274" s="3"/>
      <c r="Z274" s="67">
        <f t="shared" si="30"/>
        <v>0.54</v>
      </c>
      <c r="AA274" s="67">
        <f t="shared" si="31"/>
        <v>0</v>
      </c>
      <c r="AB274" s="91"/>
      <c r="AC274" s="91"/>
      <c r="AD274" s="3"/>
      <c r="AE274" s="67">
        <f t="shared" si="32"/>
        <v>0.54</v>
      </c>
      <c r="AF274" s="67">
        <f t="shared" si="33"/>
        <v>0</v>
      </c>
    </row>
    <row r="275" spans="1:32" ht="46.8" hidden="1">
      <c r="A275" s="41">
        <f t="shared" si="34"/>
        <v>273</v>
      </c>
      <c r="B275" s="34" t="s">
        <v>974</v>
      </c>
      <c r="C275" s="34" t="s">
        <v>1002</v>
      </c>
      <c r="D275" s="34" t="s">
        <v>1017</v>
      </c>
      <c r="E275" s="41" t="s">
        <v>1322</v>
      </c>
      <c r="F275" s="43" t="s">
        <v>434</v>
      </c>
      <c r="G275" s="41"/>
      <c r="H275" s="41"/>
      <c r="I275" s="167" t="s">
        <v>349</v>
      </c>
      <c r="J275" s="167"/>
      <c r="K275" s="167"/>
      <c r="L275" s="174"/>
      <c r="M275" s="167"/>
      <c r="N275" s="41" t="s">
        <v>32</v>
      </c>
      <c r="O275" s="103">
        <v>0.57999999999999996</v>
      </c>
      <c r="P275" s="66">
        <v>0.56999999999999995</v>
      </c>
      <c r="Q275" s="3">
        <v>0</v>
      </c>
      <c r="R275" s="3"/>
      <c r="S275" s="3"/>
      <c r="T275" s="3"/>
      <c r="U275" s="67">
        <f t="shared" si="28"/>
        <v>0.56999999999999995</v>
      </c>
      <c r="V275" s="67">
        <f t="shared" si="29"/>
        <v>0</v>
      </c>
      <c r="W275" s="91"/>
      <c r="X275" s="91"/>
      <c r="Y275" s="3"/>
      <c r="Z275" s="67">
        <f t="shared" si="30"/>
        <v>0.56999999999999995</v>
      </c>
      <c r="AA275" s="67">
        <f t="shared" si="31"/>
        <v>0</v>
      </c>
      <c r="AB275" s="91"/>
      <c r="AC275" s="91"/>
      <c r="AD275" s="3"/>
      <c r="AE275" s="67">
        <f t="shared" si="32"/>
        <v>0.56999999999999995</v>
      </c>
      <c r="AF275" s="67">
        <f t="shared" si="33"/>
        <v>0</v>
      </c>
    </row>
    <row r="276" spans="1:32" ht="62.4" hidden="1">
      <c r="A276" s="41">
        <f t="shared" si="34"/>
        <v>274</v>
      </c>
      <c r="B276" s="34"/>
      <c r="C276" s="34" t="s">
        <v>1002</v>
      </c>
      <c r="D276" s="34" t="s">
        <v>1017</v>
      </c>
      <c r="E276" s="41" t="s">
        <v>1323</v>
      </c>
      <c r="F276" s="43" t="s">
        <v>435</v>
      </c>
      <c r="G276" s="41"/>
      <c r="H276" s="41"/>
      <c r="I276" s="167" t="s">
        <v>349</v>
      </c>
      <c r="J276" s="167"/>
      <c r="K276" s="167"/>
      <c r="L276" s="174"/>
      <c r="M276" s="167"/>
      <c r="N276" s="41" t="s">
        <v>32</v>
      </c>
      <c r="O276" s="91">
        <v>0</v>
      </c>
      <c r="P276" s="66">
        <v>0.25</v>
      </c>
      <c r="Q276" s="66">
        <v>0.95</v>
      </c>
      <c r="R276" s="3"/>
      <c r="S276" s="3"/>
      <c r="T276" s="3"/>
      <c r="U276" s="67">
        <f t="shared" si="28"/>
        <v>0.25</v>
      </c>
      <c r="V276" s="67">
        <f t="shared" si="29"/>
        <v>0.95</v>
      </c>
      <c r="W276" s="91"/>
      <c r="X276" s="91"/>
      <c r="Y276" s="3"/>
      <c r="Z276" s="67">
        <f t="shared" si="30"/>
        <v>0.25</v>
      </c>
      <c r="AA276" s="67">
        <f t="shared" si="31"/>
        <v>0.95</v>
      </c>
      <c r="AB276" s="91"/>
      <c r="AC276" s="91"/>
      <c r="AD276" s="3"/>
      <c r="AE276" s="67">
        <f t="shared" si="32"/>
        <v>0.25</v>
      </c>
      <c r="AF276" s="67">
        <f t="shared" si="33"/>
        <v>0.95</v>
      </c>
    </row>
    <row r="277" spans="1:32" ht="46.8" hidden="1">
      <c r="A277" s="41">
        <f t="shared" si="34"/>
        <v>275</v>
      </c>
      <c r="B277" s="34" t="s">
        <v>975</v>
      </c>
      <c r="C277" s="34" t="s">
        <v>1002</v>
      </c>
      <c r="D277" s="34" t="s">
        <v>1017</v>
      </c>
      <c r="E277" s="41" t="s">
        <v>1324</v>
      </c>
      <c r="F277" s="43" t="s">
        <v>436</v>
      </c>
      <c r="G277" s="41"/>
      <c r="H277" s="41"/>
      <c r="I277" s="167" t="s">
        <v>349</v>
      </c>
      <c r="J277" s="167"/>
      <c r="K277" s="167"/>
      <c r="L277" s="174"/>
      <c r="M277" s="167"/>
      <c r="N277" s="41" t="s">
        <v>32</v>
      </c>
      <c r="O277" s="91">
        <v>0</v>
      </c>
      <c r="P277" s="66">
        <v>0.12</v>
      </c>
      <c r="Q277" s="3">
        <v>0</v>
      </c>
      <c r="R277" s="3"/>
      <c r="S277" s="3"/>
      <c r="T277" s="3"/>
      <c r="U277" s="67">
        <f t="shared" si="28"/>
        <v>0.12</v>
      </c>
      <c r="V277" s="67">
        <f t="shared" si="29"/>
        <v>0</v>
      </c>
      <c r="W277" s="91"/>
      <c r="X277" s="91"/>
      <c r="Y277" s="3"/>
      <c r="Z277" s="67">
        <f t="shared" si="30"/>
        <v>0.12</v>
      </c>
      <c r="AA277" s="67">
        <f t="shared" si="31"/>
        <v>0</v>
      </c>
      <c r="AB277" s="91"/>
      <c r="AC277" s="91"/>
      <c r="AD277" s="3"/>
      <c r="AE277" s="67">
        <f t="shared" si="32"/>
        <v>0.12</v>
      </c>
      <c r="AF277" s="67">
        <f t="shared" si="33"/>
        <v>0</v>
      </c>
    </row>
    <row r="278" spans="1:32" ht="46.8" hidden="1">
      <c r="A278" s="41">
        <f t="shared" si="34"/>
        <v>276</v>
      </c>
      <c r="B278" s="34"/>
      <c r="C278" s="34" t="s">
        <v>1002</v>
      </c>
      <c r="D278" s="34" t="s">
        <v>1017</v>
      </c>
      <c r="E278" s="41" t="s">
        <v>1325</v>
      </c>
      <c r="F278" s="43" t="s">
        <v>437</v>
      </c>
      <c r="G278" s="41"/>
      <c r="H278" s="41"/>
      <c r="I278" s="167" t="s">
        <v>349</v>
      </c>
      <c r="J278" s="167"/>
      <c r="K278" s="167"/>
      <c r="L278" s="174"/>
      <c r="M278" s="167"/>
      <c r="N278" s="41" t="s">
        <v>32</v>
      </c>
      <c r="O278" s="91">
        <v>0</v>
      </c>
      <c r="P278" s="66">
        <v>0.24</v>
      </c>
      <c r="Q278" s="3">
        <v>0</v>
      </c>
      <c r="R278" s="3"/>
      <c r="S278" s="3"/>
      <c r="T278" s="3"/>
      <c r="U278" s="67">
        <f t="shared" si="28"/>
        <v>0.24</v>
      </c>
      <c r="V278" s="67">
        <f t="shared" si="29"/>
        <v>0</v>
      </c>
      <c r="W278" s="91"/>
      <c r="X278" s="91"/>
      <c r="Y278" s="3"/>
      <c r="Z278" s="67">
        <f t="shared" si="30"/>
        <v>0.24</v>
      </c>
      <c r="AA278" s="67">
        <f t="shared" si="31"/>
        <v>0</v>
      </c>
      <c r="AB278" s="91"/>
      <c r="AC278" s="91"/>
      <c r="AD278" s="3"/>
      <c r="AE278" s="67">
        <f t="shared" si="32"/>
        <v>0.24</v>
      </c>
      <c r="AF278" s="67">
        <f t="shared" si="33"/>
        <v>0</v>
      </c>
    </row>
    <row r="279" spans="1:32" ht="62.4" hidden="1">
      <c r="A279" s="41">
        <f t="shared" si="34"/>
        <v>277</v>
      </c>
      <c r="B279" s="34" t="s">
        <v>976</v>
      </c>
      <c r="C279" s="34" t="s">
        <v>882</v>
      </c>
      <c r="D279" s="34" t="s">
        <v>1020</v>
      </c>
      <c r="E279" s="41" t="s">
        <v>1326</v>
      </c>
      <c r="F279" s="43" t="s">
        <v>438</v>
      </c>
      <c r="G279" s="41" t="s">
        <v>28</v>
      </c>
      <c r="H279" s="41"/>
      <c r="I279" s="64">
        <v>43486</v>
      </c>
      <c r="J279" s="64">
        <v>43486</v>
      </c>
      <c r="K279" s="41"/>
      <c r="L279" s="65">
        <v>92.55</v>
      </c>
      <c r="M279" s="65">
        <v>92.55</v>
      </c>
      <c r="N279" s="41" t="s">
        <v>32</v>
      </c>
      <c r="O279" s="65">
        <v>84.11</v>
      </c>
      <c r="P279" s="3">
        <v>0</v>
      </c>
      <c r="Q279" s="3">
        <v>0</v>
      </c>
      <c r="R279" s="3"/>
      <c r="S279" s="3"/>
      <c r="T279" s="3"/>
      <c r="U279" s="67">
        <f t="shared" si="28"/>
        <v>0</v>
      </c>
      <c r="V279" s="67">
        <f t="shared" si="29"/>
        <v>0</v>
      </c>
      <c r="W279" s="3"/>
      <c r="X279" s="3"/>
      <c r="Y279" s="3"/>
      <c r="Z279" s="67">
        <f t="shared" si="30"/>
        <v>0</v>
      </c>
      <c r="AA279" s="67">
        <f t="shared" si="31"/>
        <v>0</v>
      </c>
      <c r="AB279" s="3"/>
      <c r="AC279" s="3"/>
      <c r="AD279" s="3"/>
      <c r="AE279" s="67">
        <f t="shared" si="32"/>
        <v>0</v>
      </c>
      <c r="AF279" s="67">
        <f t="shared" si="33"/>
        <v>0</v>
      </c>
    </row>
    <row r="280" spans="1:32" s="89" customFormat="1" ht="46.8" hidden="1">
      <c r="A280" s="80">
        <f t="shared" si="34"/>
        <v>278</v>
      </c>
      <c r="B280" s="81" t="s">
        <v>783</v>
      </c>
      <c r="C280" s="81" t="s">
        <v>1002</v>
      </c>
      <c r="D280" s="34" t="s">
        <v>1019</v>
      </c>
      <c r="E280" s="41" t="s">
        <v>1327</v>
      </c>
      <c r="F280" s="82" t="s">
        <v>439</v>
      </c>
      <c r="G280" s="80" t="s">
        <v>28</v>
      </c>
      <c r="H280" s="80">
        <v>18</v>
      </c>
      <c r="I280" s="83">
        <v>43486</v>
      </c>
      <c r="J280" s="83">
        <v>43486</v>
      </c>
      <c r="K280" s="80" t="s">
        <v>440</v>
      </c>
      <c r="L280" s="103">
        <v>86.59</v>
      </c>
      <c r="M280" s="84">
        <v>98.27</v>
      </c>
      <c r="N280" s="80" t="s">
        <v>32</v>
      </c>
      <c r="O280" s="103">
        <v>84.62</v>
      </c>
      <c r="P280" s="85">
        <v>0</v>
      </c>
      <c r="Q280" s="86">
        <v>76.282357700000006</v>
      </c>
      <c r="R280" s="87">
        <v>5.7689957999999999</v>
      </c>
      <c r="S280" s="85">
        <f>0.0171723+77.0153885+0.7607685+0.8096959+0.1487063+0.5219658+0.5344049+0.5028725+0.0467081+4.38068960895866</f>
        <v>84.738372408958654</v>
      </c>
      <c r="T280" s="85"/>
      <c r="U280" s="88">
        <f t="shared" si="28"/>
        <v>84.738372408958654</v>
      </c>
      <c r="V280" s="88">
        <f t="shared" si="29"/>
        <v>-2.6870189089586489</v>
      </c>
      <c r="W280" s="91"/>
      <c r="X280" s="91"/>
      <c r="Y280" s="85"/>
      <c r="Z280" s="88">
        <f t="shared" si="30"/>
        <v>84.738372408958654</v>
      </c>
      <c r="AA280" s="88">
        <f t="shared" si="31"/>
        <v>-2.6870189089586489</v>
      </c>
      <c r="AB280" s="91"/>
      <c r="AC280" s="91"/>
      <c r="AD280" s="85"/>
      <c r="AE280" s="88">
        <f t="shared" si="32"/>
        <v>84.738372408958654</v>
      </c>
      <c r="AF280" s="88">
        <f t="shared" si="33"/>
        <v>-2.6870189089586489</v>
      </c>
    </row>
    <row r="281" spans="1:32" s="89" customFormat="1" ht="46.8" hidden="1">
      <c r="A281" s="80">
        <f t="shared" si="34"/>
        <v>279</v>
      </c>
      <c r="B281" s="81" t="s">
        <v>786</v>
      </c>
      <c r="C281" s="81" t="s">
        <v>1002</v>
      </c>
      <c r="D281" s="34" t="s">
        <v>1019</v>
      </c>
      <c r="E281" s="41" t="s">
        <v>1328</v>
      </c>
      <c r="F281" s="82" t="s">
        <v>441</v>
      </c>
      <c r="G281" s="80" t="s">
        <v>28</v>
      </c>
      <c r="H281" s="80">
        <v>18</v>
      </c>
      <c r="I281" s="83">
        <v>43486</v>
      </c>
      <c r="J281" s="83">
        <v>43486</v>
      </c>
      <c r="K281" s="80" t="s">
        <v>440</v>
      </c>
      <c r="L281" s="84">
        <v>84.23</v>
      </c>
      <c r="M281" s="84">
        <v>93.49</v>
      </c>
      <c r="N281" s="80" t="s">
        <v>32</v>
      </c>
      <c r="O281" s="84">
        <v>83.69</v>
      </c>
      <c r="P281" s="85">
        <v>0</v>
      </c>
      <c r="Q281" s="86">
        <v>54.008905099999993</v>
      </c>
      <c r="R281" s="87">
        <v>18.217919200000001</v>
      </c>
      <c r="S281" s="85"/>
      <c r="T281" s="85"/>
      <c r="U281" s="88">
        <f t="shared" si="28"/>
        <v>0</v>
      </c>
      <c r="V281" s="88">
        <f t="shared" si="29"/>
        <v>72.22682429999999</v>
      </c>
      <c r="W281" s="111">
        <f>0.7219351+0.4114009+0.1211017+0.3740235+1.0688602+(O281-V281)</f>
        <v>14.160497100000008</v>
      </c>
      <c r="X281" s="85">
        <f>V281+W281</f>
        <v>86.38732139999999</v>
      </c>
      <c r="Y281" s="85"/>
      <c r="Z281" s="88">
        <f t="shared" si="30"/>
        <v>86.38732139999999</v>
      </c>
      <c r="AA281" s="88">
        <f t="shared" si="31"/>
        <v>0</v>
      </c>
      <c r="AB281" s="85"/>
      <c r="AC281" s="85"/>
      <c r="AD281" s="85"/>
      <c r="AE281" s="88">
        <f t="shared" si="32"/>
        <v>86.38732139999999</v>
      </c>
      <c r="AF281" s="88">
        <f t="shared" si="33"/>
        <v>0</v>
      </c>
    </row>
    <row r="282" spans="1:32" s="138" customFormat="1" ht="78">
      <c r="A282" s="129">
        <f t="shared" si="34"/>
        <v>280</v>
      </c>
      <c r="B282" s="130" t="s">
        <v>797</v>
      </c>
      <c r="C282" s="130" t="s">
        <v>876</v>
      </c>
      <c r="D282" s="34" t="s">
        <v>1019</v>
      </c>
      <c r="E282" s="41" t="s">
        <v>1329</v>
      </c>
      <c r="F282" s="131" t="s">
        <v>442</v>
      </c>
      <c r="G282" s="129" t="s">
        <v>28</v>
      </c>
      <c r="H282" s="41">
        <v>5</v>
      </c>
      <c r="I282" s="132">
        <v>43486</v>
      </c>
      <c r="J282" s="132">
        <v>43486</v>
      </c>
      <c r="K282" s="129" t="s">
        <v>454</v>
      </c>
      <c r="L282" s="133">
        <v>105.28</v>
      </c>
      <c r="M282" s="133">
        <v>128.33000000000001</v>
      </c>
      <c r="N282" s="129" t="s">
        <v>32</v>
      </c>
      <c r="O282" s="133">
        <v>101.98</v>
      </c>
      <c r="P282" s="134">
        <v>0</v>
      </c>
      <c r="Q282" s="135">
        <v>97.908319999999989</v>
      </c>
      <c r="R282" s="136">
        <v>3.8011083999999999</v>
      </c>
      <c r="S282" s="134"/>
      <c r="T282" s="134"/>
      <c r="U282" s="137">
        <f t="shared" si="28"/>
        <v>0</v>
      </c>
      <c r="V282" s="137">
        <f t="shared" si="29"/>
        <v>101.70942839999999</v>
      </c>
      <c r="W282" s="139">
        <f>0.0910866+0.6665348</f>
        <v>0.7576214</v>
      </c>
      <c r="X282" s="134">
        <f>V282+W282</f>
        <v>102.4670498</v>
      </c>
      <c r="Y282" s="134"/>
      <c r="Z282" s="137">
        <f t="shared" si="30"/>
        <v>102.4670498</v>
      </c>
      <c r="AA282" s="137">
        <f t="shared" si="31"/>
        <v>0</v>
      </c>
      <c r="AB282" s="134"/>
      <c r="AC282" s="134"/>
      <c r="AD282" s="134"/>
      <c r="AE282" s="137">
        <f t="shared" si="32"/>
        <v>102.4670498</v>
      </c>
      <c r="AF282" s="137">
        <f t="shared" si="33"/>
        <v>0</v>
      </c>
    </row>
    <row r="283" spans="1:32" s="138" customFormat="1" ht="62.4">
      <c r="A283" s="129">
        <f t="shared" si="34"/>
        <v>281</v>
      </c>
      <c r="B283" s="130" t="s">
        <v>977</v>
      </c>
      <c r="C283" s="130" t="s">
        <v>876</v>
      </c>
      <c r="D283" s="34" t="s">
        <v>1019</v>
      </c>
      <c r="E283" s="41" t="s">
        <v>1330</v>
      </c>
      <c r="F283" s="131" t="s">
        <v>443</v>
      </c>
      <c r="G283" s="129" t="s">
        <v>28</v>
      </c>
      <c r="H283" s="41"/>
      <c r="I283" s="132">
        <v>43480</v>
      </c>
      <c r="J283" s="132">
        <v>43480</v>
      </c>
      <c r="K283" s="129"/>
      <c r="L283" s="133">
        <v>29.14</v>
      </c>
      <c r="M283" s="133">
        <v>39.619999999999997</v>
      </c>
      <c r="N283" s="129" t="s">
        <v>32</v>
      </c>
      <c r="O283" s="133">
        <v>25.61</v>
      </c>
      <c r="P283" s="134">
        <v>0</v>
      </c>
      <c r="Q283" s="135">
        <v>24.87</v>
      </c>
      <c r="R283" s="134"/>
      <c r="S283" s="134"/>
      <c r="T283" s="134"/>
      <c r="U283" s="137">
        <f t="shared" si="28"/>
        <v>0</v>
      </c>
      <c r="V283" s="137">
        <f t="shared" si="29"/>
        <v>24.87</v>
      </c>
      <c r="W283" s="134">
        <f>O283-V283</f>
        <v>0.73999999999999844</v>
      </c>
      <c r="X283" s="134">
        <f>V283+W283</f>
        <v>25.61</v>
      </c>
      <c r="Y283" s="134"/>
      <c r="Z283" s="137">
        <f t="shared" si="30"/>
        <v>25.61</v>
      </c>
      <c r="AA283" s="137">
        <f t="shared" si="31"/>
        <v>0</v>
      </c>
      <c r="AB283" s="134"/>
      <c r="AC283" s="134"/>
      <c r="AD283" s="134"/>
      <c r="AE283" s="137">
        <f t="shared" si="32"/>
        <v>25.61</v>
      </c>
      <c r="AF283" s="137">
        <f t="shared" si="33"/>
        <v>0</v>
      </c>
    </row>
    <row r="284" spans="1:32" ht="109.2">
      <c r="A284" s="41">
        <f t="shared" si="34"/>
        <v>282</v>
      </c>
      <c r="B284" s="34" t="s">
        <v>795</v>
      </c>
      <c r="C284" s="34" t="s">
        <v>876</v>
      </c>
      <c r="D284" s="34" t="s">
        <v>1019</v>
      </c>
      <c r="E284" s="41" t="s">
        <v>1331</v>
      </c>
      <c r="F284" s="43" t="s">
        <v>444</v>
      </c>
      <c r="G284" s="41" t="s">
        <v>28</v>
      </c>
      <c r="H284" s="41">
        <v>7</v>
      </c>
      <c r="I284" s="64">
        <v>43486</v>
      </c>
      <c r="J284" s="64">
        <v>43486</v>
      </c>
      <c r="K284" s="64" t="s">
        <v>454</v>
      </c>
      <c r="L284" s="103">
        <v>87.86</v>
      </c>
      <c r="M284" s="65">
        <v>87.86</v>
      </c>
      <c r="N284" s="41" t="s">
        <v>32</v>
      </c>
      <c r="O284" s="103">
        <v>57.2</v>
      </c>
      <c r="P284" s="3">
        <v>0</v>
      </c>
      <c r="Q284" s="66">
        <v>53.245216599999999</v>
      </c>
      <c r="R284" s="25">
        <v>1.7150430000000001</v>
      </c>
      <c r="S284" s="3">
        <f>4.7409297+0.8702917+48.2745235+0.6316666+9.31786867150029</f>
        <v>63.835280171500294</v>
      </c>
      <c r="T284" s="3"/>
      <c r="U284" s="67">
        <f t="shared" si="28"/>
        <v>63.835280171500294</v>
      </c>
      <c r="V284" s="79">
        <f t="shared" si="29"/>
        <v>-8.8750205715002934</v>
      </c>
      <c r="W284" s="91"/>
      <c r="X284" s="91"/>
      <c r="Y284" s="3"/>
      <c r="Z284" s="67">
        <f t="shared" si="30"/>
        <v>63.835280171500294</v>
      </c>
      <c r="AA284" s="67">
        <f t="shared" si="31"/>
        <v>-8.8750205715002934</v>
      </c>
      <c r="AB284" s="91"/>
      <c r="AC284" s="91"/>
      <c r="AD284" s="3"/>
      <c r="AE284" s="67">
        <f t="shared" si="32"/>
        <v>63.835280171500294</v>
      </c>
      <c r="AF284" s="67">
        <f t="shared" si="33"/>
        <v>-8.8750205715002934</v>
      </c>
    </row>
    <row r="285" spans="1:32" s="138" customFormat="1" ht="78">
      <c r="A285" s="129">
        <f t="shared" si="34"/>
        <v>283</v>
      </c>
      <c r="B285" s="130" t="s">
        <v>796</v>
      </c>
      <c r="C285" s="130" t="s">
        <v>876</v>
      </c>
      <c r="D285" s="34" t="s">
        <v>1019</v>
      </c>
      <c r="E285" s="41" t="s">
        <v>1332</v>
      </c>
      <c r="F285" s="131" t="s">
        <v>445</v>
      </c>
      <c r="G285" s="129" t="s">
        <v>28</v>
      </c>
      <c r="H285" s="41">
        <v>7</v>
      </c>
      <c r="I285" s="132">
        <v>43486</v>
      </c>
      <c r="J285" s="132">
        <v>43486</v>
      </c>
      <c r="K285" s="140" t="s">
        <v>454</v>
      </c>
      <c r="L285" s="133">
        <v>114</v>
      </c>
      <c r="M285" s="133">
        <v>114</v>
      </c>
      <c r="N285" s="129" t="s">
        <v>32</v>
      </c>
      <c r="O285" s="133">
        <v>93.37</v>
      </c>
      <c r="P285" s="134">
        <v>0</v>
      </c>
      <c r="Q285" s="135">
        <v>90.311520999999999</v>
      </c>
      <c r="R285" s="136">
        <v>0.3843375</v>
      </c>
      <c r="S285" s="134">
        <f>81.3746688+0.3021228+0.0822147+8.9369482+9.1719757+9.06556120777648</f>
        <v>108.93349140777649</v>
      </c>
      <c r="T285" s="134"/>
      <c r="U285" s="137">
        <f t="shared" si="28"/>
        <v>108.93349140777649</v>
      </c>
      <c r="V285" s="137">
        <f t="shared" si="29"/>
        <v>-18.237632907776486</v>
      </c>
      <c r="W285" s="139">
        <v>0.36228840000000001</v>
      </c>
      <c r="X285" s="134">
        <f>W285</f>
        <v>0.36228840000000001</v>
      </c>
      <c r="Y285" s="134"/>
      <c r="Z285" s="137">
        <f t="shared" si="30"/>
        <v>109.29577980777648</v>
      </c>
      <c r="AA285" s="137">
        <f t="shared" si="31"/>
        <v>-18.237632907776486</v>
      </c>
      <c r="AB285" s="134"/>
      <c r="AC285" s="134"/>
      <c r="AD285" s="134"/>
      <c r="AE285" s="137">
        <f t="shared" si="32"/>
        <v>109.29577980777648</v>
      </c>
      <c r="AF285" s="137">
        <f t="shared" si="33"/>
        <v>-18.237632907776486</v>
      </c>
    </row>
    <row r="286" spans="1:32" ht="62.4">
      <c r="A286" s="41">
        <f t="shared" si="34"/>
        <v>284</v>
      </c>
      <c r="B286" s="34" t="s">
        <v>978</v>
      </c>
      <c r="C286" s="34" t="s">
        <v>876</v>
      </c>
      <c r="D286" s="34" t="s">
        <v>1019</v>
      </c>
      <c r="E286" s="41" t="s">
        <v>1333</v>
      </c>
      <c r="F286" s="43" t="s">
        <v>446</v>
      </c>
      <c r="G286" s="41" t="s">
        <v>28</v>
      </c>
      <c r="H286" s="41"/>
      <c r="I286" s="64">
        <v>43502</v>
      </c>
      <c r="J286" s="64">
        <v>43502</v>
      </c>
      <c r="K286" s="41"/>
      <c r="L286" s="103">
        <v>81.760000000000005</v>
      </c>
      <c r="M286" s="65">
        <v>79.94</v>
      </c>
      <c r="N286" s="41" t="s">
        <v>32</v>
      </c>
      <c r="O286" s="103">
        <v>76.349999999999994</v>
      </c>
      <c r="P286" s="66">
        <v>77.52</v>
      </c>
      <c r="Q286" s="66">
        <v>0.03</v>
      </c>
      <c r="R286" s="3"/>
      <c r="S286" s="3"/>
      <c r="T286" s="3"/>
      <c r="U286" s="67">
        <f t="shared" si="28"/>
        <v>77.52</v>
      </c>
      <c r="V286" s="67">
        <f t="shared" si="29"/>
        <v>0.03</v>
      </c>
      <c r="W286" s="91"/>
      <c r="X286" s="91"/>
      <c r="Y286" s="3"/>
      <c r="Z286" s="67">
        <f t="shared" si="30"/>
        <v>77.52</v>
      </c>
      <c r="AA286" s="67">
        <f t="shared" si="31"/>
        <v>0.03</v>
      </c>
      <c r="AB286" s="91"/>
      <c r="AC286" s="91"/>
      <c r="AD286" s="3"/>
      <c r="AE286" s="67">
        <f t="shared" si="32"/>
        <v>77.52</v>
      </c>
      <c r="AF286" s="67">
        <f t="shared" si="33"/>
        <v>0.03</v>
      </c>
    </row>
    <row r="287" spans="1:32" ht="109.2">
      <c r="A287" s="41">
        <f t="shared" si="34"/>
        <v>285</v>
      </c>
      <c r="B287" s="34" t="s">
        <v>720</v>
      </c>
      <c r="C287" s="34" t="s">
        <v>876</v>
      </c>
      <c r="D287" s="34" t="s">
        <v>1019</v>
      </c>
      <c r="E287" s="41" t="s">
        <v>1334</v>
      </c>
      <c r="F287" s="43" t="s">
        <v>447</v>
      </c>
      <c r="G287" s="41" t="s">
        <v>28</v>
      </c>
      <c r="H287" s="41">
        <v>4</v>
      </c>
      <c r="I287" s="64">
        <v>43502</v>
      </c>
      <c r="J287" s="64">
        <v>43502</v>
      </c>
      <c r="K287" s="41" t="s">
        <v>721</v>
      </c>
      <c r="L287" s="103">
        <v>63.93</v>
      </c>
      <c r="M287" s="65">
        <v>67.8</v>
      </c>
      <c r="N287" s="41" t="s">
        <v>32</v>
      </c>
      <c r="O287" s="104">
        <v>71.8</v>
      </c>
      <c r="P287" s="3">
        <v>0</v>
      </c>
      <c r="Q287" s="66">
        <v>71.770346900000007</v>
      </c>
      <c r="R287" s="25">
        <v>0.1140717</v>
      </c>
      <c r="S287" s="3">
        <f>0.2270247+0.3258341+71.202176234+0.1140717+7.56808305014681</f>
        <v>79.43718978414681</v>
      </c>
      <c r="T287" s="3"/>
      <c r="U287" s="67">
        <f t="shared" si="28"/>
        <v>79.43718978414681</v>
      </c>
      <c r="V287" s="79">
        <f t="shared" si="29"/>
        <v>-7.5527711841468061</v>
      </c>
      <c r="W287" s="91"/>
      <c r="X287" s="91"/>
      <c r="Y287" s="3"/>
      <c r="Z287" s="67">
        <f t="shared" si="30"/>
        <v>79.43718978414681</v>
      </c>
      <c r="AA287" s="67">
        <f t="shared" si="31"/>
        <v>-7.5527711841468061</v>
      </c>
      <c r="AB287" s="91"/>
      <c r="AC287" s="91"/>
      <c r="AD287" s="3"/>
      <c r="AE287" s="67">
        <f t="shared" si="32"/>
        <v>79.43718978414681</v>
      </c>
      <c r="AF287" s="67">
        <f t="shared" si="33"/>
        <v>-7.5527711841468061</v>
      </c>
    </row>
    <row r="288" spans="1:32" ht="124.8">
      <c r="A288" s="41">
        <f t="shared" si="34"/>
        <v>286</v>
      </c>
      <c r="B288" s="34" t="s">
        <v>979</v>
      </c>
      <c r="C288" s="34" t="s">
        <v>876</v>
      </c>
      <c r="D288" s="34" t="s">
        <v>1019</v>
      </c>
      <c r="E288" s="41" t="s">
        <v>1335</v>
      </c>
      <c r="F288" s="43" t="s">
        <v>448</v>
      </c>
      <c r="G288" s="41" t="s">
        <v>28</v>
      </c>
      <c r="H288" s="41"/>
      <c r="I288" s="64">
        <v>43503</v>
      </c>
      <c r="J288" s="64">
        <v>43503</v>
      </c>
      <c r="K288" s="41" t="s">
        <v>509</v>
      </c>
      <c r="L288" s="103">
        <v>40.39</v>
      </c>
      <c r="M288" s="65">
        <v>39.36</v>
      </c>
      <c r="N288" s="41" t="s">
        <v>32</v>
      </c>
      <c r="O288" s="103">
        <v>37.25</v>
      </c>
      <c r="P288" s="66">
        <v>39.409999999999997</v>
      </c>
      <c r="Q288" s="3">
        <v>0</v>
      </c>
      <c r="R288" s="3"/>
      <c r="S288" s="3"/>
      <c r="T288" s="3"/>
      <c r="U288" s="67">
        <f t="shared" si="28"/>
        <v>39.409999999999997</v>
      </c>
      <c r="V288" s="67">
        <f t="shared" si="29"/>
        <v>0</v>
      </c>
      <c r="W288" s="91"/>
      <c r="X288" s="91"/>
      <c r="Y288" s="3"/>
      <c r="Z288" s="67">
        <f t="shared" si="30"/>
        <v>39.409999999999997</v>
      </c>
      <c r="AA288" s="67">
        <f t="shared" si="31"/>
        <v>0</v>
      </c>
      <c r="AB288" s="91"/>
      <c r="AC288" s="91"/>
      <c r="AD288" s="3"/>
      <c r="AE288" s="67">
        <f t="shared" si="32"/>
        <v>39.409999999999997</v>
      </c>
      <c r="AF288" s="67">
        <f t="shared" si="33"/>
        <v>0</v>
      </c>
    </row>
    <row r="289" spans="1:32" s="89" customFormat="1" ht="62.4" hidden="1">
      <c r="A289" s="80">
        <f t="shared" si="34"/>
        <v>287</v>
      </c>
      <c r="B289" s="81" t="s">
        <v>805</v>
      </c>
      <c r="C289" s="81" t="s">
        <v>1002</v>
      </c>
      <c r="D289" s="34" t="s">
        <v>1019</v>
      </c>
      <c r="E289" s="41" t="s">
        <v>1336</v>
      </c>
      <c r="F289" s="82" t="s">
        <v>449</v>
      </c>
      <c r="G289" s="80" t="s">
        <v>28</v>
      </c>
      <c r="H289" s="80">
        <v>6</v>
      </c>
      <c r="I289" s="83" t="s">
        <v>450</v>
      </c>
      <c r="J289" s="83" t="s">
        <v>450</v>
      </c>
      <c r="K289" s="80" t="s">
        <v>451</v>
      </c>
      <c r="L289" s="84">
        <v>15.6</v>
      </c>
      <c r="M289" s="84">
        <v>17.93</v>
      </c>
      <c r="N289" s="80" t="s">
        <v>32</v>
      </c>
      <c r="O289" s="84">
        <v>6.72</v>
      </c>
      <c r="P289" s="85">
        <v>0</v>
      </c>
      <c r="Q289" s="86">
        <v>3.1800405999999999</v>
      </c>
      <c r="R289" s="87">
        <v>0.35268060000000001</v>
      </c>
      <c r="S289" s="85"/>
      <c r="T289" s="85"/>
      <c r="U289" s="88">
        <f t="shared" si="28"/>
        <v>0</v>
      </c>
      <c r="V289" s="88">
        <f t="shared" si="29"/>
        <v>3.5327212000000001</v>
      </c>
      <c r="W289" s="85">
        <f>0.1318273+0.538316</f>
        <v>0.6701433</v>
      </c>
      <c r="X289" s="85">
        <f>V289+W289</f>
        <v>4.2028645000000004</v>
      </c>
      <c r="Y289" s="85"/>
      <c r="Z289" s="88">
        <f t="shared" si="30"/>
        <v>4.2028645000000004</v>
      </c>
      <c r="AA289" s="88">
        <f t="shared" si="31"/>
        <v>0</v>
      </c>
      <c r="AB289" s="85"/>
      <c r="AC289" s="85"/>
      <c r="AD289" s="85"/>
      <c r="AE289" s="88">
        <f t="shared" si="32"/>
        <v>4.2028645000000004</v>
      </c>
      <c r="AF289" s="88">
        <f t="shared" si="33"/>
        <v>0</v>
      </c>
    </row>
    <row r="290" spans="1:32" ht="78">
      <c r="A290" s="41">
        <f t="shared" si="34"/>
        <v>288</v>
      </c>
      <c r="B290" s="34" t="s">
        <v>980</v>
      </c>
      <c r="C290" s="34" t="s">
        <v>876</v>
      </c>
      <c r="D290" s="34" t="s">
        <v>1019</v>
      </c>
      <c r="E290" s="41" t="s">
        <v>1337</v>
      </c>
      <c r="F290" s="43" t="s">
        <v>452</v>
      </c>
      <c r="G290" s="41" t="s">
        <v>28</v>
      </c>
      <c r="H290" s="41">
        <v>2</v>
      </c>
      <c r="I290" s="64">
        <v>43486</v>
      </c>
      <c r="J290" s="64">
        <v>43486</v>
      </c>
      <c r="K290" s="64" t="s">
        <v>454</v>
      </c>
      <c r="L290" s="103">
        <v>40.18</v>
      </c>
      <c r="M290" s="65">
        <v>40.18</v>
      </c>
      <c r="N290" s="41" t="s">
        <v>32</v>
      </c>
      <c r="O290" s="103">
        <v>35.85</v>
      </c>
      <c r="P290" s="3">
        <v>0</v>
      </c>
      <c r="Q290" s="66">
        <v>27.522210299999998</v>
      </c>
      <c r="R290" s="25">
        <v>6.6401509000000001</v>
      </c>
      <c r="S290" s="3">
        <f>32.3904238+1.1874328+0.5884633+2.11416082093714</f>
        <v>36.280480720937142</v>
      </c>
      <c r="T290" s="3"/>
      <c r="U290" s="67">
        <f t="shared" si="28"/>
        <v>36.280480720937142</v>
      </c>
      <c r="V290" s="79">
        <f t="shared" si="29"/>
        <v>-2.1181195209371424</v>
      </c>
      <c r="W290" s="94"/>
      <c r="X290" s="91"/>
      <c r="Y290" s="3"/>
      <c r="Z290" s="67">
        <f t="shared" si="30"/>
        <v>36.280480720937142</v>
      </c>
      <c r="AA290" s="67">
        <f t="shared" si="31"/>
        <v>-2.1181195209371424</v>
      </c>
      <c r="AB290" s="91"/>
      <c r="AC290" s="91"/>
      <c r="AD290" s="3"/>
      <c r="AE290" s="67">
        <f t="shared" si="32"/>
        <v>36.280480720937142</v>
      </c>
      <c r="AF290" s="67">
        <f t="shared" si="33"/>
        <v>-2.1181195209371424</v>
      </c>
    </row>
    <row r="291" spans="1:32" s="89" customFormat="1" ht="78" hidden="1">
      <c r="A291" s="80">
        <f t="shared" si="34"/>
        <v>289</v>
      </c>
      <c r="B291" s="81" t="s">
        <v>802</v>
      </c>
      <c r="C291" s="81" t="s">
        <v>1002</v>
      </c>
      <c r="D291" s="34" t="s">
        <v>1019</v>
      </c>
      <c r="E291" s="41" t="s">
        <v>1338</v>
      </c>
      <c r="F291" s="82" t="s">
        <v>453</v>
      </c>
      <c r="G291" s="80" t="s">
        <v>28</v>
      </c>
      <c r="H291" s="80"/>
      <c r="I291" s="83">
        <v>43486</v>
      </c>
      <c r="J291" s="83">
        <v>43486</v>
      </c>
      <c r="K291" s="80" t="s">
        <v>454</v>
      </c>
      <c r="L291" s="84">
        <v>87.63</v>
      </c>
      <c r="M291" s="84">
        <v>103.6</v>
      </c>
      <c r="N291" s="80" t="s">
        <v>32</v>
      </c>
      <c r="O291" s="84">
        <v>75.760000000000005</v>
      </c>
      <c r="P291" s="85">
        <v>0</v>
      </c>
      <c r="Q291" s="86">
        <v>65.503926300000003</v>
      </c>
      <c r="R291" s="87">
        <v>3.1727332000000001</v>
      </c>
      <c r="S291" s="85"/>
      <c r="T291" s="85"/>
      <c r="U291" s="88">
        <f t="shared" si="28"/>
        <v>0</v>
      </c>
      <c r="V291" s="88">
        <f t="shared" si="29"/>
        <v>68.6766595</v>
      </c>
      <c r="W291" s="111">
        <v>18.953340499999996</v>
      </c>
      <c r="X291" s="85">
        <f t="shared" ref="X291:X296" si="35">V291+W291</f>
        <v>87.63</v>
      </c>
      <c r="Y291" s="85"/>
      <c r="Z291" s="88">
        <f t="shared" si="30"/>
        <v>87.63</v>
      </c>
      <c r="AA291" s="88">
        <f t="shared" si="31"/>
        <v>0</v>
      </c>
      <c r="AB291" s="85"/>
      <c r="AC291" s="85"/>
      <c r="AD291" s="85"/>
      <c r="AE291" s="88">
        <f t="shared" si="32"/>
        <v>87.63</v>
      </c>
      <c r="AF291" s="88">
        <f t="shared" si="33"/>
        <v>0</v>
      </c>
    </row>
    <row r="292" spans="1:32" s="89" customFormat="1" ht="187.2" hidden="1">
      <c r="A292" s="80">
        <f t="shared" si="34"/>
        <v>290</v>
      </c>
      <c r="B292" s="81" t="s">
        <v>790</v>
      </c>
      <c r="C292" s="81" t="s">
        <v>1002</v>
      </c>
      <c r="D292" s="41" t="s">
        <v>1019</v>
      </c>
      <c r="E292" s="41" t="s">
        <v>1339</v>
      </c>
      <c r="F292" s="82" t="s">
        <v>455</v>
      </c>
      <c r="G292" s="80" t="s">
        <v>28</v>
      </c>
      <c r="H292" s="80"/>
      <c r="I292" s="83">
        <v>43486</v>
      </c>
      <c r="J292" s="83">
        <v>43486</v>
      </c>
      <c r="K292" s="80" t="s">
        <v>456</v>
      </c>
      <c r="L292" s="84">
        <v>103.14</v>
      </c>
      <c r="M292" s="84">
        <v>103.14</v>
      </c>
      <c r="N292" s="80" t="s">
        <v>32</v>
      </c>
      <c r="O292" s="84">
        <v>79.28</v>
      </c>
      <c r="P292" s="85">
        <v>0</v>
      </c>
      <c r="Q292" s="86">
        <v>77.438562300000001</v>
      </c>
      <c r="R292" s="87">
        <v>0.43812649999999997</v>
      </c>
      <c r="S292" s="85">
        <f>13.8124093+43.8371056+0.0911362+0.3469903+7.99149843215205</f>
        <v>66.079139832152052</v>
      </c>
      <c r="T292" s="85"/>
      <c r="U292" s="88">
        <f t="shared" si="28"/>
        <v>66.079139832152052</v>
      </c>
      <c r="V292" s="88">
        <f t="shared" si="29"/>
        <v>11.797548967847945</v>
      </c>
      <c r="W292" s="111">
        <v>5.7826299999999997E-2</v>
      </c>
      <c r="X292" s="85">
        <f t="shared" si="35"/>
        <v>11.855375267847945</v>
      </c>
      <c r="Y292" s="85"/>
      <c r="Z292" s="88">
        <f t="shared" si="30"/>
        <v>77.934515099999999</v>
      </c>
      <c r="AA292" s="88">
        <f t="shared" si="31"/>
        <v>0</v>
      </c>
      <c r="AB292" s="85"/>
      <c r="AC292" s="85"/>
      <c r="AD292" s="85"/>
      <c r="AE292" s="88">
        <f t="shared" si="32"/>
        <v>77.934515099999999</v>
      </c>
      <c r="AF292" s="88">
        <f t="shared" si="33"/>
        <v>0</v>
      </c>
    </row>
    <row r="293" spans="1:32" s="89" customFormat="1" ht="93.6" hidden="1">
      <c r="A293" s="80">
        <f t="shared" si="34"/>
        <v>291</v>
      </c>
      <c r="B293" s="81" t="s">
        <v>780</v>
      </c>
      <c r="C293" s="81" t="s">
        <v>1002</v>
      </c>
      <c r="D293" s="34" t="s">
        <v>1017</v>
      </c>
      <c r="E293" s="41" t="s">
        <v>1340</v>
      </c>
      <c r="F293" s="82" t="s">
        <v>457</v>
      </c>
      <c r="G293" s="80" t="s">
        <v>28</v>
      </c>
      <c r="H293" s="80">
        <v>1</v>
      </c>
      <c r="I293" s="83" t="s">
        <v>458</v>
      </c>
      <c r="J293" s="83" t="s">
        <v>458</v>
      </c>
      <c r="K293" s="83" t="s">
        <v>459</v>
      </c>
      <c r="L293" s="84">
        <v>68.11</v>
      </c>
      <c r="M293" s="84">
        <v>81.349999999999994</v>
      </c>
      <c r="N293" s="80" t="s">
        <v>32</v>
      </c>
      <c r="O293" s="84">
        <v>68.11</v>
      </c>
      <c r="P293" s="86">
        <v>0.37</v>
      </c>
      <c r="Q293" s="86">
        <v>55.869424799999997</v>
      </c>
      <c r="R293" s="112"/>
      <c r="S293" s="85"/>
      <c r="T293" s="85"/>
      <c r="U293" s="88">
        <f t="shared" si="28"/>
        <v>0.37</v>
      </c>
      <c r="V293" s="88">
        <f t="shared" si="29"/>
        <v>55.869424799999997</v>
      </c>
      <c r="W293" s="85">
        <f>O293-V293-U293</f>
        <v>11.870575200000003</v>
      </c>
      <c r="X293" s="85">
        <f t="shared" si="35"/>
        <v>67.739999999999995</v>
      </c>
      <c r="Y293" s="85"/>
      <c r="Z293" s="88">
        <f t="shared" si="30"/>
        <v>68.11</v>
      </c>
      <c r="AA293" s="88">
        <f t="shared" si="31"/>
        <v>0</v>
      </c>
      <c r="AB293" s="85"/>
      <c r="AC293" s="85"/>
      <c r="AD293" s="85"/>
      <c r="AE293" s="88">
        <f t="shared" si="32"/>
        <v>68.11</v>
      </c>
      <c r="AF293" s="88">
        <f t="shared" si="33"/>
        <v>0</v>
      </c>
    </row>
    <row r="294" spans="1:32" s="89" customFormat="1" ht="62.4" hidden="1">
      <c r="A294" s="80">
        <f t="shared" si="34"/>
        <v>292</v>
      </c>
      <c r="B294" s="81" t="s">
        <v>791</v>
      </c>
      <c r="C294" s="81" t="s">
        <v>1002</v>
      </c>
      <c r="D294" s="34" t="s">
        <v>1019</v>
      </c>
      <c r="E294" s="41" t="s">
        <v>1341</v>
      </c>
      <c r="F294" s="82" t="s">
        <v>460</v>
      </c>
      <c r="G294" s="80" t="s">
        <v>28</v>
      </c>
      <c r="H294" s="80">
        <v>7</v>
      </c>
      <c r="I294" s="83">
        <v>43486</v>
      </c>
      <c r="J294" s="83">
        <v>43486</v>
      </c>
      <c r="K294" s="80" t="s">
        <v>454</v>
      </c>
      <c r="L294" s="84">
        <v>85.43</v>
      </c>
      <c r="M294" s="84">
        <v>84.93</v>
      </c>
      <c r="N294" s="80" t="s">
        <v>32</v>
      </c>
      <c r="O294" s="84">
        <v>101.56</v>
      </c>
      <c r="P294" s="85">
        <v>0</v>
      </c>
      <c r="Q294" s="86">
        <v>95.195323099999996</v>
      </c>
      <c r="R294" s="87">
        <v>6.3411413000000003</v>
      </c>
      <c r="S294" s="85">
        <f>8.2807689+17.3675714+21.9305955+5.02818078148375</f>
        <v>52.607116581483744</v>
      </c>
      <c r="T294" s="85"/>
      <c r="U294" s="88">
        <f t="shared" si="28"/>
        <v>52.607116581483744</v>
      </c>
      <c r="V294" s="88">
        <f t="shared" si="29"/>
        <v>48.929347818516256</v>
      </c>
      <c r="W294" s="85">
        <f>0.0085724+0.7969538</f>
        <v>0.80552620000000008</v>
      </c>
      <c r="X294" s="85">
        <f t="shared" si="35"/>
        <v>49.734874018516258</v>
      </c>
      <c r="Y294" s="85"/>
      <c r="Z294" s="88">
        <f t="shared" si="30"/>
        <v>102.3419906</v>
      </c>
      <c r="AA294" s="88">
        <f t="shared" si="31"/>
        <v>0</v>
      </c>
      <c r="AB294" s="85"/>
      <c r="AC294" s="85"/>
      <c r="AD294" s="85"/>
      <c r="AE294" s="88">
        <f t="shared" si="32"/>
        <v>102.3419906</v>
      </c>
      <c r="AF294" s="88">
        <f t="shared" si="33"/>
        <v>0</v>
      </c>
    </row>
    <row r="295" spans="1:32" s="89" customFormat="1" ht="93.6" hidden="1">
      <c r="A295" s="80">
        <f t="shared" si="34"/>
        <v>293</v>
      </c>
      <c r="B295" s="81" t="s">
        <v>793</v>
      </c>
      <c r="C295" s="81" t="s">
        <v>1002</v>
      </c>
      <c r="D295" s="41" t="s">
        <v>1019</v>
      </c>
      <c r="E295" s="41" t="s">
        <v>1342</v>
      </c>
      <c r="F295" s="82" t="s">
        <v>461</v>
      </c>
      <c r="G295" s="80" t="s">
        <v>28</v>
      </c>
      <c r="H295" s="80">
        <v>6</v>
      </c>
      <c r="I295" s="83">
        <v>43486</v>
      </c>
      <c r="J295" s="83">
        <v>43486</v>
      </c>
      <c r="K295" s="83" t="s">
        <v>462</v>
      </c>
      <c r="L295" s="84">
        <v>49.57</v>
      </c>
      <c r="M295" s="84">
        <v>54.07</v>
      </c>
      <c r="N295" s="80" t="s">
        <v>32</v>
      </c>
      <c r="O295" s="84">
        <v>47.48</v>
      </c>
      <c r="P295" s="85">
        <v>0</v>
      </c>
      <c r="Q295" s="86">
        <v>40.31</v>
      </c>
      <c r="R295" s="85"/>
      <c r="S295" s="85"/>
      <c r="T295" s="85"/>
      <c r="U295" s="88">
        <f t="shared" si="28"/>
        <v>0</v>
      </c>
      <c r="V295" s="88">
        <f t="shared" si="29"/>
        <v>40.31</v>
      </c>
      <c r="W295" s="85">
        <f>O295-V295</f>
        <v>7.1699999999999946</v>
      </c>
      <c r="X295" s="85">
        <f t="shared" si="35"/>
        <v>47.48</v>
      </c>
      <c r="Y295" s="85"/>
      <c r="Z295" s="88">
        <f t="shared" si="30"/>
        <v>47.48</v>
      </c>
      <c r="AA295" s="88">
        <f t="shared" si="31"/>
        <v>0</v>
      </c>
      <c r="AB295" s="85"/>
      <c r="AC295" s="85"/>
      <c r="AD295" s="85"/>
      <c r="AE295" s="88">
        <f t="shared" si="32"/>
        <v>47.48</v>
      </c>
      <c r="AF295" s="88">
        <f t="shared" si="33"/>
        <v>0</v>
      </c>
    </row>
    <row r="296" spans="1:32" s="89" customFormat="1" ht="78" hidden="1">
      <c r="A296" s="80">
        <f t="shared" si="34"/>
        <v>294</v>
      </c>
      <c r="B296" s="81" t="s">
        <v>794</v>
      </c>
      <c r="C296" s="81" t="s">
        <v>1002</v>
      </c>
      <c r="D296" s="34" t="s">
        <v>1019</v>
      </c>
      <c r="E296" s="41" t="s">
        <v>1343</v>
      </c>
      <c r="F296" s="82" t="s">
        <v>463</v>
      </c>
      <c r="G296" s="80" t="s">
        <v>28</v>
      </c>
      <c r="H296" s="113">
        <v>6</v>
      </c>
      <c r="I296" s="113" t="s">
        <v>464</v>
      </c>
      <c r="J296" s="113" t="s">
        <v>464</v>
      </c>
      <c r="K296" s="113" t="s">
        <v>454</v>
      </c>
      <c r="L296" s="113">
        <v>132.38999999999999</v>
      </c>
      <c r="M296" s="84">
        <v>165.64</v>
      </c>
      <c r="N296" s="80" t="s">
        <v>32</v>
      </c>
      <c r="O296" s="84">
        <v>130.56</v>
      </c>
      <c r="P296" s="85">
        <v>0</v>
      </c>
      <c r="Q296" s="86">
        <v>127.01676</v>
      </c>
      <c r="R296" s="87">
        <v>2.9918746000000001</v>
      </c>
      <c r="S296" s="85"/>
      <c r="T296" s="85"/>
      <c r="U296" s="88">
        <f t="shared" si="28"/>
        <v>0</v>
      </c>
      <c r="V296" s="88">
        <f t="shared" si="29"/>
        <v>130.00863459999999</v>
      </c>
      <c r="W296" s="112">
        <v>0.55136540000000878</v>
      </c>
      <c r="X296" s="88">
        <f t="shared" si="35"/>
        <v>130.56</v>
      </c>
      <c r="Y296" s="85"/>
      <c r="Z296" s="88">
        <f t="shared" si="30"/>
        <v>130.56</v>
      </c>
      <c r="AA296" s="88">
        <f t="shared" si="31"/>
        <v>0</v>
      </c>
      <c r="AB296" s="85"/>
      <c r="AC296" s="85"/>
      <c r="AD296" s="85"/>
      <c r="AE296" s="88">
        <f t="shared" si="32"/>
        <v>130.56</v>
      </c>
      <c r="AF296" s="88">
        <f t="shared" si="33"/>
        <v>0</v>
      </c>
    </row>
    <row r="297" spans="1:32" ht="46.8" hidden="1">
      <c r="A297" s="41">
        <f t="shared" si="34"/>
        <v>295</v>
      </c>
      <c r="B297" s="34" t="s">
        <v>798</v>
      </c>
      <c r="C297" s="34" t="s">
        <v>1002</v>
      </c>
      <c r="D297" s="34" t="s">
        <v>1019</v>
      </c>
      <c r="E297" s="41" t="s">
        <v>1344</v>
      </c>
      <c r="F297" s="43" t="s">
        <v>465</v>
      </c>
      <c r="G297" s="41" t="s">
        <v>28</v>
      </c>
      <c r="H297" s="41"/>
      <c r="I297" s="64">
        <v>43486</v>
      </c>
      <c r="J297" s="64">
        <v>43486</v>
      </c>
      <c r="K297" s="41" t="s">
        <v>466</v>
      </c>
      <c r="L297" s="103">
        <v>138.97999999999999</v>
      </c>
      <c r="M297" s="65">
        <v>150.09</v>
      </c>
      <c r="N297" s="41" t="s">
        <v>32</v>
      </c>
      <c r="O297" s="103">
        <v>137.80000000000001</v>
      </c>
      <c r="P297" s="3">
        <v>0</v>
      </c>
      <c r="Q297" s="66">
        <v>135.9997965</v>
      </c>
      <c r="R297" s="25">
        <v>1.8203497</v>
      </c>
      <c r="S297" s="3"/>
      <c r="T297" s="3"/>
      <c r="U297" s="67">
        <f t="shared" si="28"/>
        <v>0</v>
      </c>
      <c r="V297" s="67">
        <f t="shared" si="29"/>
        <v>137.82014620000001</v>
      </c>
      <c r="W297" s="94"/>
      <c r="X297" s="91"/>
      <c r="Y297" s="3"/>
      <c r="Z297" s="67">
        <f t="shared" si="30"/>
        <v>0</v>
      </c>
      <c r="AA297" s="67">
        <f t="shared" si="31"/>
        <v>137.82014620000001</v>
      </c>
      <c r="AB297" s="91"/>
      <c r="AC297" s="91"/>
      <c r="AD297" s="3"/>
      <c r="AE297" s="67">
        <f t="shared" si="32"/>
        <v>0</v>
      </c>
      <c r="AF297" s="67">
        <f t="shared" si="33"/>
        <v>137.82014620000001</v>
      </c>
    </row>
    <row r="298" spans="1:32" s="89" customFormat="1" ht="46.8" hidden="1">
      <c r="A298" s="80">
        <f t="shared" si="34"/>
        <v>296</v>
      </c>
      <c r="B298" s="81" t="s">
        <v>799</v>
      </c>
      <c r="C298" s="81" t="s">
        <v>1002</v>
      </c>
      <c r="D298" s="34" t="s">
        <v>1019</v>
      </c>
      <c r="E298" s="41" t="s">
        <v>1345</v>
      </c>
      <c r="F298" s="82" t="s">
        <v>467</v>
      </c>
      <c r="G298" s="80" t="s">
        <v>28</v>
      </c>
      <c r="H298" s="80"/>
      <c r="I298" s="83">
        <v>43480</v>
      </c>
      <c r="J298" s="83">
        <v>43480</v>
      </c>
      <c r="K298" s="80"/>
      <c r="L298" s="84">
        <v>6.99</v>
      </c>
      <c r="M298" s="84">
        <v>9.1</v>
      </c>
      <c r="N298" s="80" t="s">
        <v>32</v>
      </c>
      <c r="O298" s="84">
        <v>6.99</v>
      </c>
      <c r="P298" s="85">
        <v>0</v>
      </c>
      <c r="Q298" s="86">
        <v>1.7280023</v>
      </c>
      <c r="R298" s="87">
        <v>0.27133220000000002</v>
      </c>
      <c r="S298" s="85"/>
      <c r="T298" s="85"/>
      <c r="U298" s="88">
        <f t="shared" si="28"/>
        <v>0</v>
      </c>
      <c r="V298" s="88">
        <f t="shared" si="29"/>
        <v>1.9993345</v>
      </c>
      <c r="W298" s="85">
        <f>O298-V298</f>
        <v>4.9906655000000004</v>
      </c>
      <c r="X298" s="85"/>
      <c r="Y298" s="85"/>
      <c r="Z298" s="88">
        <f t="shared" si="30"/>
        <v>0</v>
      </c>
      <c r="AA298" s="88">
        <f t="shared" si="31"/>
        <v>6.99</v>
      </c>
      <c r="AB298" s="85"/>
      <c r="AC298" s="85">
        <f>AA298</f>
        <v>6.99</v>
      </c>
      <c r="AD298" s="85"/>
      <c r="AE298" s="88">
        <f t="shared" si="32"/>
        <v>6.99</v>
      </c>
      <c r="AF298" s="88">
        <f t="shared" si="33"/>
        <v>0</v>
      </c>
    </row>
    <row r="299" spans="1:32" s="89" customFormat="1" ht="46.8" hidden="1">
      <c r="A299" s="80">
        <f t="shared" si="34"/>
        <v>297</v>
      </c>
      <c r="B299" s="81" t="s">
        <v>801</v>
      </c>
      <c r="C299" s="81" t="s">
        <v>1002</v>
      </c>
      <c r="D299" s="34" t="s">
        <v>1019</v>
      </c>
      <c r="E299" s="41" t="s">
        <v>1346</v>
      </c>
      <c r="F299" s="82" t="s">
        <v>468</v>
      </c>
      <c r="G299" s="80" t="s">
        <v>28</v>
      </c>
      <c r="H299" s="80">
        <v>4</v>
      </c>
      <c r="I299" s="83">
        <v>43479</v>
      </c>
      <c r="J299" s="83">
        <v>43479</v>
      </c>
      <c r="K299" s="80" t="s">
        <v>469</v>
      </c>
      <c r="L299" s="84">
        <v>7.04</v>
      </c>
      <c r="M299" s="84">
        <v>9.32</v>
      </c>
      <c r="N299" s="80" t="s">
        <v>32</v>
      </c>
      <c r="O299" s="84">
        <v>7.04</v>
      </c>
      <c r="P299" s="85">
        <v>0</v>
      </c>
      <c r="Q299" s="86">
        <v>3.1819510000000002</v>
      </c>
      <c r="R299" s="87">
        <v>1.7450935999999999</v>
      </c>
      <c r="S299" s="85">
        <f>2.0856976+0.0087513+0.2762526+1.9791319+0.385155+0.1886724+0.322441761426215</f>
        <v>5.2461025614262145</v>
      </c>
      <c r="T299" s="85"/>
      <c r="U299" s="88">
        <f t="shared" si="28"/>
        <v>5.2461025614262145</v>
      </c>
      <c r="V299" s="88">
        <f t="shared" si="29"/>
        <v>-0.31905796142621412</v>
      </c>
      <c r="W299" s="85">
        <v>1.7938974385737856</v>
      </c>
      <c r="X299" s="85">
        <f>O299-U299</f>
        <v>1.7938974385737856</v>
      </c>
      <c r="Y299" s="85"/>
      <c r="Z299" s="88">
        <f t="shared" si="30"/>
        <v>7.04</v>
      </c>
      <c r="AA299" s="88">
        <f t="shared" si="31"/>
        <v>-0.31905796142621412</v>
      </c>
      <c r="AB299" s="85"/>
      <c r="AC299" s="85"/>
      <c r="AD299" s="85"/>
      <c r="AE299" s="88">
        <f t="shared" si="32"/>
        <v>7.04</v>
      </c>
      <c r="AF299" s="88">
        <f t="shared" si="33"/>
        <v>-0.31905796142621412</v>
      </c>
    </row>
    <row r="300" spans="1:32" ht="78" hidden="1">
      <c r="A300" s="41">
        <f t="shared" si="34"/>
        <v>298</v>
      </c>
      <c r="B300" s="34" t="s">
        <v>803</v>
      </c>
      <c r="C300" s="34" t="s">
        <v>1002</v>
      </c>
      <c r="D300" s="34" t="s">
        <v>1019</v>
      </c>
      <c r="E300" s="41" t="s">
        <v>1347</v>
      </c>
      <c r="F300" s="43" t="s">
        <v>470</v>
      </c>
      <c r="G300" s="41" t="s">
        <v>28</v>
      </c>
      <c r="H300" s="41">
        <v>4</v>
      </c>
      <c r="I300" s="64">
        <v>43479</v>
      </c>
      <c r="J300" s="64">
        <v>43479</v>
      </c>
      <c r="K300" s="41" t="s">
        <v>471</v>
      </c>
      <c r="L300" s="103">
        <v>10.9</v>
      </c>
      <c r="M300" s="65">
        <v>10.77</v>
      </c>
      <c r="N300" s="41" t="s">
        <v>32</v>
      </c>
      <c r="O300" s="103">
        <v>9.4600000000000009</v>
      </c>
      <c r="P300" s="3">
        <v>0</v>
      </c>
      <c r="Q300" s="66">
        <v>8.3724448000000002</v>
      </c>
      <c r="R300" s="25">
        <v>0.69070869999999995</v>
      </c>
      <c r="S300" s="3">
        <f>8.3724113+0.5433633+0.1473454+0.643665982832266</f>
        <v>9.7067859828322653</v>
      </c>
      <c r="T300" s="3"/>
      <c r="U300" s="67">
        <f t="shared" si="28"/>
        <v>9.7067859828322653</v>
      </c>
      <c r="V300" s="79">
        <f t="shared" si="29"/>
        <v>-0.64363248283226504</v>
      </c>
      <c r="W300" s="91"/>
      <c r="X300" s="91"/>
      <c r="Y300" s="3"/>
      <c r="Z300" s="67">
        <f t="shared" si="30"/>
        <v>9.7067859828322653</v>
      </c>
      <c r="AA300" s="67">
        <f t="shared" si="31"/>
        <v>-0.64363248283226504</v>
      </c>
      <c r="AB300" s="91"/>
      <c r="AC300" s="91"/>
      <c r="AD300" s="3"/>
      <c r="AE300" s="67">
        <f t="shared" si="32"/>
        <v>9.7067859828322653</v>
      </c>
      <c r="AF300" s="67">
        <f t="shared" si="33"/>
        <v>-0.64363248283226504</v>
      </c>
    </row>
    <row r="301" spans="1:32" ht="78" hidden="1">
      <c r="A301" s="41">
        <f t="shared" si="34"/>
        <v>299</v>
      </c>
      <c r="B301" s="34" t="s">
        <v>981</v>
      </c>
      <c r="C301" s="34" t="s">
        <v>1002</v>
      </c>
      <c r="D301" s="34" t="s">
        <v>1020</v>
      </c>
      <c r="E301" s="41" t="s">
        <v>1348</v>
      </c>
      <c r="F301" s="43" t="s">
        <v>472</v>
      </c>
      <c r="G301" s="41" t="s">
        <v>28</v>
      </c>
      <c r="H301" s="41"/>
      <c r="I301" s="64">
        <v>43479</v>
      </c>
      <c r="J301" s="64">
        <v>43479</v>
      </c>
      <c r="K301" s="41"/>
      <c r="L301" s="103">
        <v>14.14</v>
      </c>
      <c r="M301" s="65">
        <v>14.14</v>
      </c>
      <c r="N301" s="41" t="s">
        <v>32</v>
      </c>
      <c r="O301" s="103">
        <v>15.05</v>
      </c>
      <c r="P301" s="3">
        <v>0</v>
      </c>
      <c r="Q301" s="3">
        <v>0</v>
      </c>
      <c r="R301" s="3"/>
      <c r="S301" s="3"/>
      <c r="T301" s="3"/>
      <c r="U301" s="67">
        <f t="shared" si="28"/>
        <v>0</v>
      </c>
      <c r="V301" s="67">
        <f t="shared" si="29"/>
        <v>0</v>
      </c>
      <c r="W301" s="91"/>
      <c r="X301" s="91"/>
      <c r="Y301" s="3"/>
      <c r="Z301" s="67">
        <f t="shared" si="30"/>
        <v>0</v>
      </c>
      <c r="AA301" s="67">
        <f t="shared" si="31"/>
        <v>0</v>
      </c>
      <c r="AB301" s="91"/>
      <c r="AC301" s="91"/>
      <c r="AD301" s="3"/>
      <c r="AE301" s="67">
        <f t="shared" si="32"/>
        <v>0</v>
      </c>
      <c r="AF301" s="67">
        <f t="shared" si="33"/>
        <v>0</v>
      </c>
    </row>
    <row r="302" spans="1:32" s="89" customFormat="1" ht="93.6" hidden="1">
      <c r="A302" s="80">
        <f t="shared" si="34"/>
        <v>300</v>
      </c>
      <c r="B302" s="81" t="s">
        <v>806</v>
      </c>
      <c r="C302" s="81" t="s">
        <v>1002</v>
      </c>
      <c r="D302" s="34" t="s">
        <v>1019</v>
      </c>
      <c r="E302" s="41" t="s">
        <v>1349</v>
      </c>
      <c r="F302" s="82" t="s">
        <v>473</v>
      </c>
      <c r="G302" s="80" t="s">
        <v>28</v>
      </c>
      <c r="H302" s="80"/>
      <c r="I302" s="83">
        <v>43486</v>
      </c>
      <c r="J302" s="83">
        <v>43486</v>
      </c>
      <c r="K302" s="80"/>
      <c r="L302" s="84">
        <v>52.8</v>
      </c>
      <c r="M302" s="84">
        <v>52.8</v>
      </c>
      <c r="N302" s="80" t="s">
        <v>32</v>
      </c>
      <c r="O302" s="84">
        <v>44.57</v>
      </c>
      <c r="P302" s="85">
        <v>0</v>
      </c>
      <c r="Q302" s="86">
        <v>28.363172299999999</v>
      </c>
      <c r="R302" s="87">
        <v>2.4810680000000001</v>
      </c>
      <c r="S302" s="85"/>
      <c r="T302" s="85"/>
      <c r="U302" s="88">
        <f t="shared" si="28"/>
        <v>0</v>
      </c>
      <c r="V302" s="88">
        <f t="shared" si="29"/>
        <v>30.844240299999999</v>
      </c>
      <c r="W302" s="85">
        <v>0.36476779999999998</v>
      </c>
      <c r="X302" s="85">
        <f>V302+W302</f>
        <v>31.209008099999998</v>
      </c>
      <c r="Y302" s="85"/>
      <c r="Z302" s="88">
        <f t="shared" si="30"/>
        <v>31.209008099999998</v>
      </c>
      <c r="AA302" s="88">
        <f t="shared" si="31"/>
        <v>0</v>
      </c>
      <c r="AB302" s="85"/>
      <c r="AC302" s="85"/>
      <c r="AD302" s="85"/>
      <c r="AE302" s="88">
        <f t="shared" si="32"/>
        <v>31.209008099999998</v>
      </c>
      <c r="AF302" s="88">
        <f t="shared" si="33"/>
        <v>0</v>
      </c>
    </row>
    <row r="303" spans="1:32" s="89" customFormat="1" ht="46.8" hidden="1">
      <c r="A303" s="80">
        <f t="shared" si="34"/>
        <v>301</v>
      </c>
      <c r="B303" s="81" t="s">
        <v>807</v>
      </c>
      <c r="C303" s="81" t="s">
        <v>1002</v>
      </c>
      <c r="D303" s="34" t="s">
        <v>1019</v>
      </c>
      <c r="E303" s="41" t="s">
        <v>1350</v>
      </c>
      <c r="F303" s="82" t="s">
        <v>474</v>
      </c>
      <c r="G303" s="80" t="s">
        <v>28</v>
      </c>
      <c r="H303" s="80">
        <v>3</v>
      </c>
      <c r="I303" s="83">
        <v>43480</v>
      </c>
      <c r="J303" s="83">
        <v>43480</v>
      </c>
      <c r="K303" s="80" t="s">
        <v>475</v>
      </c>
      <c r="L303" s="84">
        <v>8.25</v>
      </c>
      <c r="M303" s="84">
        <v>8.09</v>
      </c>
      <c r="N303" s="80" t="s">
        <v>32</v>
      </c>
      <c r="O303" s="84">
        <v>8.25</v>
      </c>
      <c r="P303" s="85">
        <v>0</v>
      </c>
      <c r="Q303" s="86">
        <v>8.1218172000000006</v>
      </c>
      <c r="R303" s="87">
        <v>0.1225541</v>
      </c>
      <c r="S303" s="85"/>
      <c r="T303" s="85"/>
      <c r="U303" s="88">
        <f t="shared" si="28"/>
        <v>0</v>
      </c>
      <c r="V303" s="88">
        <f t="shared" si="29"/>
        <v>8.244371300000001</v>
      </c>
      <c r="W303" s="85"/>
      <c r="X303" s="85">
        <f>V303</f>
        <v>8.244371300000001</v>
      </c>
      <c r="Y303" s="85"/>
      <c r="Z303" s="88">
        <f t="shared" si="30"/>
        <v>8.244371300000001</v>
      </c>
      <c r="AA303" s="88">
        <f t="shared" si="31"/>
        <v>0</v>
      </c>
      <c r="AB303" s="85"/>
      <c r="AC303" s="85"/>
      <c r="AD303" s="85"/>
      <c r="AE303" s="88">
        <f t="shared" si="32"/>
        <v>8.244371300000001</v>
      </c>
      <c r="AF303" s="88">
        <f t="shared" si="33"/>
        <v>0</v>
      </c>
    </row>
    <row r="304" spans="1:32" s="89" customFormat="1" ht="78" hidden="1">
      <c r="A304" s="80">
        <f t="shared" si="34"/>
        <v>302</v>
      </c>
      <c r="B304" s="81" t="s">
        <v>809</v>
      </c>
      <c r="C304" s="81" t="s">
        <v>1002</v>
      </c>
      <c r="D304" s="34" t="s">
        <v>1019</v>
      </c>
      <c r="E304" s="41" t="s">
        <v>1351</v>
      </c>
      <c r="F304" s="82" t="s">
        <v>476</v>
      </c>
      <c r="G304" s="80" t="s">
        <v>28</v>
      </c>
      <c r="H304" s="80">
        <v>4</v>
      </c>
      <c r="I304" s="83">
        <v>43486</v>
      </c>
      <c r="J304" s="83">
        <v>43486</v>
      </c>
      <c r="K304" s="83" t="s">
        <v>440</v>
      </c>
      <c r="L304" s="84">
        <v>124.74</v>
      </c>
      <c r="M304" s="84">
        <v>160.4</v>
      </c>
      <c r="N304" s="80" t="s">
        <v>32</v>
      </c>
      <c r="O304" s="84">
        <v>122.39</v>
      </c>
      <c r="P304" s="85">
        <v>0</v>
      </c>
      <c r="Q304" s="86">
        <v>101.42065049999999</v>
      </c>
      <c r="R304" s="87">
        <v>2.1069106999999998</v>
      </c>
      <c r="S304" s="85"/>
      <c r="T304" s="85"/>
      <c r="U304" s="88">
        <f t="shared" si="28"/>
        <v>0</v>
      </c>
      <c r="V304" s="88">
        <f t="shared" si="29"/>
        <v>103.52756119999999</v>
      </c>
      <c r="W304" s="111">
        <f>0.1683048+0.0809764+0.0598689+1.0751034+0.1463636+0.0149872+0.0598688+0.0033934+0.0316507+0.0371384+0.0026142+0.2497259+0.0985192</f>
        <v>2.0285148999999998</v>
      </c>
      <c r="X304" s="85">
        <f>V304+W304</f>
        <v>105.5560761</v>
      </c>
      <c r="Y304" s="85"/>
      <c r="Z304" s="88">
        <f t="shared" si="30"/>
        <v>105.5560761</v>
      </c>
      <c r="AA304" s="88">
        <f t="shared" si="31"/>
        <v>0</v>
      </c>
      <c r="AB304" s="85"/>
      <c r="AC304" s="85"/>
      <c r="AD304" s="85"/>
      <c r="AE304" s="88">
        <f t="shared" si="32"/>
        <v>105.5560761</v>
      </c>
      <c r="AF304" s="88">
        <f t="shared" si="33"/>
        <v>0</v>
      </c>
    </row>
    <row r="305" spans="1:32" ht="62.4">
      <c r="A305" s="41">
        <f t="shared" si="34"/>
        <v>303</v>
      </c>
      <c r="B305" s="34" t="s">
        <v>804</v>
      </c>
      <c r="C305" s="34" t="s">
        <v>876</v>
      </c>
      <c r="D305" s="34" t="s">
        <v>1019</v>
      </c>
      <c r="E305" s="41" t="s">
        <v>1352</v>
      </c>
      <c r="F305" s="43" t="s">
        <v>477</v>
      </c>
      <c r="G305" s="41" t="s">
        <v>28</v>
      </c>
      <c r="H305" s="41"/>
      <c r="I305" s="64">
        <v>43480</v>
      </c>
      <c r="J305" s="64">
        <v>43480</v>
      </c>
      <c r="K305" s="41"/>
      <c r="L305" s="103">
        <v>12.8</v>
      </c>
      <c r="M305" s="65">
        <v>16.25</v>
      </c>
      <c r="N305" s="41" t="s">
        <v>32</v>
      </c>
      <c r="O305" s="104">
        <v>12.8</v>
      </c>
      <c r="P305" s="3">
        <v>0</v>
      </c>
      <c r="Q305" s="66">
        <v>9.0882839999999998</v>
      </c>
      <c r="R305" s="25">
        <v>0.27546150000000003</v>
      </c>
      <c r="S305" s="3">
        <f>2.8100952+4.680049+1.8699538+0.918041197913261</f>
        <v>10.278139197913262</v>
      </c>
      <c r="T305" s="3"/>
      <c r="U305" s="67">
        <f t="shared" si="28"/>
        <v>10.278139197913262</v>
      </c>
      <c r="V305" s="79">
        <f t="shared" si="29"/>
        <v>-0.91439369791326186</v>
      </c>
      <c r="W305" s="92">
        <v>9.4046000000000005E-2</v>
      </c>
      <c r="X305" s="91"/>
      <c r="Y305" s="3"/>
      <c r="Z305" s="67">
        <f t="shared" si="30"/>
        <v>10.278139197913262</v>
      </c>
      <c r="AA305" s="67">
        <f t="shared" si="31"/>
        <v>-0.8203476979132619</v>
      </c>
      <c r="AB305" s="91"/>
      <c r="AC305" s="91"/>
      <c r="AD305" s="3"/>
      <c r="AE305" s="67">
        <f t="shared" si="32"/>
        <v>10.278139197913262</v>
      </c>
      <c r="AF305" s="67">
        <f t="shared" si="33"/>
        <v>-0.8203476979132619</v>
      </c>
    </row>
    <row r="306" spans="1:32" ht="62.4">
      <c r="A306" s="41">
        <f t="shared" si="34"/>
        <v>304</v>
      </c>
      <c r="B306" s="34" t="s">
        <v>982</v>
      </c>
      <c r="C306" s="34" t="s">
        <v>876</v>
      </c>
      <c r="D306" s="34" t="s">
        <v>1019</v>
      </c>
      <c r="E306" s="41" t="s">
        <v>1353</v>
      </c>
      <c r="F306" s="43" t="s">
        <v>478</v>
      </c>
      <c r="G306" s="41" t="s">
        <v>28</v>
      </c>
      <c r="H306" s="41"/>
      <c r="I306" s="64">
        <v>43502</v>
      </c>
      <c r="J306" s="64">
        <v>43502</v>
      </c>
      <c r="K306" s="41"/>
      <c r="L306" s="103">
        <v>14.62</v>
      </c>
      <c r="M306" s="65">
        <v>14.97</v>
      </c>
      <c r="N306" s="41" t="s">
        <v>32</v>
      </c>
      <c r="O306" s="103">
        <v>9.1999999999999993</v>
      </c>
      <c r="P306" s="66">
        <v>8.59</v>
      </c>
      <c r="Q306" s="3">
        <v>0</v>
      </c>
      <c r="R306" s="3"/>
      <c r="S306" s="3"/>
      <c r="T306" s="3"/>
      <c r="U306" s="67">
        <f t="shared" si="28"/>
        <v>8.59</v>
      </c>
      <c r="V306" s="67">
        <f t="shared" si="29"/>
        <v>0</v>
      </c>
      <c r="W306" s="92">
        <f>0.1212881+0.3041579+0.0254174+0.1887216+0.125843</f>
        <v>0.765428</v>
      </c>
      <c r="X306" s="91">
        <f>W306</f>
        <v>0.765428</v>
      </c>
      <c r="Y306" s="3"/>
      <c r="Z306" s="67">
        <f t="shared" si="30"/>
        <v>9.3554279999999999</v>
      </c>
      <c r="AA306" s="67">
        <f t="shared" si="31"/>
        <v>0</v>
      </c>
      <c r="AB306" s="91"/>
      <c r="AC306" s="91"/>
      <c r="AD306" s="3"/>
      <c r="AE306" s="67">
        <f t="shared" si="32"/>
        <v>9.3554279999999999</v>
      </c>
      <c r="AF306" s="67">
        <f t="shared" si="33"/>
        <v>0</v>
      </c>
    </row>
    <row r="307" spans="1:32" s="138" customFormat="1" ht="62.4">
      <c r="A307" s="129">
        <f t="shared" si="34"/>
        <v>305</v>
      </c>
      <c r="B307" s="130" t="s">
        <v>983</v>
      </c>
      <c r="C307" s="130" t="s">
        <v>876</v>
      </c>
      <c r="D307" s="34" t="s">
        <v>1019</v>
      </c>
      <c r="E307" s="41" t="s">
        <v>1354</v>
      </c>
      <c r="F307" s="131" t="s">
        <v>482</v>
      </c>
      <c r="G307" s="129" t="s">
        <v>28</v>
      </c>
      <c r="H307" s="41"/>
      <c r="I307" s="132">
        <v>43486</v>
      </c>
      <c r="J307" s="132">
        <v>43486</v>
      </c>
      <c r="K307" s="129"/>
      <c r="L307" s="133">
        <v>65.41</v>
      </c>
      <c r="M307" s="133">
        <v>65.459999999999994</v>
      </c>
      <c r="N307" s="129" t="s">
        <v>32</v>
      </c>
      <c r="O307" s="133">
        <v>65.37</v>
      </c>
      <c r="P307" s="134">
        <v>0</v>
      </c>
      <c r="Q307" s="135">
        <v>63.634610899999998</v>
      </c>
      <c r="R307" s="136">
        <v>0.32995170000000001</v>
      </c>
      <c r="S307" s="134"/>
      <c r="T307" s="134"/>
      <c r="U307" s="137">
        <f t="shared" si="28"/>
        <v>0</v>
      </c>
      <c r="V307" s="137">
        <f t="shared" si="29"/>
        <v>63.964562600000001</v>
      </c>
      <c r="W307" s="141">
        <f>0.4270463+0.1197416</f>
        <v>0.54678789999999999</v>
      </c>
      <c r="X307" s="134">
        <f>V307+W307</f>
        <v>64.511350500000006</v>
      </c>
      <c r="Y307" s="134"/>
      <c r="Z307" s="137">
        <f t="shared" si="30"/>
        <v>64.511350500000006</v>
      </c>
      <c r="AA307" s="137">
        <f t="shared" si="31"/>
        <v>0</v>
      </c>
      <c r="AB307" s="134"/>
      <c r="AC307" s="134"/>
      <c r="AD307" s="134"/>
      <c r="AE307" s="137">
        <f t="shared" si="32"/>
        <v>64.511350500000006</v>
      </c>
      <c r="AF307" s="137">
        <f t="shared" si="33"/>
        <v>0</v>
      </c>
    </row>
    <row r="308" spans="1:32" s="89" customFormat="1" ht="93.6" hidden="1">
      <c r="A308" s="80">
        <f t="shared" si="34"/>
        <v>306</v>
      </c>
      <c r="B308" s="81" t="s">
        <v>984</v>
      </c>
      <c r="C308" s="81" t="s">
        <v>1002</v>
      </c>
      <c r="D308" s="34" t="s">
        <v>1019</v>
      </c>
      <c r="E308" s="41" t="s">
        <v>1355</v>
      </c>
      <c r="F308" s="82" t="s">
        <v>483</v>
      </c>
      <c r="G308" s="80" t="s">
        <v>28</v>
      </c>
      <c r="H308" s="80"/>
      <c r="I308" s="83">
        <v>43374</v>
      </c>
      <c r="J308" s="83">
        <v>43374</v>
      </c>
      <c r="K308" s="80"/>
      <c r="L308" s="84">
        <v>6.6</v>
      </c>
      <c r="M308" s="84">
        <v>6.6</v>
      </c>
      <c r="N308" s="80" t="s">
        <v>67</v>
      </c>
      <c r="O308" s="84">
        <v>6.6</v>
      </c>
      <c r="P308" s="85">
        <v>0</v>
      </c>
      <c r="Q308" s="85">
        <v>0</v>
      </c>
      <c r="R308" s="85"/>
      <c r="S308" s="85"/>
      <c r="T308" s="85"/>
      <c r="U308" s="88">
        <f t="shared" si="28"/>
        <v>0</v>
      </c>
      <c r="V308" s="88">
        <f t="shared" si="29"/>
        <v>0</v>
      </c>
      <c r="W308" s="85"/>
      <c r="X308" s="85">
        <f>O308</f>
        <v>6.6</v>
      </c>
      <c r="Y308" s="85"/>
      <c r="Z308" s="88">
        <f t="shared" si="30"/>
        <v>6.6</v>
      </c>
      <c r="AA308" s="88">
        <f t="shared" si="31"/>
        <v>-6.6</v>
      </c>
      <c r="AB308" s="85"/>
      <c r="AC308" s="85"/>
      <c r="AD308" s="85"/>
      <c r="AE308" s="88">
        <f t="shared" si="32"/>
        <v>6.6</v>
      </c>
      <c r="AF308" s="88">
        <f t="shared" si="33"/>
        <v>-6.6</v>
      </c>
    </row>
    <row r="309" spans="1:32" s="138" customFormat="1" ht="62.4">
      <c r="A309" s="129">
        <f t="shared" si="34"/>
        <v>307</v>
      </c>
      <c r="B309" s="130" t="s">
        <v>695</v>
      </c>
      <c r="C309" s="130" t="s">
        <v>876</v>
      </c>
      <c r="D309" s="34" t="s">
        <v>1019</v>
      </c>
      <c r="E309" s="41" t="s">
        <v>1356</v>
      </c>
      <c r="F309" s="131" t="s">
        <v>484</v>
      </c>
      <c r="G309" s="129" t="s">
        <v>28</v>
      </c>
      <c r="H309" s="41"/>
      <c r="I309" s="132">
        <v>43376</v>
      </c>
      <c r="J309" s="132">
        <v>43376</v>
      </c>
      <c r="K309" s="129"/>
      <c r="L309" s="133">
        <v>24.74</v>
      </c>
      <c r="M309" s="133">
        <v>24.74</v>
      </c>
      <c r="N309" s="129" t="s">
        <v>32</v>
      </c>
      <c r="O309" s="133">
        <v>24.63</v>
      </c>
      <c r="P309" s="134">
        <v>0</v>
      </c>
      <c r="Q309" s="135">
        <v>19.938952499999999</v>
      </c>
      <c r="R309" s="136">
        <v>3.1869941000000002</v>
      </c>
      <c r="S309" s="134">
        <f>0.2363764+19.6994427+0.9496959+0.6066425+1.1448386+0.1745958+0.2497216+0.0614997+0.483708583+0.00537513987568603</f>
        <v>23.61189692287568</v>
      </c>
      <c r="T309" s="134"/>
      <c r="U309" s="137">
        <f t="shared" si="28"/>
        <v>23.61189692287568</v>
      </c>
      <c r="V309" s="137">
        <f t="shared" si="29"/>
        <v>-0.48595032287568074</v>
      </c>
      <c r="W309" s="139">
        <f>0.3642373+0.3828272+0.2003544</f>
        <v>0.94741889999999995</v>
      </c>
      <c r="X309" s="134">
        <f>W309</f>
        <v>0.94741889999999995</v>
      </c>
      <c r="Y309" s="134"/>
      <c r="Z309" s="137">
        <f t="shared" si="30"/>
        <v>24.559315822875678</v>
      </c>
      <c r="AA309" s="137">
        <f t="shared" si="31"/>
        <v>-0.48595032287568074</v>
      </c>
      <c r="AB309" s="134"/>
      <c r="AC309" s="134"/>
      <c r="AD309" s="134"/>
      <c r="AE309" s="137">
        <f t="shared" si="32"/>
        <v>24.559315822875678</v>
      </c>
      <c r="AF309" s="137">
        <f t="shared" si="33"/>
        <v>-0.48595032287568074</v>
      </c>
    </row>
    <row r="310" spans="1:32" s="138" customFormat="1" ht="78">
      <c r="A310" s="129">
        <f t="shared" si="34"/>
        <v>308</v>
      </c>
      <c r="B310" s="130" t="s">
        <v>789</v>
      </c>
      <c r="C310" s="130" t="s">
        <v>876</v>
      </c>
      <c r="D310" s="34" t="s">
        <v>1019</v>
      </c>
      <c r="E310" s="41" t="s">
        <v>1357</v>
      </c>
      <c r="F310" s="131" t="s">
        <v>485</v>
      </c>
      <c r="G310" s="129" t="s">
        <v>28</v>
      </c>
      <c r="H310" s="41"/>
      <c r="I310" s="132">
        <v>43486</v>
      </c>
      <c r="J310" s="132">
        <v>43486</v>
      </c>
      <c r="K310" s="129"/>
      <c r="L310" s="133">
        <v>104.38</v>
      </c>
      <c r="M310" s="133">
        <v>106.63</v>
      </c>
      <c r="N310" s="129" t="s">
        <v>32</v>
      </c>
      <c r="O310" s="133">
        <v>106.25</v>
      </c>
      <c r="P310" s="134">
        <v>0</v>
      </c>
      <c r="Q310" s="135">
        <v>92.795262100000002</v>
      </c>
      <c r="R310" s="136">
        <v>11.951439199999999</v>
      </c>
      <c r="S310" s="134">
        <f>2.8107502+3.0688985+88.4499932+1.1144407+0.235195+2.8107502+1.501872+2.5526019+1.9493197+0.1520694+0.0046037+0.0972303+5.11219084309159</f>
        <v>109.85991564309163</v>
      </c>
      <c r="T310" s="134"/>
      <c r="U310" s="137">
        <f t="shared" si="28"/>
        <v>109.85991564309163</v>
      </c>
      <c r="V310" s="137">
        <f t="shared" si="29"/>
        <v>-5.1132143430916273</v>
      </c>
      <c r="W310" s="139">
        <f>0.0169105+0.1069666+0.1342712+0.0140127+0.1327339</f>
        <v>0.40489489999999995</v>
      </c>
      <c r="X310" s="134">
        <f>W310</f>
        <v>0.40489489999999995</v>
      </c>
      <c r="Y310" s="134"/>
      <c r="Z310" s="137">
        <f t="shared" si="30"/>
        <v>110.26481054309163</v>
      </c>
      <c r="AA310" s="137">
        <f t="shared" si="31"/>
        <v>-5.1132143430916273</v>
      </c>
      <c r="AB310" s="134"/>
      <c r="AC310" s="134"/>
      <c r="AD310" s="134"/>
      <c r="AE310" s="137">
        <f t="shared" si="32"/>
        <v>110.26481054309163</v>
      </c>
      <c r="AF310" s="137">
        <f t="shared" si="33"/>
        <v>-5.1132143430916273</v>
      </c>
    </row>
    <row r="311" spans="1:32" s="138" customFormat="1" ht="46.8">
      <c r="A311" s="129">
        <f t="shared" si="34"/>
        <v>309</v>
      </c>
      <c r="B311" s="130" t="s">
        <v>782</v>
      </c>
      <c r="C311" s="130" t="s">
        <v>876</v>
      </c>
      <c r="D311" s="34" t="s">
        <v>1019</v>
      </c>
      <c r="E311" s="41" t="s">
        <v>1358</v>
      </c>
      <c r="F311" s="131" t="s">
        <v>486</v>
      </c>
      <c r="G311" s="129" t="s">
        <v>28</v>
      </c>
      <c r="H311" s="41">
        <v>14</v>
      </c>
      <c r="I311" s="132">
        <v>43486</v>
      </c>
      <c r="J311" s="132">
        <v>43486</v>
      </c>
      <c r="K311" s="129" t="s">
        <v>440</v>
      </c>
      <c r="L311" s="133">
        <v>86.68</v>
      </c>
      <c r="M311" s="133">
        <v>95.86</v>
      </c>
      <c r="N311" s="129" t="s">
        <v>32</v>
      </c>
      <c r="O311" s="133">
        <v>93.58</v>
      </c>
      <c r="P311" s="134">
        <v>0</v>
      </c>
      <c r="Q311" s="135">
        <v>79.098758400000008</v>
      </c>
      <c r="R311" s="136">
        <v>7.9736760000000002</v>
      </c>
      <c r="S311" s="134">
        <f>80.2156+4.4000202+1.3126779+5.87408058397255</f>
        <v>91.802378683972535</v>
      </c>
      <c r="T311" s="134"/>
      <c r="U311" s="137">
        <f t="shared" si="28"/>
        <v>91.802378683972535</v>
      </c>
      <c r="V311" s="137">
        <f t="shared" si="29"/>
        <v>-4.7299442839725288</v>
      </c>
      <c r="W311" s="139">
        <f>0.5120011+2.8248068+0.3438556</f>
        <v>3.6806635000000001</v>
      </c>
      <c r="X311" s="134">
        <f>W311</f>
        <v>3.6806635000000001</v>
      </c>
      <c r="Y311" s="134"/>
      <c r="Z311" s="137">
        <f t="shared" si="30"/>
        <v>95.483042183972529</v>
      </c>
      <c r="AA311" s="137">
        <f t="shared" si="31"/>
        <v>-4.7299442839725288</v>
      </c>
      <c r="AB311" s="134"/>
      <c r="AC311" s="134"/>
      <c r="AD311" s="134"/>
      <c r="AE311" s="137">
        <f t="shared" si="32"/>
        <v>95.483042183972529</v>
      </c>
      <c r="AF311" s="137">
        <f t="shared" si="33"/>
        <v>-4.7299442839725288</v>
      </c>
    </row>
    <row r="312" spans="1:32" ht="78" hidden="1">
      <c r="A312" s="41">
        <f t="shared" si="34"/>
        <v>310</v>
      </c>
      <c r="B312" s="34" t="s">
        <v>985</v>
      </c>
      <c r="C312" s="34" t="s">
        <v>1002</v>
      </c>
      <c r="D312" s="34" t="s">
        <v>1019</v>
      </c>
      <c r="E312" s="41" t="s">
        <v>1359</v>
      </c>
      <c r="F312" s="43" t="s">
        <v>487</v>
      </c>
      <c r="G312" s="41" t="s">
        <v>28</v>
      </c>
      <c r="H312" s="41"/>
      <c r="I312" s="64">
        <v>43486</v>
      </c>
      <c r="J312" s="64">
        <v>43486</v>
      </c>
      <c r="K312" s="41"/>
      <c r="L312" s="103">
        <v>92.55</v>
      </c>
      <c r="M312" s="65">
        <v>92.55</v>
      </c>
      <c r="N312" s="41" t="s">
        <v>32</v>
      </c>
      <c r="O312" s="103">
        <v>92.55</v>
      </c>
      <c r="P312" s="3">
        <v>0</v>
      </c>
      <c r="Q312" s="3">
        <v>0</v>
      </c>
      <c r="R312" s="3"/>
      <c r="S312" s="3"/>
      <c r="T312" s="3"/>
      <c r="U312" s="67">
        <f t="shared" si="28"/>
        <v>0</v>
      </c>
      <c r="V312" s="67">
        <f t="shared" si="29"/>
        <v>0</v>
      </c>
      <c r="W312" s="91"/>
      <c r="X312" s="91"/>
      <c r="Y312" s="3"/>
      <c r="Z312" s="67">
        <f t="shared" si="30"/>
        <v>0</v>
      </c>
      <c r="AA312" s="67">
        <f t="shared" si="31"/>
        <v>0</v>
      </c>
      <c r="AB312" s="91"/>
      <c r="AC312" s="91"/>
      <c r="AD312" s="3"/>
      <c r="AE312" s="67">
        <f t="shared" si="32"/>
        <v>0</v>
      </c>
      <c r="AF312" s="67">
        <f t="shared" si="33"/>
        <v>0</v>
      </c>
    </row>
    <row r="313" spans="1:32" s="138" customFormat="1" ht="124.8">
      <c r="A313" s="129">
        <f t="shared" si="34"/>
        <v>311</v>
      </c>
      <c r="B313" s="130" t="s">
        <v>808</v>
      </c>
      <c r="C313" s="130" t="s">
        <v>876</v>
      </c>
      <c r="D313" s="34" t="s">
        <v>1019</v>
      </c>
      <c r="E313" s="41" t="s">
        <v>1360</v>
      </c>
      <c r="F313" s="131" t="s">
        <v>488</v>
      </c>
      <c r="G313" s="129" t="s">
        <v>28</v>
      </c>
      <c r="H313" s="41"/>
      <c r="I313" s="132">
        <v>43486</v>
      </c>
      <c r="J313" s="132">
        <v>43486</v>
      </c>
      <c r="K313" s="129" t="s">
        <v>1024</v>
      </c>
      <c r="L313" s="133">
        <v>139.13</v>
      </c>
      <c r="M313" s="133">
        <v>153.68</v>
      </c>
      <c r="N313" s="129" t="s">
        <v>32</v>
      </c>
      <c r="O313" s="133">
        <v>151.68</v>
      </c>
      <c r="P313" s="134">
        <v>0</v>
      </c>
      <c r="Q313" s="135">
        <v>147.71547519999999</v>
      </c>
      <c r="R313" s="136">
        <v>3.0921256000000001</v>
      </c>
      <c r="S313" s="134"/>
      <c r="T313" s="134"/>
      <c r="U313" s="137">
        <f t="shared" si="28"/>
        <v>0</v>
      </c>
      <c r="V313" s="137">
        <f t="shared" si="29"/>
        <v>150.80760079999999</v>
      </c>
      <c r="W313" s="134">
        <f>O313-V313</f>
        <v>0.87239920000001803</v>
      </c>
      <c r="X313" s="134">
        <f>V313+W313</f>
        <v>151.68</v>
      </c>
      <c r="Y313" s="134"/>
      <c r="Z313" s="137">
        <f t="shared" si="30"/>
        <v>151.68</v>
      </c>
      <c r="AA313" s="137">
        <f t="shared" si="31"/>
        <v>0</v>
      </c>
      <c r="AB313" s="134"/>
      <c r="AC313" s="134"/>
      <c r="AD313" s="134"/>
      <c r="AE313" s="137">
        <f t="shared" si="32"/>
        <v>151.68</v>
      </c>
      <c r="AF313" s="137">
        <f t="shared" si="33"/>
        <v>0</v>
      </c>
    </row>
    <row r="314" spans="1:32" s="89" customFormat="1" ht="78" hidden="1">
      <c r="A314" s="80">
        <f t="shared" si="34"/>
        <v>312</v>
      </c>
      <c r="B314" s="81" t="s">
        <v>792</v>
      </c>
      <c r="C314" s="81" t="s">
        <v>1002</v>
      </c>
      <c r="D314" s="34" t="s">
        <v>1019</v>
      </c>
      <c r="E314" s="41" t="s">
        <v>1361</v>
      </c>
      <c r="F314" s="82" t="s">
        <v>489</v>
      </c>
      <c r="G314" s="80" t="s">
        <v>28</v>
      </c>
      <c r="H314" s="80"/>
      <c r="I314" s="83">
        <v>43486</v>
      </c>
      <c r="J314" s="83">
        <v>43486</v>
      </c>
      <c r="K314" s="80"/>
      <c r="L314" s="84">
        <v>148.62</v>
      </c>
      <c r="M314" s="84">
        <v>167.45</v>
      </c>
      <c r="N314" s="80" t="s">
        <v>32</v>
      </c>
      <c r="O314" s="84">
        <v>148.62</v>
      </c>
      <c r="P314" s="85">
        <v>0</v>
      </c>
      <c r="Q314" s="86">
        <v>61.872316299999994</v>
      </c>
      <c r="R314" s="87">
        <v>24.3879485</v>
      </c>
      <c r="S314" s="85"/>
      <c r="T314" s="85"/>
      <c r="U314" s="88">
        <f t="shared" si="28"/>
        <v>0</v>
      </c>
      <c r="V314" s="88">
        <f t="shared" si="29"/>
        <v>86.260264799999987</v>
      </c>
      <c r="W314" s="111">
        <f>2.9172124+5.1662078+3.0429745+2.8084593+0.9901748</f>
        <v>14.925028799999998</v>
      </c>
      <c r="X314" s="85"/>
      <c r="Y314" s="85"/>
      <c r="Z314" s="88">
        <f t="shared" si="30"/>
        <v>0</v>
      </c>
      <c r="AA314" s="88">
        <f t="shared" si="31"/>
        <v>101.18529359999998</v>
      </c>
      <c r="AB314" s="85"/>
      <c r="AC314" s="85">
        <f>AA314</f>
        <v>101.18529359999998</v>
      </c>
      <c r="AD314" s="85"/>
      <c r="AE314" s="88">
        <f t="shared" si="32"/>
        <v>101.18529359999998</v>
      </c>
      <c r="AF314" s="88">
        <f t="shared" si="33"/>
        <v>0</v>
      </c>
    </row>
    <row r="315" spans="1:32" s="89" customFormat="1" ht="62.4" hidden="1">
      <c r="A315" s="80">
        <f t="shared" si="34"/>
        <v>313</v>
      </c>
      <c r="B315" s="81" t="s">
        <v>986</v>
      </c>
      <c r="C315" s="81" t="s">
        <v>1002</v>
      </c>
      <c r="D315" s="34" t="s">
        <v>1019</v>
      </c>
      <c r="E315" s="41" t="s">
        <v>1362</v>
      </c>
      <c r="F315" s="82" t="s">
        <v>490</v>
      </c>
      <c r="G315" s="80" t="s">
        <v>28</v>
      </c>
      <c r="H315" s="80">
        <v>7</v>
      </c>
      <c r="I315" s="80" t="s">
        <v>491</v>
      </c>
      <c r="J315" s="80" t="s">
        <v>491</v>
      </c>
      <c r="K315" s="80" t="s">
        <v>492</v>
      </c>
      <c r="L315" s="84">
        <v>250.51</v>
      </c>
      <c r="M315" s="84">
        <v>250.51</v>
      </c>
      <c r="N315" s="80" t="s">
        <v>32</v>
      </c>
      <c r="O315" s="84">
        <v>219.66</v>
      </c>
      <c r="P315" s="85">
        <v>0</v>
      </c>
      <c r="Q315" s="86">
        <v>19.722967300000001</v>
      </c>
      <c r="R315" s="87">
        <v>142.1317109</v>
      </c>
      <c r="S315" s="85"/>
      <c r="T315" s="85"/>
      <c r="U315" s="88">
        <f t="shared" si="28"/>
        <v>0</v>
      </c>
      <c r="V315" s="88">
        <f t="shared" si="29"/>
        <v>161.8546782</v>
      </c>
      <c r="W315" s="114">
        <f>7.7233215+4.0325506+0.6229137+3.5999305+3.4095275+5.3721491+1.0460105+2.6726639</f>
        <v>28.479067300000001</v>
      </c>
      <c r="X315" s="85"/>
      <c r="Y315" s="85"/>
      <c r="Z315" s="88">
        <f t="shared" si="30"/>
        <v>0</v>
      </c>
      <c r="AA315" s="88">
        <f t="shared" si="31"/>
        <v>190.33374549999999</v>
      </c>
      <c r="AB315" s="85"/>
      <c r="AC315" s="85">
        <f>AA315</f>
        <v>190.33374549999999</v>
      </c>
      <c r="AD315" s="85"/>
      <c r="AE315" s="88">
        <f t="shared" si="32"/>
        <v>190.33374549999999</v>
      </c>
      <c r="AF315" s="88">
        <f t="shared" si="33"/>
        <v>0</v>
      </c>
    </row>
    <row r="316" spans="1:32" s="138" customFormat="1" ht="124.8">
      <c r="A316" s="129">
        <f t="shared" si="34"/>
        <v>314</v>
      </c>
      <c r="B316" s="130" t="s">
        <v>800</v>
      </c>
      <c r="C316" s="130" t="s">
        <v>876</v>
      </c>
      <c r="D316" s="34" t="s">
        <v>1019</v>
      </c>
      <c r="E316" s="41" t="s">
        <v>1363</v>
      </c>
      <c r="F316" s="131" t="s">
        <v>493</v>
      </c>
      <c r="G316" s="129" t="s">
        <v>28</v>
      </c>
      <c r="H316" s="41"/>
      <c r="I316" s="132">
        <v>43486</v>
      </c>
      <c r="J316" s="132">
        <v>43486</v>
      </c>
      <c r="K316" s="129" t="s">
        <v>440</v>
      </c>
      <c r="L316" s="133">
        <v>188.85</v>
      </c>
      <c r="M316" s="133">
        <v>200.62</v>
      </c>
      <c r="N316" s="129" t="s">
        <v>32</v>
      </c>
      <c r="O316" s="133">
        <v>174.98</v>
      </c>
      <c r="P316" s="134">
        <v>0</v>
      </c>
      <c r="Q316" s="135">
        <v>131.094245</v>
      </c>
      <c r="R316" s="136">
        <v>40.076923200000003</v>
      </c>
      <c r="S316" s="134"/>
      <c r="T316" s="134"/>
      <c r="U316" s="137">
        <f t="shared" si="28"/>
        <v>0</v>
      </c>
      <c r="V316" s="137">
        <f t="shared" si="29"/>
        <v>171.17116820000001</v>
      </c>
      <c r="W316" s="141">
        <f>O316-V316</f>
        <v>3.8088317999999788</v>
      </c>
      <c r="X316" s="134">
        <f>V316+W316</f>
        <v>174.98</v>
      </c>
      <c r="Y316" s="134"/>
      <c r="Z316" s="137">
        <f t="shared" si="30"/>
        <v>174.98</v>
      </c>
      <c r="AA316" s="137">
        <f t="shared" si="31"/>
        <v>0</v>
      </c>
      <c r="AB316" s="134"/>
      <c r="AC316" s="134"/>
      <c r="AD316" s="134"/>
      <c r="AE316" s="137">
        <f t="shared" si="32"/>
        <v>174.98</v>
      </c>
      <c r="AF316" s="137">
        <f t="shared" si="33"/>
        <v>0</v>
      </c>
    </row>
    <row r="317" spans="1:32" s="89" customFormat="1" ht="46.8" hidden="1">
      <c r="A317" s="80">
        <f t="shared" si="34"/>
        <v>315</v>
      </c>
      <c r="B317" s="81" t="s">
        <v>733</v>
      </c>
      <c r="C317" s="81" t="s">
        <v>1002</v>
      </c>
      <c r="D317" s="34" t="s">
        <v>1019</v>
      </c>
      <c r="E317" s="41" t="s">
        <v>1364</v>
      </c>
      <c r="F317" s="82" t="s">
        <v>494</v>
      </c>
      <c r="G317" s="80" t="s">
        <v>28</v>
      </c>
      <c r="H317" s="80">
        <v>5</v>
      </c>
      <c r="I317" s="83">
        <v>43521</v>
      </c>
      <c r="J317" s="83">
        <v>43521</v>
      </c>
      <c r="K317" s="83" t="s">
        <v>495</v>
      </c>
      <c r="L317" s="84">
        <v>8.4499999999999993</v>
      </c>
      <c r="M317" s="80">
        <v>10.66</v>
      </c>
      <c r="N317" s="80" t="s">
        <v>32</v>
      </c>
      <c r="O317" s="84">
        <v>9.4600000000000009</v>
      </c>
      <c r="P317" s="85">
        <v>0</v>
      </c>
      <c r="Q317" s="86">
        <v>9.3834699000000015</v>
      </c>
      <c r="R317" s="112"/>
      <c r="S317" s="85"/>
      <c r="T317" s="85"/>
      <c r="U317" s="88">
        <f t="shared" si="28"/>
        <v>0</v>
      </c>
      <c r="V317" s="88">
        <f t="shared" si="29"/>
        <v>9.3834699000000015</v>
      </c>
      <c r="W317" s="85"/>
      <c r="X317" s="88">
        <f>V317</f>
        <v>9.3834699000000015</v>
      </c>
      <c r="Y317" s="85"/>
      <c r="Z317" s="88">
        <f t="shared" si="30"/>
        <v>9.3834699000000015</v>
      </c>
      <c r="AA317" s="88">
        <f t="shared" si="31"/>
        <v>0</v>
      </c>
      <c r="AB317" s="85"/>
      <c r="AC317" s="85"/>
      <c r="AD317" s="85"/>
      <c r="AE317" s="88">
        <f t="shared" si="32"/>
        <v>9.3834699000000015</v>
      </c>
      <c r="AF317" s="88">
        <f t="shared" si="33"/>
        <v>0</v>
      </c>
    </row>
    <row r="318" spans="1:32" s="89" customFormat="1" ht="46.8" hidden="1">
      <c r="A318" s="80">
        <f t="shared" si="34"/>
        <v>316</v>
      </c>
      <c r="B318" s="81" t="s">
        <v>734</v>
      </c>
      <c r="C318" s="81" t="s">
        <v>1002</v>
      </c>
      <c r="D318" s="41" t="s">
        <v>1019</v>
      </c>
      <c r="E318" s="41" t="s">
        <v>1365</v>
      </c>
      <c r="F318" s="82" t="s">
        <v>496</v>
      </c>
      <c r="G318" s="80" t="s">
        <v>28</v>
      </c>
      <c r="H318" s="80">
        <v>6</v>
      </c>
      <c r="I318" s="83">
        <v>43521</v>
      </c>
      <c r="J318" s="83">
        <v>43521</v>
      </c>
      <c r="K318" s="83" t="s">
        <v>495</v>
      </c>
      <c r="L318" s="84">
        <v>7.22</v>
      </c>
      <c r="M318" s="80">
        <v>7.99</v>
      </c>
      <c r="N318" s="80" t="s">
        <v>32</v>
      </c>
      <c r="O318" s="84">
        <v>5.96</v>
      </c>
      <c r="P318" s="85">
        <v>0</v>
      </c>
      <c r="Q318" s="86">
        <v>4.9405463000000003</v>
      </c>
      <c r="R318" s="112"/>
      <c r="S318" s="85"/>
      <c r="T318" s="85"/>
      <c r="U318" s="88">
        <f t="shared" si="28"/>
        <v>0</v>
      </c>
      <c r="V318" s="88">
        <f t="shared" si="29"/>
        <v>4.9405463000000003</v>
      </c>
      <c r="W318" s="85"/>
      <c r="X318" s="85">
        <f>V318</f>
        <v>4.9405463000000003</v>
      </c>
      <c r="Y318" s="85"/>
      <c r="Z318" s="88">
        <f t="shared" si="30"/>
        <v>4.9405463000000003</v>
      </c>
      <c r="AA318" s="88">
        <f t="shared" si="31"/>
        <v>0</v>
      </c>
      <c r="AB318" s="85"/>
      <c r="AC318" s="85"/>
      <c r="AD318" s="85"/>
      <c r="AE318" s="88">
        <f t="shared" si="32"/>
        <v>4.9405463000000003</v>
      </c>
      <c r="AF318" s="88">
        <f t="shared" si="33"/>
        <v>0</v>
      </c>
    </row>
    <row r="319" spans="1:32" ht="93.6" hidden="1">
      <c r="A319" s="41">
        <f t="shared" si="34"/>
        <v>317</v>
      </c>
      <c r="B319" s="34" t="s">
        <v>987</v>
      </c>
      <c r="C319" s="34" t="s">
        <v>1002</v>
      </c>
      <c r="D319" s="41" t="s">
        <v>1019</v>
      </c>
      <c r="E319" s="41" t="s">
        <v>1366</v>
      </c>
      <c r="F319" s="43" t="s">
        <v>497</v>
      </c>
      <c r="G319" s="41" t="s">
        <v>28</v>
      </c>
      <c r="H319" s="41">
        <v>3</v>
      </c>
      <c r="I319" s="64">
        <v>43521</v>
      </c>
      <c r="J319" s="64">
        <v>43521</v>
      </c>
      <c r="K319" s="64" t="s">
        <v>498</v>
      </c>
      <c r="L319" s="103">
        <v>18.95</v>
      </c>
      <c r="M319" s="41">
        <v>18.38</v>
      </c>
      <c r="N319" s="41" t="s">
        <v>32</v>
      </c>
      <c r="O319" s="103">
        <v>18.239999999999998</v>
      </c>
      <c r="P319" s="66">
        <v>18.37</v>
      </c>
      <c r="Q319" s="3">
        <v>0</v>
      </c>
      <c r="R319" s="3"/>
      <c r="S319" s="3"/>
      <c r="T319" s="3"/>
      <c r="U319" s="67">
        <f t="shared" si="28"/>
        <v>18.37</v>
      </c>
      <c r="V319" s="67">
        <f t="shared" si="29"/>
        <v>0</v>
      </c>
      <c r="W319" s="91"/>
      <c r="X319" s="91"/>
      <c r="Y319" s="3"/>
      <c r="Z319" s="67">
        <f t="shared" si="30"/>
        <v>18.37</v>
      </c>
      <c r="AA319" s="67">
        <f t="shared" si="31"/>
        <v>0</v>
      </c>
      <c r="AB319" s="91"/>
      <c r="AC319" s="91"/>
      <c r="AD319" s="3"/>
      <c r="AE319" s="67">
        <f t="shared" si="32"/>
        <v>18.37</v>
      </c>
      <c r="AF319" s="67">
        <f t="shared" si="33"/>
        <v>0</v>
      </c>
    </row>
    <row r="320" spans="1:32" ht="93.6" hidden="1">
      <c r="A320" s="41">
        <f t="shared" si="34"/>
        <v>318</v>
      </c>
      <c r="B320" s="34" t="s">
        <v>988</v>
      </c>
      <c r="C320" s="34" t="s">
        <v>1002</v>
      </c>
      <c r="D320" s="41" t="s">
        <v>1019</v>
      </c>
      <c r="E320" s="41" t="s">
        <v>1367</v>
      </c>
      <c r="F320" s="43" t="s">
        <v>499</v>
      </c>
      <c r="G320" s="41" t="s">
        <v>28</v>
      </c>
      <c r="H320" s="41">
        <v>4</v>
      </c>
      <c r="I320" s="64">
        <v>43521</v>
      </c>
      <c r="J320" s="64">
        <v>43521</v>
      </c>
      <c r="K320" s="64" t="s">
        <v>498</v>
      </c>
      <c r="L320" s="107">
        <v>17.09</v>
      </c>
      <c r="M320" s="41">
        <v>18.38</v>
      </c>
      <c r="N320" s="41" t="s">
        <v>32</v>
      </c>
      <c r="O320" s="104">
        <v>17.100000000000001</v>
      </c>
      <c r="P320" s="66">
        <v>16.45</v>
      </c>
      <c r="Q320" s="3">
        <v>0</v>
      </c>
      <c r="R320" s="25">
        <v>0.13618849999999999</v>
      </c>
      <c r="S320" s="3">
        <f>0.0124961+0.0118+0.0382314+0.054781+0.01888</f>
        <v>0.13618850000000002</v>
      </c>
      <c r="T320" s="3"/>
      <c r="U320" s="67">
        <f t="shared" si="28"/>
        <v>16.586188499999999</v>
      </c>
      <c r="V320" s="79">
        <f t="shared" si="29"/>
        <v>-2.7755575615628914E-17</v>
      </c>
      <c r="W320" s="91"/>
      <c r="X320" s="91"/>
      <c r="Y320" s="3"/>
      <c r="Z320" s="67">
        <f t="shared" si="30"/>
        <v>16.586188499999999</v>
      </c>
      <c r="AA320" s="67">
        <f t="shared" si="31"/>
        <v>-2.7755575615628914E-17</v>
      </c>
      <c r="AB320" s="91"/>
      <c r="AC320" s="91"/>
      <c r="AD320" s="3"/>
      <c r="AE320" s="67">
        <f t="shared" si="32"/>
        <v>16.586188499999999</v>
      </c>
      <c r="AF320" s="67">
        <f t="shared" si="33"/>
        <v>-2.7755575615628914E-17</v>
      </c>
    </row>
    <row r="321" spans="1:32" s="89" customFormat="1" ht="62.4" hidden="1">
      <c r="A321" s="80">
        <f t="shared" si="34"/>
        <v>319</v>
      </c>
      <c r="B321" s="81" t="s">
        <v>735</v>
      </c>
      <c r="C321" s="81" t="s">
        <v>1002</v>
      </c>
      <c r="D321" s="34" t="s">
        <v>1020</v>
      </c>
      <c r="E321" s="41" t="s">
        <v>1368</v>
      </c>
      <c r="F321" s="82" t="s">
        <v>500</v>
      </c>
      <c r="G321" s="80"/>
      <c r="H321" s="80"/>
      <c r="I321" s="80"/>
      <c r="J321" s="80"/>
      <c r="K321" s="80"/>
      <c r="L321" s="84">
        <v>41.59</v>
      </c>
      <c r="M321" s="85">
        <v>0</v>
      </c>
      <c r="N321" s="80" t="s">
        <v>32</v>
      </c>
      <c r="O321" s="84">
        <v>41.58</v>
      </c>
      <c r="P321" s="85">
        <v>0</v>
      </c>
      <c r="Q321" s="85">
        <v>28.372726199999999</v>
      </c>
      <c r="R321" s="87">
        <v>6.9375141999999999</v>
      </c>
      <c r="S321" s="85"/>
      <c r="T321" s="85"/>
      <c r="U321" s="88">
        <f t="shared" si="28"/>
        <v>0</v>
      </c>
      <c r="V321" s="88">
        <f t="shared" si="29"/>
        <v>35.310240399999998</v>
      </c>
      <c r="W321" s="111">
        <f>0.498629+0.0745574</f>
        <v>0.57318639999999998</v>
      </c>
      <c r="X321" s="85">
        <f>V321+W321</f>
        <v>35.883426799999995</v>
      </c>
      <c r="Y321" s="85"/>
      <c r="Z321" s="88">
        <f t="shared" si="30"/>
        <v>35.883426799999995</v>
      </c>
      <c r="AA321" s="88">
        <f t="shared" si="31"/>
        <v>0</v>
      </c>
      <c r="AB321" s="85"/>
      <c r="AC321" s="85"/>
      <c r="AD321" s="85"/>
      <c r="AE321" s="88">
        <f t="shared" si="32"/>
        <v>35.883426799999995</v>
      </c>
      <c r="AF321" s="88">
        <f t="shared" si="33"/>
        <v>0</v>
      </c>
    </row>
    <row r="322" spans="1:32" s="89" customFormat="1" ht="46.8" hidden="1">
      <c r="A322" s="80">
        <f t="shared" si="34"/>
        <v>320</v>
      </c>
      <c r="B322" s="81" t="s">
        <v>692</v>
      </c>
      <c r="C322" s="81" t="s">
        <v>1002</v>
      </c>
      <c r="D322" s="34" t="s">
        <v>1020</v>
      </c>
      <c r="E322" s="41" t="s">
        <v>1369</v>
      </c>
      <c r="F322" s="82" t="s">
        <v>501</v>
      </c>
      <c r="G322" s="80"/>
      <c r="H322" s="80"/>
      <c r="I322" s="80"/>
      <c r="J322" s="80"/>
      <c r="K322" s="80"/>
      <c r="L322" s="84">
        <v>22.26</v>
      </c>
      <c r="M322" s="85">
        <v>0</v>
      </c>
      <c r="N322" s="80" t="s">
        <v>32</v>
      </c>
      <c r="O322" s="84">
        <v>22.26</v>
      </c>
      <c r="P322" s="85">
        <v>0</v>
      </c>
      <c r="Q322" s="85">
        <v>19.0347142</v>
      </c>
      <c r="R322" s="87">
        <v>1.5394441999999999</v>
      </c>
      <c r="S322" s="85"/>
      <c r="T322" s="85"/>
      <c r="U322" s="88">
        <f t="shared" si="28"/>
        <v>0</v>
      </c>
      <c r="V322" s="88">
        <f t="shared" si="29"/>
        <v>20.574158399999998</v>
      </c>
      <c r="W322" s="111">
        <f>0.3305202+0.6550246+0.0498038+0.1821296</f>
        <v>1.2174782</v>
      </c>
      <c r="X322" s="85">
        <f>V322+W322</f>
        <v>21.791636599999997</v>
      </c>
      <c r="Y322" s="85"/>
      <c r="Z322" s="88">
        <f t="shared" si="30"/>
        <v>21.791636599999997</v>
      </c>
      <c r="AA322" s="88">
        <f t="shared" si="31"/>
        <v>0</v>
      </c>
      <c r="AB322" s="85"/>
      <c r="AC322" s="85"/>
      <c r="AD322" s="85"/>
      <c r="AE322" s="88">
        <f t="shared" si="32"/>
        <v>21.791636599999997</v>
      </c>
      <c r="AF322" s="88">
        <f t="shared" si="33"/>
        <v>0</v>
      </c>
    </row>
    <row r="323" spans="1:32" s="138" customFormat="1" ht="78">
      <c r="A323" s="129">
        <f t="shared" si="34"/>
        <v>321</v>
      </c>
      <c r="B323" s="130" t="s">
        <v>708</v>
      </c>
      <c r="C323" s="130" t="s">
        <v>876</v>
      </c>
      <c r="D323" s="41" t="s">
        <v>1019</v>
      </c>
      <c r="E323" s="41" t="s">
        <v>1370</v>
      </c>
      <c r="F323" s="131" t="s">
        <v>502</v>
      </c>
      <c r="G323" s="129" t="s">
        <v>28</v>
      </c>
      <c r="H323" s="41"/>
      <c r="I323" s="129" t="s">
        <v>1025</v>
      </c>
      <c r="J323" s="129" t="s">
        <v>1025</v>
      </c>
      <c r="K323" s="129" t="s">
        <v>1026</v>
      </c>
      <c r="L323" s="134">
        <v>41.51</v>
      </c>
      <c r="M323" s="133">
        <v>46.95</v>
      </c>
      <c r="N323" s="129" t="s">
        <v>32</v>
      </c>
      <c r="O323" s="133">
        <v>38.049999999999997</v>
      </c>
      <c r="P323" s="134">
        <v>0</v>
      </c>
      <c r="Q323" s="135">
        <v>1.8141084000000001</v>
      </c>
      <c r="R323" s="136">
        <v>0.92939950000000005</v>
      </c>
      <c r="S323" s="134"/>
      <c r="T323" s="134"/>
      <c r="U323" s="137">
        <f t="shared" si="28"/>
        <v>0</v>
      </c>
      <c r="V323" s="137">
        <f t="shared" si="29"/>
        <v>2.7435079</v>
      </c>
      <c r="W323" s="141">
        <v>20.149999999999999</v>
      </c>
      <c r="X323" s="134"/>
      <c r="Y323" s="134"/>
      <c r="Z323" s="137">
        <f t="shared" si="30"/>
        <v>0</v>
      </c>
      <c r="AA323" s="137">
        <f t="shared" si="31"/>
        <v>22.893507899999999</v>
      </c>
      <c r="AB323" s="134">
        <f>O323-AA323</f>
        <v>15.156492099999998</v>
      </c>
      <c r="AC323" s="134">
        <f>AA323+AB323</f>
        <v>38.049999999999997</v>
      </c>
      <c r="AD323" s="134"/>
      <c r="AE323" s="137">
        <f t="shared" si="32"/>
        <v>38.049999999999997</v>
      </c>
      <c r="AF323" s="137">
        <f t="shared" si="33"/>
        <v>0</v>
      </c>
    </row>
    <row r="324" spans="1:32" s="138" customFormat="1" ht="93.6">
      <c r="A324" s="129">
        <f t="shared" si="34"/>
        <v>322</v>
      </c>
      <c r="B324" s="130" t="s">
        <v>715</v>
      </c>
      <c r="C324" s="130" t="s">
        <v>876</v>
      </c>
      <c r="D324" s="41" t="s">
        <v>1019</v>
      </c>
      <c r="E324" s="41" t="s">
        <v>1371</v>
      </c>
      <c r="F324" s="131" t="s">
        <v>503</v>
      </c>
      <c r="G324" s="129" t="s">
        <v>28</v>
      </c>
      <c r="H324" s="41"/>
      <c r="I324" s="132">
        <v>43486</v>
      </c>
      <c r="J324" s="132">
        <v>43486</v>
      </c>
      <c r="K324" s="129" t="s">
        <v>462</v>
      </c>
      <c r="L324" s="133">
        <v>42.19</v>
      </c>
      <c r="M324" s="134">
        <v>0</v>
      </c>
      <c r="N324" s="129" t="s">
        <v>32</v>
      </c>
      <c r="O324" s="133">
        <v>43.33</v>
      </c>
      <c r="P324" s="134">
        <v>0</v>
      </c>
      <c r="Q324" s="135">
        <v>42.076418000000004</v>
      </c>
      <c r="R324" s="136">
        <v>7.1165800000000001E-2</v>
      </c>
      <c r="S324" s="134"/>
      <c r="T324" s="134"/>
      <c r="U324" s="137">
        <f t="shared" ref="U324:U387" si="36">P324+S324+T324</f>
        <v>0</v>
      </c>
      <c r="V324" s="137">
        <f t="shared" ref="V324:V387" si="37">Q324+R324-S324-T324</f>
        <v>42.147583800000007</v>
      </c>
      <c r="W324" s="139">
        <v>0.66047730000000004</v>
      </c>
      <c r="X324" s="134">
        <f>V324+W324</f>
        <v>42.808061100000003</v>
      </c>
      <c r="Y324" s="134"/>
      <c r="Z324" s="137">
        <f t="shared" ref="Z324:Z387" si="38">U324+X324+Y324</f>
        <v>42.808061100000003</v>
      </c>
      <c r="AA324" s="137">
        <f t="shared" ref="AA324:AA387" si="39">V324+W324-X324-Y324</f>
        <v>0</v>
      </c>
      <c r="AB324" s="134"/>
      <c r="AC324" s="134"/>
      <c r="AD324" s="134"/>
      <c r="AE324" s="137">
        <f t="shared" ref="AE324:AE387" si="40">Z324+AC324+AD324</f>
        <v>42.808061100000003</v>
      </c>
      <c r="AF324" s="137">
        <f t="shared" ref="AF324:AF387" si="41">AA324+AB324-AC324-AD324</f>
        <v>0</v>
      </c>
    </row>
    <row r="325" spans="1:32" s="138" customFormat="1" ht="62.4">
      <c r="A325" s="129">
        <f t="shared" ref="A325:A388" si="42">A324+1</f>
        <v>323</v>
      </c>
      <c r="B325" s="130" t="s">
        <v>740</v>
      </c>
      <c r="C325" s="130" t="s">
        <v>876</v>
      </c>
      <c r="D325" s="41" t="s">
        <v>1019</v>
      </c>
      <c r="E325" s="41" t="s">
        <v>1372</v>
      </c>
      <c r="F325" s="131" t="s">
        <v>504</v>
      </c>
      <c r="G325" s="129" t="s">
        <v>28</v>
      </c>
      <c r="H325" s="41"/>
      <c r="I325" s="129" t="s">
        <v>1027</v>
      </c>
      <c r="J325" s="129" t="s">
        <v>1027</v>
      </c>
      <c r="K325" s="129" t="s">
        <v>1028</v>
      </c>
      <c r="L325" s="133">
        <v>58.27</v>
      </c>
      <c r="M325" s="134">
        <v>0</v>
      </c>
      <c r="N325" s="129" t="s">
        <v>32</v>
      </c>
      <c r="O325" s="133">
        <v>58.27</v>
      </c>
      <c r="P325" s="134">
        <v>0</v>
      </c>
      <c r="Q325" s="135">
        <v>18.7390984</v>
      </c>
      <c r="R325" s="136">
        <v>6.0238098000000004</v>
      </c>
      <c r="S325" s="134"/>
      <c r="T325" s="134"/>
      <c r="U325" s="137">
        <f t="shared" si="36"/>
        <v>0</v>
      </c>
      <c r="V325" s="137">
        <f t="shared" si="37"/>
        <v>24.762908199999998</v>
      </c>
      <c r="W325" s="139">
        <f>O325-V325</f>
        <v>33.507091800000005</v>
      </c>
      <c r="X325" s="134">
        <f>V325+W325</f>
        <v>58.27</v>
      </c>
      <c r="Y325" s="134"/>
      <c r="Z325" s="137">
        <f t="shared" si="38"/>
        <v>58.27</v>
      </c>
      <c r="AA325" s="137">
        <f t="shared" si="39"/>
        <v>0</v>
      </c>
      <c r="AB325" s="134"/>
      <c r="AC325" s="134"/>
      <c r="AD325" s="134"/>
      <c r="AE325" s="137">
        <f t="shared" si="40"/>
        <v>58.27</v>
      </c>
      <c r="AF325" s="137">
        <f t="shared" si="41"/>
        <v>0</v>
      </c>
    </row>
    <row r="326" spans="1:32" s="138" customFormat="1" ht="124.8">
      <c r="A326" s="129">
        <f t="shared" si="42"/>
        <v>324</v>
      </c>
      <c r="B326" s="130" t="s">
        <v>746</v>
      </c>
      <c r="C326" s="130" t="s">
        <v>876</v>
      </c>
      <c r="D326" s="41" t="s">
        <v>1019</v>
      </c>
      <c r="E326" s="41" t="s">
        <v>1373</v>
      </c>
      <c r="F326" s="131" t="s">
        <v>505</v>
      </c>
      <c r="G326" s="129"/>
      <c r="H326" s="41"/>
      <c r="I326" s="129" t="s">
        <v>1029</v>
      </c>
      <c r="J326" s="129" t="s">
        <v>1029</v>
      </c>
      <c r="K326" s="129" t="s">
        <v>1030</v>
      </c>
      <c r="L326" s="133">
        <v>68.59</v>
      </c>
      <c r="M326" s="134">
        <v>0</v>
      </c>
      <c r="N326" s="129" t="s">
        <v>32</v>
      </c>
      <c r="O326" s="133">
        <v>68.59</v>
      </c>
      <c r="P326" s="134">
        <v>0</v>
      </c>
      <c r="Q326" s="135">
        <v>63.574730799999998</v>
      </c>
      <c r="R326" s="136">
        <v>6.5392735999999996</v>
      </c>
      <c r="S326" s="134"/>
      <c r="T326" s="134"/>
      <c r="U326" s="137">
        <f t="shared" si="36"/>
        <v>0</v>
      </c>
      <c r="V326" s="137">
        <f t="shared" si="37"/>
        <v>70.114004399999999</v>
      </c>
      <c r="W326" s="139">
        <f>1.5803674+0.5530896+1.2749659+1.1369107</f>
        <v>4.5453335999999993</v>
      </c>
      <c r="X326" s="134">
        <f>V326+W326</f>
        <v>74.659337999999991</v>
      </c>
      <c r="Y326" s="134"/>
      <c r="Z326" s="137">
        <f t="shared" si="38"/>
        <v>74.659337999999991</v>
      </c>
      <c r="AA326" s="137">
        <f t="shared" si="39"/>
        <v>0</v>
      </c>
      <c r="AB326" s="134"/>
      <c r="AC326" s="134"/>
      <c r="AD326" s="134"/>
      <c r="AE326" s="137">
        <f t="shared" si="40"/>
        <v>74.659337999999991</v>
      </c>
      <c r="AF326" s="137">
        <f t="shared" si="41"/>
        <v>0</v>
      </c>
    </row>
    <row r="327" spans="1:32" s="138" customFormat="1" ht="78">
      <c r="A327" s="129">
        <f t="shared" si="42"/>
        <v>325</v>
      </c>
      <c r="B327" s="130" t="s">
        <v>824</v>
      </c>
      <c r="C327" s="130" t="s">
        <v>876</v>
      </c>
      <c r="D327" s="34" t="s">
        <v>1019</v>
      </c>
      <c r="E327" s="41" t="s">
        <v>1374</v>
      </c>
      <c r="F327" s="131" t="s">
        <v>506</v>
      </c>
      <c r="G327" s="129" t="s">
        <v>28</v>
      </c>
      <c r="H327" s="41"/>
      <c r="I327" s="129" t="s">
        <v>1031</v>
      </c>
      <c r="J327" s="129" t="s">
        <v>1031</v>
      </c>
      <c r="K327" s="129" t="s">
        <v>1032</v>
      </c>
      <c r="L327" s="133">
        <v>25.21</v>
      </c>
      <c r="M327" s="134">
        <v>0</v>
      </c>
      <c r="N327" s="129" t="s">
        <v>67</v>
      </c>
      <c r="O327" s="133">
        <v>25.21</v>
      </c>
      <c r="P327" s="134">
        <v>0</v>
      </c>
      <c r="Q327" s="134">
        <v>0</v>
      </c>
      <c r="R327" s="136">
        <v>13.0311872</v>
      </c>
      <c r="S327" s="134"/>
      <c r="T327" s="134"/>
      <c r="U327" s="137">
        <f t="shared" si="36"/>
        <v>0</v>
      </c>
      <c r="V327" s="137">
        <f t="shared" si="37"/>
        <v>13.0311872</v>
      </c>
      <c r="W327" s="139">
        <f>O327-V327</f>
        <v>12.178812800000001</v>
      </c>
      <c r="X327" s="134">
        <f>V327+W327</f>
        <v>25.21</v>
      </c>
      <c r="Y327" s="134"/>
      <c r="Z327" s="137">
        <f t="shared" si="38"/>
        <v>25.21</v>
      </c>
      <c r="AA327" s="137">
        <f t="shared" si="39"/>
        <v>0</v>
      </c>
      <c r="AB327" s="134"/>
      <c r="AC327" s="134"/>
      <c r="AD327" s="134"/>
      <c r="AE327" s="137">
        <f t="shared" si="40"/>
        <v>25.21</v>
      </c>
      <c r="AF327" s="137">
        <f t="shared" si="41"/>
        <v>0</v>
      </c>
    </row>
    <row r="328" spans="1:32" ht="62.4" hidden="1">
      <c r="A328" s="41">
        <f t="shared" si="42"/>
        <v>326</v>
      </c>
      <c r="B328" s="34" t="s">
        <v>989</v>
      </c>
      <c r="C328" s="34" t="s">
        <v>1002</v>
      </c>
      <c r="D328" s="41" t="s">
        <v>1019</v>
      </c>
      <c r="E328" s="41" t="s">
        <v>1375</v>
      </c>
      <c r="F328" s="43" t="s">
        <v>510</v>
      </c>
      <c r="G328" s="41"/>
      <c r="H328" s="41"/>
      <c r="I328" s="41"/>
      <c r="J328" s="41"/>
      <c r="K328" s="41"/>
      <c r="L328" s="41"/>
      <c r="M328" s="41"/>
      <c r="N328" s="41" t="s">
        <v>32</v>
      </c>
      <c r="O328" s="65">
        <v>0.85</v>
      </c>
      <c r="P328" s="66">
        <v>0.85</v>
      </c>
      <c r="Q328" s="3">
        <v>0</v>
      </c>
      <c r="R328" s="3"/>
      <c r="S328" s="3"/>
      <c r="T328" s="3"/>
      <c r="U328" s="67">
        <f t="shared" si="36"/>
        <v>0.85</v>
      </c>
      <c r="V328" s="67">
        <f t="shared" si="37"/>
        <v>0</v>
      </c>
      <c r="W328" s="3"/>
      <c r="X328" s="3"/>
      <c r="Y328" s="3"/>
      <c r="Z328" s="67">
        <f t="shared" si="38"/>
        <v>0.85</v>
      </c>
      <c r="AA328" s="67">
        <f t="shared" si="39"/>
        <v>0</v>
      </c>
      <c r="AB328" s="3"/>
      <c r="AC328" s="3"/>
      <c r="AD328" s="3"/>
      <c r="AE328" s="67">
        <f t="shared" si="40"/>
        <v>0.85</v>
      </c>
      <c r="AF328" s="67">
        <f t="shared" si="41"/>
        <v>0</v>
      </c>
    </row>
    <row r="329" spans="1:32" s="138" customFormat="1" ht="46.8">
      <c r="A329" s="129">
        <f t="shared" si="42"/>
        <v>327</v>
      </c>
      <c r="B329" s="130" t="s">
        <v>745</v>
      </c>
      <c r="C329" s="130" t="s">
        <v>876</v>
      </c>
      <c r="D329" s="41" t="s">
        <v>1019</v>
      </c>
      <c r="E329" s="41" t="s">
        <v>1376</v>
      </c>
      <c r="F329" s="131" t="s">
        <v>511</v>
      </c>
      <c r="G329" s="129" t="s">
        <v>28</v>
      </c>
      <c r="H329" s="41"/>
      <c r="I329" s="129"/>
      <c r="J329" s="129"/>
      <c r="K329" s="129"/>
      <c r="L329" s="133">
        <v>104.99</v>
      </c>
      <c r="M329" s="134">
        <v>0</v>
      </c>
      <c r="N329" s="129" t="s">
        <v>32</v>
      </c>
      <c r="O329" s="133">
        <v>104.99</v>
      </c>
      <c r="P329" s="134">
        <v>0</v>
      </c>
      <c r="Q329" s="135">
        <v>4.5199467999999996</v>
      </c>
      <c r="R329" s="136">
        <v>30.862167100000001</v>
      </c>
      <c r="S329" s="134"/>
      <c r="T329" s="134"/>
      <c r="U329" s="137">
        <f t="shared" si="36"/>
        <v>0</v>
      </c>
      <c r="V329" s="137">
        <f t="shared" si="37"/>
        <v>35.3821139</v>
      </c>
      <c r="W329" s="139">
        <f>O329-V329</f>
        <v>69.607886100000002</v>
      </c>
      <c r="X329" s="134">
        <f>V329+W329</f>
        <v>104.99000000000001</v>
      </c>
      <c r="Y329" s="134"/>
      <c r="Z329" s="137">
        <f t="shared" si="38"/>
        <v>104.99000000000001</v>
      </c>
      <c r="AA329" s="137">
        <f t="shared" si="39"/>
        <v>0</v>
      </c>
      <c r="AB329" s="134"/>
      <c r="AC329" s="134"/>
      <c r="AD329" s="134"/>
      <c r="AE329" s="137">
        <f t="shared" si="40"/>
        <v>104.99000000000001</v>
      </c>
      <c r="AF329" s="137">
        <f t="shared" si="41"/>
        <v>0</v>
      </c>
    </row>
    <row r="330" spans="1:32" ht="78">
      <c r="A330" s="41">
        <f t="shared" si="42"/>
        <v>328</v>
      </c>
      <c r="B330" s="41" t="s">
        <v>512</v>
      </c>
      <c r="C330" s="41" t="s">
        <v>876</v>
      </c>
      <c r="D330" s="41" t="s">
        <v>1019</v>
      </c>
      <c r="E330" s="41" t="s">
        <v>1377</v>
      </c>
      <c r="F330" s="43" t="s">
        <v>513</v>
      </c>
      <c r="G330" s="41" t="s">
        <v>28</v>
      </c>
      <c r="H330" s="41">
        <v>3</v>
      </c>
      <c r="I330" s="70" t="s">
        <v>514</v>
      </c>
      <c r="J330" s="70" t="s">
        <v>514</v>
      </c>
      <c r="K330" s="70" t="s">
        <v>515</v>
      </c>
      <c r="L330" s="91">
        <v>10.58</v>
      </c>
      <c r="M330" s="3"/>
      <c r="N330" s="41" t="s">
        <v>516</v>
      </c>
      <c r="O330" s="91">
        <v>0</v>
      </c>
      <c r="P330" s="3">
        <v>11.0064321</v>
      </c>
      <c r="Q330" s="66">
        <v>-1.6318999999995754E-3</v>
      </c>
      <c r="R330" s="69"/>
      <c r="S330" s="22"/>
      <c r="T330" s="3"/>
      <c r="U330" s="67">
        <f t="shared" si="36"/>
        <v>11.0064321</v>
      </c>
      <c r="V330" s="79">
        <f t="shared" si="37"/>
        <v>-1.6318999999995754E-3</v>
      </c>
      <c r="W330" s="91"/>
      <c r="X330" s="91"/>
      <c r="Y330" s="3"/>
      <c r="Z330" s="67">
        <f t="shared" si="38"/>
        <v>11.0064321</v>
      </c>
      <c r="AA330" s="67">
        <f t="shared" si="39"/>
        <v>-1.6318999999995754E-3</v>
      </c>
      <c r="AB330" s="91"/>
      <c r="AC330" s="91"/>
      <c r="AD330" s="3"/>
      <c r="AE330" s="67">
        <f t="shared" si="40"/>
        <v>11.0064321</v>
      </c>
      <c r="AF330" s="67">
        <f t="shared" si="41"/>
        <v>-1.6318999999995754E-3</v>
      </c>
    </row>
    <row r="331" spans="1:32" ht="93.6">
      <c r="A331" s="41">
        <f t="shared" si="42"/>
        <v>329</v>
      </c>
      <c r="B331" s="41" t="s">
        <v>517</v>
      </c>
      <c r="C331" s="41" t="s">
        <v>876</v>
      </c>
      <c r="D331" s="42" t="s">
        <v>1019</v>
      </c>
      <c r="E331" s="41" t="s">
        <v>1371</v>
      </c>
      <c r="F331" s="43" t="s">
        <v>518</v>
      </c>
      <c r="G331" s="41" t="s">
        <v>28</v>
      </c>
      <c r="H331" s="41">
        <v>3</v>
      </c>
      <c r="I331" s="41" t="s">
        <v>519</v>
      </c>
      <c r="J331" s="41" t="s">
        <v>519</v>
      </c>
      <c r="K331" s="41" t="s">
        <v>520</v>
      </c>
      <c r="L331" s="91">
        <v>2.57</v>
      </c>
      <c r="M331" s="3">
        <v>0</v>
      </c>
      <c r="N331" s="41" t="s">
        <v>516</v>
      </c>
      <c r="O331" s="91">
        <v>2.0550000000000002</v>
      </c>
      <c r="P331" s="3">
        <v>2.0179621000000001</v>
      </c>
      <c r="Q331" s="3">
        <v>-0.73566820000000011</v>
      </c>
      <c r="R331" s="25">
        <v>3.66526E-2</v>
      </c>
      <c r="S331" s="22">
        <f>0.0308706+0.005782</f>
        <v>3.66526E-2</v>
      </c>
      <c r="T331" s="3"/>
      <c r="U331" s="67">
        <f t="shared" si="36"/>
        <v>2.0546147000000001</v>
      </c>
      <c r="V331" s="79">
        <f t="shared" si="37"/>
        <v>-0.73566820000000011</v>
      </c>
      <c r="W331" s="94"/>
      <c r="X331" s="91"/>
      <c r="Y331" s="3"/>
      <c r="Z331" s="67">
        <f t="shared" si="38"/>
        <v>2.0546147000000001</v>
      </c>
      <c r="AA331" s="67">
        <f t="shared" si="39"/>
        <v>-0.73566820000000011</v>
      </c>
      <c r="AB331" s="91"/>
      <c r="AC331" s="91"/>
      <c r="AD331" s="3"/>
      <c r="AE331" s="67">
        <f t="shared" si="40"/>
        <v>2.0546147000000001</v>
      </c>
      <c r="AF331" s="67">
        <f t="shared" si="41"/>
        <v>-0.73566820000000011</v>
      </c>
    </row>
    <row r="332" spans="1:32" ht="78" hidden="1">
      <c r="A332" s="41">
        <f t="shared" si="42"/>
        <v>330</v>
      </c>
      <c r="B332" s="41" t="s">
        <v>521</v>
      </c>
      <c r="C332" s="41" t="s">
        <v>885</v>
      </c>
      <c r="D332" s="41" t="s">
        <v>1019</v>
      </c>
      <c r="E332" s="41" t="s">
        <v>1378</v>
      </c>
      <c r="F332" s="43" t="s">
        <v>522</v>
      </c>
      <c r="G332" s="41" t="s">
        <v>28</v>
      </c>
      <c r="H332" s="64"/>
      <c r="I332" s="64">
        <v>43396</v>
      </c>
      <c r="J332" s="64">
        <v>43396</v>
      </c>
      <c r="K332" s="65"/>
      <c r="L332" s="66">
        <v>1.08</v>
      </c>
      <c r="M332" s="3"/>
      <c r="N332" s="41" t="s">
        <v>516</v>
      </c>
      <c r="O332" s="3">
        <v>0</v>
      </c>
      <c r="P332" s="3">
        <v>1.0684762999999999</v>
      </c>
      <c r="Q332" s="66">
        <v>6.1942999999999859E-3</v>
      </c>
      <c r="R332" s="69"/>
      <c r="S332" s="22"/>
      <c r="T332" s="3"/>
      <c r="U332" s="67">
        <f t="shared" si="36"/>
        <v>1.0684762999999999</v>
      </c>
      <c r="V332" s="67">
        <f t="shared" si="37"/>
        <v>6.1942999999999859E-3</v>
      </c>
      <c r="W332" s="3"/>
      <c r="X332" s="3"/>
      <c r="Y332" s="3"/>
      <c r="Z332" s="67">
        <f t="shared" si="38"/>
        <v>1.0684762999999999</v>
      </c>
      <c r="AA332" s="67">
        <f t="shared" si="39"/>
        <v>6.1942999999999859E-3</v>
      </c>
      <c r="AB332" s="3"/>
      <c r="AC332" s="3"/>
      <c r="AD332" s="3"/>
      <c r="AE332" s="67">
        <f t="shared" si="40"/>
        <v>1.0684762999999999</v>
      </c>
      <c r="AF332" s="67">
        <f t="shared" si="41"/>
        <v>6.1942999999999859E-3</v>
      </c>
    </row>
    <row r="333" spans="1:32" s="138" customFormat="1" ht="62.4">
      <c r="A333" s="129">
        <f t="shared" si="42"/>
        <v>331</v>
      </c>
      <c r="B333" s="129" t="s">
        <v>523</v>
      </c>
      <c r="C333" s="129" t="s">
        <v>876</v>
      </c>
      <c r="D333" s="41" t="s">
        <v>1019</v>
      </c>
      <c r="E333" s="41" t="s">
        <v>1379</v>
      </c>
      <c r="F333" s="131" t="s">
        <v>524</v>
      </c>
      <c r="G333" s="129" t="s">
        <v>28</v>
      </c>
      <c r="H333" s="41">
        <v>2</v>
      </c>
      <c r="I333" s="140" t="s">
        <v>525</v>
      </c>
      <c r="J333" s="140" t="s">
        <v>525</v>
      </c>
      <c r="K333" s="140" t="s">
        <v>526</v>
      </c>
      <c r="L333" s="134">
        <v>2.0099999999999998</v>
      </c>
      <c r="M333" s="134"/>
      <c r="N333" s="129" t="s">
        <v>516</v>
      </c>
      <c r="O333" s="134">
        <v>2.0099999999999998</v>
      </c>
      <c r="P333" s="134">
        <v>1.4789357999999999</v>
      </c>
      <c r="Q333" s="135">
        <v>1.7449000000000492E-3</v>
      </c>
      <c r="R333" s="141"/>
      <c r="S333" s="142"/>
      <c r="T333" s="134"/>
      <c r="U333" s="137">
        <f t="shared" si="36"/>
        <v>1.4789357999999999</v>
      </c>
      <c r="V333" s="137">
        <f t="shared" si="37"/>
        <v>1.7449000000000492E-3</v>
      </c>
      <c r="W333" s="139">
        <v>3.3001099999999998E-2</v>
      </c>
      <c r="X333" s="134">
        <f>W333</f>
        <v>3.3001099999999998E-2</v>
      </c>
      <c r="Y333" s="134"/>
      <c r="Z333" s="137">
        <f t="shared" si="38"/>
        <v>1.5119368999999998</v>
      </c>
      <c r="AA333" s="137">
        <f t="shared" si="39"/>
        <v>1.7449000000000492E-3</v>
      </c>
      <c r="AB333" s="134"/>
      <c r="AC333" s="134"/>
      <c r="AD333" s="134"/>
      <c r="AE333" s="137">
        <f t="shared" si="40"/>
        <v>1.5119368999999998</v>
      </c>
      <c r="AF333" s="137">
        <f t="shared" si="41"/>
        <v>1.7449000000000492E-3</v>
      </c>
    </row>
    <row r="334" spans="1:32" ht="46.8">
      <c r="A334" s="41">
        <f t="shared" si="42"/>
        <v>332</v>
      </c>
      <c r="B334" s="41" t="s">
        <v>528</v>
      </c>
      <c r="C334" s="41" t="s">
        <v>876</v>
      </c>
      <c r="D334" s="41" t="s">
        <v>1019</v>
      </c>
      <c r="E334" s="41" t="s">
        <v>1380</v>
      </c>
      <c r="F334" s="43" t="s">
        <v>529</v>
      </c>
      <c r="G334" s="41" t="s">
        <v>28</v>
      </c>
      <c r="H334" s="41">
        <v>5</v>
      </c>
      <c r="I334" s="41" t="s">
        <v>530</v>
      </c>
      <c r="J334" s="41" t="s">
        <v>530</v>
      </c>
      <c r="K334" s="41" t="s">
        <v>531</v>
      </c>
      <c r="L334" s="91">
        <v>4.8559999999999999</v>
      </c>
      <c r="M334" s="3">
        <v>0</v>
      </c>
      <c r="N334" s="41" t="s">
        <v>516</v>
      </c>
      <c r="O334" s="91">
        <v>4.88</v>
      </c>
      <c r="P334" s="3">
        <v>4.5356382000000002</v>
      </c>
      <c r="Q334" s="66">
        <v>-5.6381999999999266E-3</v>
      </c>
      <c r="R334" s="25">
        <v>0.34513759999999999</v>
      </c>
      <c r="S334" s="22">
        <f>0.0612876+0.28385</f>
        <v>0.34513759999999999</v>
      </c>
      <c r="T334" s="3"/>
      <c r="U334" s="67">
        <f t="shared" si="36"/>
        <v>4.8807758000000003</v>
      </c>
      <c r="V334" s="79">
        <f t="shared" si="37"/>
        <v>-5.6381999999999266E-3</v>
      </c>
      <c r="W334" s="94"/>
      <c r="X334" s="91"/>
      <c r="Y334" s="3"/>
      <c r="Z334" s="67">
        <f t="shared" si="38"/>
        <v>4.8807758000000003</v>
      </c>
      <c r="AA334" s="67">
        <f t="shared" si="39"/>
        <v>-5.6381999999999266E-3</v>
      </c>
      <c r="AB334" s="91"/>
      <c r="AC334" s="91"/>
      <c r="AD334" s="3"/>
      <c r="AE334" s="67">
        <f t="shared" si="40"/>
        <v>4.8807758000000003</v>
      </c>
      <c r="AF334" s="67">
        <f t="shared" si="41"/>
        <v>-5.6381999999999266E-3</v>
      </c>
    </row>
    <row r="335" spans="1:32" ht="46.8" hidden="1">
      <c r="A335" s="41">
        <f t="shared" si="42"/>
        <v>333</v>
      </c>
      <c r="B335" s="41" t="s">
        <v>532</v>
      </c>
      <c r="C335" s="34" t="s">
        <v>1002</v>
      </c>
      <c r="D335" s="34" t="s">
        <v>1019</v>
      </c>
      <c r="E335" s="41" t="s">
        <v>1381</v>
      </c>
      <c r="F335" s="43" t="s">
        <v>533</v>
      </c>
      <c r="G335" s="41" t="s">
        <v>28</v>
      </c>
      <c r="H335" s="41"/>
      <c r="I335" s="64">
        <v>43486</v>
      </c>
      <c r="J335" s="64">
        <v>43486</v>
      </c>
      <c r="K335" s="41" t="s">
        <v>454</v>
      </c>
      <c r="L335" s="105">
        <v>194.21</v>
      </c>
      <c r="M335" s="66">
        <v>214.05</v>
      </c>
      <c r="N335" s="41" t="s">
        <v>32</v>
      </c>
      <c r="O335" s="105">
        <v>120.91</v>
      </c>
      <c r="P335" s="3">
        <v>134.890595131</v>
      </c>
      <c r="Q335" s="66">
        <v>-15.738749431000002</v>
      </c>
      <c r="R335" s="25">
        <v>0.71324160000000003</v>
      </c>
      <c r="S335" s="22">
        <v>0.71324160000000003</v>
      </c>
      <c r="T335" s="73"/>
      <c r="U335" s="67">
        <f t="shared" si="36"/>
        <v>135.603836731</v>
      </c>
      <c r="V335" s="79">
        <f t="shared" si="37"/>
        <v>-15.738749431000002</v>
      </c>
      <c r="W335" s="94"/>
      <c r="X335" s="95"/>
      <c r="Y335" s="3"/>
      <c r="Z335" s="67">
        <f t="shared" si="38"/>
        <v>135.603836731</v>
      </c>
      <c r="AA335" s="67">
        <f t="shared" si="39"/>
        <v>-15.738749431000002</v>
      </c>
      <c r="AB335" s="91"/>
      <c r="AC335" s="91"/>
      <c r="AD335" s="3"/>
      <c r="AE335" s="67">
        <f t="shared" si="40"/>
        <v>135.603836731</v>
      </c>
      <c r="AF335" s="67">
        <f t="shared" si="41"/>
        <v>-15.738749431000002</v>
      </c>
    </row>
    <row r="336" spans="1:32" ht="62.4">
      <c r="A336" s="41">
        <f t="shared" si="42"/>
        <v>334</v>
      </c>
      <c r="B336" s="41" t="s">
        <v>535</v>
      </c>
      <c r="C336" s="41" t="s">
        <v>876</v>
      </c>
      <c r="D336" s="41" t="s">
        <v>1016</v>
      </c>
      <c r="E336" s="41" t="s">
        <v>1382</v>
      </c>
      <c r="F336" s="43" t="s">
        <v>536</v>
      </c>
      <c r="G336" s="41"/>
      <c r="H336" s="41"/>
      <c r="I336" s="41"/>
      <c r="J336" s="41"/>
      <c r="K336" s="41"/>
      <c r="L336" s="91"/>
      <c r="M336" s="3"/>
      <c r="N336" s="41" t="s">
        <v>29</v>
      </c>
      <c r="O336" s="91">
        <v>0</v>
      </c>
      <c r="P336" s="3">
        <v>2.4297683999999999</v>
      </c>
      <c r="Q336" s="3">
        <v>0</v>
      </c>
      <c r="R336" s="69"/>
      <c r="S336" s="22"/>
      <c r="T336" s="3"/>
      <c r="U336" s="67">
        <f t="shared" si="36"/>
        <v>2.4297683999999999</v>
      </c>
      <c r="V336" s="67">
        <f t="shared" si="37"/>
        <v>0</v>
      </c>
      <c r="W336" s="91"/>
      <c r="X336" s="91"/>
      <c r="Y336" s="3"/>
      <c r="Z336" s="67">
        <f t="shared" si="38"/>
        <v>2.4297683999999999</v>
      </c>
      <c r="AA336" s="67">
        <f t="shared" si="39"/>
        <v>0</v>
      </c>
      <c r="AB336" s="91"/>
      <c r="AC336" s="91"/>
      <c r="AD336" s="3"/>
      <c r="AE336" s="67">
        <f t="shared" si="40"/>
        <v>2.4297683999999999</v>
      </c>
      <c r="AF336" s="67">
        <f t="shared" si="41"/>
        <v>0</v>
      </c>
    </row>
    <row r="337" spans="1:32" ht="78" hidden="1">
      <c r="A337" s="41">
        <f t="shared" si="42"/>
        <v>335</v>
      </c>
      <c r="B337" s="41" t="s">
        <v>539</v>
      </c>
      <c r="C337" s="41" t="s">
        <v>1002</v>
      </c>
      <c r="D337" s="34" t="s">
        <v>1016</v>
      </c>
      <c r="E337" s="41" t="s">
        <v>1383</v>
      </c>
      <c r="F337" s="43" t="s">
        <v>540</v>
      </c>
      <c r="G337" s="41" t="s">
        <v>28</v>
      </c>
      <c r="H337" s="63">
        <v>2</v>
      </c>
      <c r="I337" s="64">
        <v>42228</v>
      </c>
      <c r="J337" s="64">
        <v>42228</v>
      </c>
      <c r="K337" s="64">
        <v>42594</v>
      </c>
      <c r="L337" s="105">
        <v>86.97</v>
      </c>
      <c r="M337" s="66">
        <v>103.74</v>
      </c>
      <c r="N337" s="41" t="s">
        <v>32</v>
      </c>
      <c r="O337" s="105">
        <v>97.13</v>
      </c>
      <c r="P337" s="66">
        <v>94.237289399999995</v>
      </c>
      <c r="Q337" s="3">
        <v>-7.5906000000000029E-3</v>
      </c>
      <c r="R337" s="69"/>
      <c r="S337" s="22"/>
      <c r="T337" s="3"/>
      <c r="U337" s="67">
        <f t="shared" si="36"/>
        <v>94.237289399999995</v>
      </c>
      <c r="V337" s="79">
        <f t="shared" si="37"/>
        <v>-7.5906000000000029E-3</v>
      </c>
      <c r="W337" s="91"/>
      <c r="X337" s="91"/>
      <c r="Y337" s="3"/>
      <c r="Z337" s="67">
        <f t="shared" si="38"/>
        <v>94.237289399999995</v>
      </c>
      <c r="AA337" s="67">
        <f t="shared" si="39"/>
        <v>-7.5906000000000029E-3</v>
      </c>
      <c r="AB337" s="91"/>
      <c r="AC337" s="91"/>
      <c r="AD337" s="3"/>
      <c r="AE337" s="67">
        <f t="shared" si="40"/>
        <v>94.237289399999995</v>
      </c>
      <c r="AF337" s="67">
        <f t="shared" si="41"/>
        <v>-7.5906000000000029E-3</v>
      </c>
    </row>
    <row r="338" spans="1:32" ht="93.6">
      <c r="A338" s="41">
        <f t="shared" si="42"/>
        <v>336</v>
      </c>
      <c r="B338" s="41" t="s">
        <v>541</v>
      </c>
      <c r="C338" s="41" t="s">
        <v>876</v>
      </c>
      <c r="D338" s="41" t="s">
        <v>1016</v>
      </c>
      <c r="E338" s="41" t="s">
        <v>1384</v>
      </c>
      <c r="F338" s="43" t="s">
        <v>542</v>
      </c>
      <c r="G338" s="41" t="s">
        <v>28</v>
      </c>
      <c r="H338" s="63">
        <v>2</v>
      </c>
      <c r="I338" s="64">
        <v>42821</v>
      </c>
      <c r="J338" s="64">
        <v>42821</v>
      </c>
      <c r="K338" s="64">
        <v>43004</v>
      </c>
      <c r="L338" s="105">
        <v>9.74</v>
      </c>
      <c r="M338" s="66">
        <v>9.74</v>
      </c>
      <c r="N338" s="41" t="s">
        <v>32</v>
      </c>
      <c r="O338" s="105">
        <v>10.66</v>
      </c>
      <c r="P338" s="66">
        <v>10.5584282</v>
      </c>
      <c r="Q338" s="3">
        <v>0</v>
      </c>
      <c r="R338" s="69"/>
      <c r="S338" s="22"/>
      <c r="T338" s="3"/>
      <c r="U338" s="67">
        <f t="shared" si="36"/>
        <v>10.5584282</v>
      </c>
      <c r="V338" s="67">
        <f t="shared" si="37"/>
        <v>0</v>
      </c>
      <c r="W338" s="91"/>
      <c r="X338" s="91"/>
      <c r="Y338" s="3"/>
      <c r="Z338" s="67">
        <f t="shared" si="38"/>
        <v>10.5584282</v>
      </c>
      <c r="AA338" s="67">
        <f t="shared" si="39"/>
        <v>0</v>
      </c>
      <c r="AB338" s="91"/>
      <c r="AC338" s="91"/>
      <c r="AD338" s="3"/>
      <c r="AE338" s="67">
        <f t="shared" si="40"/>
        <v>10.5584282</v>
      </c>
      <c r="AF338" s="67">
        <f t="shared" si="41"/>
        <v>0</v>
      </c>
    </row>
    <row r="339" spans="1:32" ht="78">
      <c r="A339" s="41">
        <f t="shared" si="42"/>
        <v>337</v>
      </c>
      <c r="B339" s="41" t="s">
        <v>543</v>
      </c>
      <c r="C339" s="41" t="s">
        <v>876</v>
      </c>
      <c r="D339" s="41" t="s">
        <v>1019</v>
      </c>
      <c r="E339" s="41" t="s">
        <v>1385</v>
      </c>
      <c r="F339" s="43" t="s">
        <v>544</v>
      </c>
      <c r="G339" s="41" t="s">
        <v>28</v>
      </c>
      <c r="H339" s="41"/>
      <c r="I339" s="64">
        <v>43983</v>
      </c>
      <c r="J339" s="64">
        <v>43983</v>
      </c>
      <c r="K339" s="41" t="s">
        <v>545</v>
      </c>
      <c r="L339" s="105">
        <v>16.73</v>
      </c>
      <c r="M339" s="3"/>
      <c r="N339" s="41" t="s">
        <v>67</v>
      </c>
      <c r="O339" s="91">
        <v>13.29</v>
      </c>
      <c r="P339" s="3">
        <v>13.186708100000001</v>
      </c>
      <c r="Q339" s="3">
        <v>-10.0926011</v>
      </c>
      <c r="R339" s="69"/>
      <c r="S339" s="22"/>
      <c r="T339" s="3"/>
      <c r="U339" s="67">
        <f t="shared" si="36"/>
        <v>13.186708100000001</v>
      </c>
      <c r="V339" s="79">
        <f t="shared" si="37"/>
        <v>-10.0926011</v>
      </c>
      <c r="W339" s="91"/>
      <c r="X339" s="91"/>
      <c r="Y339" s="3"/>
      <c r="Z339" s="67">
        <f t="shared" si="38"/>
        <v>13.186708100000001</v>
      </c>
      <c r="AA339" s="67">
        <f t="shared" si="39"/>
        <v>-10.0926011</v>
      </c>
      <c r="AB339" s="91"/>
      <c r="AC339" s="91"/>
      <c r="AD339" s="3"/>
      <c r="AE339" s="67">
        <f t="shared" si="40"/>
        <v>13.186708100000001</v>
      </c>
      <c r="AF339" s="67">
        <f t="shared" si="41"/>
        <v>-10.0926011</v>
      </c>
    </row>
    <row r="340" spans="1:32" ht="62.4" hidden="1">
      <c r="A340" s="41">
        <f t="shared" si="42"/>
        <v>338</v>
      </c>
      <c r="B340" s="41" t="s">
        <v>546</v>
      </c>
      <c r="C340" s="41" t="s">
        <v>1002</v>
      </c>
      <c r="D340" s="34" t="s">
        <v>1019</v>
      </c>
      <c r="E340" s="41" t="s">
        <v>1386</v>
      </c>
      <c r="F340" s="43" t="s">
        <v>547</v>
      </c>
      <c r="G340" s="41" t="s">
        <v>28</v>
      </c>
      <c r="H340" s="41"/>
      <c r="I340" s="64">
        <v>43486</v>
      </c>
      <c r="J340" s="64">
        <v>43486</v>
      </c>
      <c r="K340" s="41" t="s">
        <v>454</v>
      </c>
      <c r="L340" s="105">
        <v>112.81</v>
      </c>
      <c r="M340" s="66">
        <v>119.65</v>
      </c>
      <c r="N340" s="41" t="s">
        <v>32</v>
      </c>
      <c r="O340" s="105">
        <v>111.79</v>
      </c>
      <c r="P340" s="3">
        <v>117.747836552</v>
      </c>
      <c r="Q340" s="66">
        <v>-6.8924936519999926</v>
      </c>
      <c r="R340" s="69"/>
      <c r="S340" s="22"/>
      <c r="T340" s="73"/>
      <c r="U340" s="67">
        <f t="shared" si="36"/>
        <v>117.747836552</v>
      </c>
      <c r="V340" s="79">
        <f t="shared" si="37"/>
        <v>-6.8924936519999926</v>
      </c>
      <c r="W340" s="91"/>
      <c r="X340" s="91"/>
      <c r="Y340" s="3"/>
      <c r="Z340" s="67">
        <f t="shared" si="38"/>
        <v>117.747836552</v>
      </c>
      <c r="AA340" s="67">
        <f t="shared" si="39"/>
        <v>-6.8924936519999926</v>
      </c>
      <c r="AB340" s="91"/>
      <c r="AC340" s="91"/>
      <c r="AD340" s="3"/>
      <c r="AE340" s="67">
        <f t="shared" si="40"/>
        <v>117.747836552</v>
      </c>
      <c r="AF340" s="67">
        <f t="shared" si="41"/>
        <v>-6.8924936519999926</v>
      </c>
    </row>
    <row r="341" spans="1:32" ht="78" hidden="1">
      <c r="A341" s="41">
        <f t="shared" si="42"/>
        <v>339</v>
      </c>
      <c r="B341" s="41" t="s">
        <v>548</v>
      </c>
      <c r="C341" s="41" t="s">
        <v>1002</v>
      </c>
      <c r="D341" s="41" t="s">
        <v>1016</v>
      </c>
      <c r="E341" s="41" t="s">
        <v>1387</v>
      </c>
      <c r="F341" s="43" t="s">
        <v>549</v>
      </c>
      <c r="G341" s="41" t="s">
        <v>28</v>
      </c>
      <c r="H341" s="41"/>
      <c r="I341" s="41" t="s">
        <v>550</v>
      </c>
      <c r="J341" s="41" t="s">
        <v>550</v>
      </c>
      <c r="K341" s="41" t="s">
        <v>551</v>
      </c>
      <c r="L341" s="91" t="s">
        <v>552</v>
      </c>
      <c r="M341" s="3">
        <v>1370.02</v>
      </c>
      <c r="N341" s="41" t="s">
        <v>29</v>
      </c>
      <c r="O341" s="105">
        <v>44.52</v>
      </c>
      <c r="P341" s="66">
        <v>45.618348999999995</v>
      </c>
      <c r="Q341" s="3">
        <v>0</v>
      </c>
      <c r="R341" s="69"/>
      <c r="S341" s="22"/>
      <c r="T341" s="3"/>
      <c r="U341" s="67">
        <f t="shared" si="36"/>
        <v>45.618348999999995</v>
      </c>
      <c r="V341" s="67">
        <f t="shared" si="37"/>
        <v>0</v>
      </c>
      <c r="W341" s="91"/>
      <c r="X341" s="91"/>
      <c r="Y341" s="3"/>
      <c r="Z341" s="67">
        <f t="shared" si="38"/>
        <v>45.618348999999995</v>
      </c>
      <c r="AA341" s="67">
        <f t="shared" si="39"/>
        <v>0</v>
      </c>
      <c r="AB341" s="91"/>
      <c r="AC341" s="91"/>
      <c r="AD341" s="3"/>
      <c r="AE341" s="67">
        <f t="shared" si="40"/>
        <v>45.618348999999995</v>
      </c>
      <c r="AF341" s="67">
        <f t="shared" si="41"/>
        <v>0</v>
      </c>
    </row>
    <row r="342" spans="1:32" ht="140.4" hidden="1">
      <c r="A342" s="41">
        <f t="shared" si="42"/>
        <v>340</v>
      </c>
      <c r="B342" s="41" t="s">
        <v>553</v>
      </c>
      <c r="C342" s="41" t="s">
        <v>1002</v>
      </c>
      <c r="D342" s="34" t="s">
        <v>1016</v>
      </c>
      <c r="E342" s="41" t="s">
        <v>1388</v>
      </c>
      <c r="F342" s="43" t="s">
        <v>554</v>
      </c>
      <c r="G342" s="41" t="s">
        <v>28</v>
      </c>
      <c r="H342" s="63">
        <v>2</v>
      </c>
      <c r="I342" s="64">
        <v>42075</v>
      </c>
      <c r="J342" s="64">
        <v>42075</v>
      </c>
      <c r="K342" s="64">
        <v>42417</v>
      </c>
      <c r="L342" s="105">
        <v>48.16</v>
      </c>
      <c r="M342" s="66">
        <v>48.16</v>
      </c>
      <c r="N342" s="41" t="s">
        <v>32</v>
      </c>
      <c r="O342" s="105">
        <v>48.16</v>
      </c>
      <c r="P342" s="66">
        <v>49.91489</v>
      </c>
      <c r="Q342" s="3">
        <v>-0.27489000000000002</v>
      </c>
      <c r="R342" s="3"/>
      <c r="S342" s="22"/>
      <c r="T342" s="3"/>
      <c r="U342" s="67">
        <f t="shared" si="36"/>
        <v>49.91489</v>
      </c>
      <c r="V342" s="79">
        <f t="shared" si="37"/>
        <v>-0.27489000000000002</v>
      </c>
      <c r="W342" s="91"/>
      <c r="X342" s="91"/>
      <c r="Y342" s="3"/>
      <c r="Z342" s="67">
        <f t="shared" si="38"/>
        <v>49.91489</v>
      </c>
      <c r="AA342" s="67">
        <f t="shared" si="39"/>
        <v>-0.27489000000000002</v>
      </c>
      <c r="AB342" s="91"/>
      <c r="AC342" s="91"/>
      <c r="AD342" s="3"/>
      <c r="AE342" s="67">
        <f t="shared" si="40"/>
        <v>49.91489</v>
      </c>
      <c r="AF342" s="67">
        <f t="shared" si="41"/>
        <v>-0.27489000000000002</v>
      </c>
    </row>
    <row r="343" spans="1:32" ht="46.8" hidden="1">
      <c r="A343" s="41">
        <f t="shared" si="42"/>
        <v>341</v>
      </c>
      <c r="B343" s="41" t="s">
        <v>555</v>
      </c>
      <c r="C343" s="34" t="s">
        <v>1002</v>
      </c>
      <c r="D343" s="34" t="s">
        <v>1019</v>
      </c>
      <c r="E343" s="41" t="s">
        <v>1389</v>
      </c>
      <c r="F343" s="43" t="s">
        <v>556</v>
      </c>
      <c r="G343" s="41" t="s">
        <v>28</v>
      </c>
      <c r="H343" s="41">
        <v>3</v>
      </c>
      <c r="I343" s="64">
        <v>43479</v>
      </c>
      <c r="J343" s="64">
        <v>43479</v>
      </c>
      <c r="K343" s="41" t="s">
        <v>469</v>
      </c>
      <c r="L343" s="105">
        <v>10.41</v>
      </c>
      <c r="M343" s="66">
        <v>12.31</v>
      </c>
      <c r="N343" s="41" t="s">
        <v>32</v>
      </c>
      <c r="O343" s="105">
        <v>9.68</v>
      </c>
      <c r="P343" s="3">
        <v>8.5523569909999999</v>
      </c>
      <c r="Q343" s="66">
        <v>-0.15063239099999992</v>
      </c>
      <c r="R343" s="25">
        <v>0.31918999999999997</v>
      </c>
      <c r="S343" s="22">
        <v>0.31918999999999997</v>
      </c>
      <c r="T343" s="22"/>
      <c r="U343" s="67">
        <f t="shared" si="36"/>
        <v>8.8715469910000007</v>
      </c>
      <c r="V343" s="79">
        <f t="shared" si="37"/>
        <v>-0.15063239099999992</v>
      </c>
      <c r="W343" s="94"/>
      <c r="X343" s="93"/>
      <c r="Y343" s="3"/>
      <c r="Z343" s="67">
        <f t="shared" si="38"/>
        <v>8.8715469910000007</v>
      </c>
      <c r="AA343" s="67">
        <f t="shared" si="39"/>
        <v>-0.15063239099999992</v>
      </c>
      <c r="AB343" s="91"/>
      <c r="AC343" s="91"/>
      <c r="AD343" s="3"/>
      <c r="AE343" s="67">
        <f t="shared" si="40"/>
        <v>8.8715469910000007</v>
      </c>
      <c r="AF343" s="67">
        <f t="shared" si="41"/>
        <v>-0.15063239099999992</v>
      </c>
    </row>
    <row r="344" spans="1:32" ht="78">
      <c r="A344" s="41">
        <f t="shared" si="42"/>
        <v>342</v>
      </c>
      <c r="B344" s="41" t="s">
        <v>557</v>
      </c>
      <c r="C344" s="41" t="s">
        <v>876</v>
      </c>
      <c r="D344" s="41" t="s">
        <v>1016</v>
      </c>
      <c r="E344" s="41" t="s">
        <v>1390</v>
      </c>
      <c r="F344" s="43" t="s">
        <v>558</v>
      </c>
      <c r="G344" s="41"/>
      <c r="H344" s="41"/>
      <c r="I344" s="41"/>
      <c r="J344" s="41"/>
      <c r="K344" s="41"/>
      <c r="L344" s="91"/>
      <c r="M344" s="3"/>
      <c r="N344" s="41" t="s">
        <v>29</v>
      </c>
      <c r="O344" s="91">
        <v>0</v>
      </c>
      <c r="P344" s="66">
        <v>4.9896566</v>
      </c>
      <c r="Q344" s="3">
        <v>0</v>
      </c>
      <c r="R344" s="69"/>
      <c r="S344" s="22"/>
      <c r="T344" s="3"/>
      <c r="U344" s="67">
        <f t="shared" si="36"/>
        <v>4.9896566</v>
      </c>
      <c r="V344" s="67">
        <f t="shared" si="37"/>
        <v>0</v>
      </c>
      <c r="W344" s="91"/>
      <c r="X344" s="91"/>
      <c r="Y344" s="3"/>
      <c r="Z344" s="67">
        <f t="shared" si="38"/>
        <v>4.9896566</v>
      </c>
      <c r="AA344" s="67">
        <f t="shared" si="39"/>
        <v>0</v>
      </c>
      <c r="AB344" s="91"/>
      <c r="AC344" s="91"/>
      <c r="AD344" s="3"/>
      <c r="AE344" s="67">
        <f t="shared" si="40"/>
        <v>4.9896566</v>
      </c>
      <c r="AF344" s="67">
        <f t="shared" si="41"/>
        <v>0</v>
      </c>
    </row>
    <row r="345" spans="1:32" ht="62.4">
      <c r="A345" s="41">
        <f t="shared" si="42"/>
        <v>343</v>
      </c>
      <c r="B345" s="41" t="s">
        <v>559</v>
      </c>
      <c r="C345" s="41" t="s">
        <v>876</v>
      </c>
      <c r="D345" s="41" t="s">
        <v>1016</v>
      </c>
      <c r="E345" s="41" t="s">
        <v>1391</v>
      </c>
      <c r="F345" s="43" t="s">
        <v>560</v>
      </c>
      <c r="G345" s="41" t="s">
        <v>28</v>
      </c>
      <c r="H345" s="63">
        <v>4</v>
      </c>
      <c r="I345" s="64">
        <v>42692</v>
      </c>
      <c r="J345" s="64">
        <v>43056</v>
      </c>
      <c r="K345" s="64">
        <v>43524</v>
      </c>
      <c r="L345" s="105">
        <v>19.399999999999999</v>
      </c>
      <c r="M345" s="66">
        <v>19.399999999999999</v>
      </c>
      <c r="N345" s="41" t="s">
        <v>32</v>
      </c>
      <c r="O345" s="91">
        <v>18.850000000000001</v>
      </c>
      <c r="P345" s="3">
        <v>19.385807700000001</v>
      </c>
      <c r="Q345" s="66">
        <v>0.35400999999999883</v>
      </c>
      <c r="R345" s="69"/>
      <c r="S345" s="22"/>
      <c r="T345" s="3"/>
      <c r="U345" s="67">
        <f t="shared" si="36"/>
        <v>19.385807700000001</v>
      </c>
      <c r="V345" s="67">
        <f t="shared" si="37"/>
        <v>0.35400999999999883</v>
      </c>
      <c r="W345" s="91"/>
      <c r="X345" s="91"/>
      <c r="Y345" s="3"/>
      <c r="Z345" s="67">
        <f t="shared" si="38"/>
        <v>19.385807700000001</v>
      </c>
      <c r="AA345" s="67">
        <f t="shared" si="39"/>
        <v>0.35400999999999883</v>
      </c>
      <c r="AB345" s="91"/>
      <c r="AC345" s="91"/>
      <c r="AD345" s="3"/>
      <c r="AE345" s="67">
        <f t="shared" si="40"/>
        <v>19.385807700000001</v>
      </c>
      <c r="AF345" s="67">
        <f t="shared" si="41"/>
        <v>0.35400999999999883</v>
      </c>
    </row>
    <row r="346" spans="1:32" ht="62.4" hidden="1">
      <c r="A346" s="41">
        <f t="shared" si="42"/>
        <v>344</v>
      </c>
      <c r="B346" s="41" t="s">
        <v>561</v>
      </c>
      <c r="C346" s="41" t="s">
        <v>1002</v>
      </c>
      <c r="D346" s="34" t="s">
        <v>1016</v>
      </c>
      <c r="E346" s="41" t="s">
        <v>1392</v>
      </c>
      <c r="F346" s="43" t="s">
        <v>562</v>
      </c>
      <c r="G346" s="41" t="s">
        <v>28</v>
      </c>
      <c r="H346" s="63">
        <v>2</v>
      </c>
      <c r="I346" s="64">
        <v>42010</v>
      </c>
      <c r="J346" s="64">
        <v>42010</v>
      </c>
      <c r="K346" s="64">
        <v>42465</v>
      </c>
      <c r="L346" s="105">
        <v>85.26</v>
      </c>
      <c r="M346" s="66">
        <v>114.7</v>
      </c>
      <c r="N346" s="41" t="s">
        <v>29</v>
      </c>
      <c r="O346" s="105">
        <v>114.7</v>
      </c>
      <c r="P346" s="66">
        <v>115.19974739999999</v>
      </c>
      <c r="Q346" s="3">
        <v>0</v>
      </c>
      <c r="R346" s="69"/>
      <c r="S346" s="22"/>
      <c r="T346" s="3"/>
      <c r="U346" s="67">
        <f t="shared" si="36"/>
        <v>115.19974739999999</v>
      </c>
      <c r="V346" s="67">
        <f t="shared" si="37"/>
        <v>0</v>
      </c>
      <c r="W346" s="91"/>
      <c r="X346" s="91"/>
      <c r="Y346" s="3"/>
      <c r="Z346" s="67">
        <f t="shared" si="38"/>
        <v>115.19974739999999</v>
      </c>
      <c r="AA346" s="67">
        <f t="shared" si="39"/>
        <v>0</v>
      </c>
      <c r="AB346" s="91"/>
      <c r="AC346" s="91"/>
      <c r="AD346" s="3"/>
      <c r="AE346" s="67">
        <f t="shared" si="40"/>
        <v>115.19974739999999</v>
      </c>
      <c r="AF346" s="67">
        <f t="shared" si="41"/>
        <v>0</v>
      </c>
    </row>
    <row r="347" spans="1:32" ht="62.4" hidden="1">
      <c r="A347" s="41">
        <f t="shared" si="42"/>
        <v>345</v>
      </c>
      <c r="B347" s="41" t="s">
        <v>563</v>
      </c>
      <c r="C347" s="41" t="s">
        <v>1002</v>
      </c>
      <c r="D347" s="41" t="s">
        <v>1016</v>
      </c>
      <c r="E347" s="41" t="s">
        <v>1393</v>
      </c>
      <c r="F347" s="43" t="s">
        <v>564</v>
      </c>
      <c r="G347" s="41" t="s">
        <v>28</v>
      </c>
      <c r="H347" s="63">
        <v>3</v>
      </c>
      <c r="I347" s="64">
        <v>42612</v>
      </c>
      <c r="J347" s="64">
        <v>42612</v>
      </c>
      <c r="K347" s="64">
        <v>42977</v>
      </c>
      <c r="L347" s="105">
        <v>8.86</v>
      </c>
      <c r="M347" s="66">
        <v>9.6300000000000008</v>
      </c>
      <c r="N347" s="41" t="s">
        <v>32</v>
      </c>
      <c r="O347" s="105">
        <v>9.14</v>
      </c>
      <c r="P347" s="66">
        <v>9.5706156</v>
      </c>
      <c r="Q347" s="3">
        <v>0</v>
      </c>
      <c r="R347" s="69"/>
      <c r="S347" s="22"/>
      <c r="T347" s="3"/>
      <c r="U347" s="67">
        <f t="shared" si="36"/>
        <v>9.5706156</v>
      </c>
      <c r="V347" s="67">
        <f t="shared" si="37"/>
        <v>0</v>
      </c>
      <c r="W347" s="91"/>
      <c r="X347" s="91"/>
      <c r="Y347" s="3"/>
      <c r="Z347" s="67">
        <f t="shared" si="38"/>
        <v>9.5706156</v>
      </c>
      <c r="AA347" s="67">
        <f t="shared" si="39"/>
        <v>0</v>
      </c>
      <c r="AB347" s="91"/>
      <c r="AC347" s="91"/>
      <c r="AD347" s="3"/>
      <c r="AE347" s="67">
        <f t="shared" si="40"/>
        <v>9.5706156</v>
      </c>
      <c r="AF347" s="67">
        <f t="shared" si="41"/>
        <v>0</v>
      </c>
    </row>
    <row r="348" spans="1:32" ht="78" hidden="1">
      <c r="A348" s="41">
        <f t="shared" si="42"/>
        <v>346</v>
      </c>
      <c r="B348" s="41" t="s">
        <v>565</v>
      </c>
      <c r="C348" s="41" t="s">
        <v>1002</v>
      </c>
      <c r="D348" s="42" t="s">
        <v>1017</v>
      </c>
      <c r="E348" s="41" t="s">
        <v>1394</v>
      </c>
      <c r="F348" s="43" t="s">
        <v>566</v>
      </c>
      <c r="G348" s="41" t="s">
        <v>28</v>
      </c>
      <c r="H348" s="41">
        <v>2</v>
      </c>
      <c r="I348" s="41" t="s">
        <v>567</v>
      </c>
      <c r="J348" s="41" t="s">
        <v>567</v>
      </c>
      <c r="K348" s="41" t="s">
        <v>568</v>
      </c>
      <c r="L348" s="91">
        <v>49.62</v>
      </c>
      <c r="M348" s="3"/>
      <c r="N348" s="41" t="s">
        <v>29</v>
      </c>
      <c r="O348" s="105">
        <v>52.18</v>
      </c>
      <c r="P348" s="66">
        <v>1.5198422</v>
      </c>
      <c r="Q348" s="3">
        <v>-0.10484220000000002</v>
      </c>
      <c r="R348" s="69"/>
      <c r="S348" s="22"/>
      <c r="T348" s="3"/>
      <c r="U348" s="67">
        <f t="shared" si="36"/>
        <v>1.5198422</v>
      </c>
      <c r="V348" s="79">
        <f t="shared" si="37"/>
        <v>-0.10484220000000002</v>
      </c>
      <c r="W348" s="91"/>
      <c r="X348" s="91"/>
      <c r="Y348" s="3"/>
      <c r="Z348" s="67">
        <f t="shared" si="38"/>
        <v>1.5198422</v>
      </c>
      <c r="AA348" s="67">
        <f t="shared" si="39"/>
        <v>-0.10484220000000002</v>
      </c>
      <c r="AB348" s="91"/>
      <c r="AC348" s="91"/>
      <c r="AD348" s="3"/>
      <c r="AE348" s="67">
        <f t="shared" si="40"/>
        <v>1.5198422</v>
      </c>
      <c r="AF348" s="67">
        <f t="shared" si="41"/>
        <v>-0.10484220000000002</v>
      </c>
    </row>
    <row r="349" spans="1:32" ht="78" hidden="1">
      <c r="A349" s="41">
        <f t="shared" si="42"/>
        <v>347</v>
      </c>
      <c r="B349" s="41" t="s">
        <v>569</v>
      </c>
      <c r="C349" s="41" t="s">
        <v>1002</v>
      </c>
      <c r="D349" s="34" t="s">
        <v>1016</v>
      </c>
      <c r="E349" s="41" t="s">
        <v>1395</v>
      </c>
      <c r="F349" s="43" t="s">
        <v>570</v>
      </c>
      <c r="G349" s="41" t="s">
        <v>28</v>
      </c>
      <c r="H349" s="41">
        <v>2</v>
      </c>
      <c r="I349" s="41" t="s">
        <v>571</v>
      </c>
      <c r="J349" s="41" t="s">
        <v>571</v>
      </c>
      <c r="K349" s="41" t="s">
        <v>572</v>
      </c>
      <c r="L349" s="91">
        <v>17.489999999999998</v>
      </c>
      <c r="M349" s="3">
        <v>25.92</v>
      </c>
      <c r="N349" s="41" t="s">
        <v>29</v>
      </c>
      <c r="O349" s="105">
        <v>25.92</v>
      </c>
      <c r="P349" s="66">
        <v>26.495350000000002</v>
      </c>
      <c r="Q349" s="3">
        <v>0</v>
      </c>
      <c r="R349" s="69"/>
      <c r="S349" s="22"/>
      <c r="T349" s="3"/>
      <c r="U349" s="67">
        <f t="shared" si="36"/>
        <v>26.495350000000002</v>
      </c>
      <c r="V349" s="67">
        <f t="shared" si="37"/>
        <v>0</v>
      </c>
      <c r="W349" s="91"/>
      <c r="X349" s="91"/>
      <c r="Y349" s="3"/>
      <c r="Z349" s="67">
        <f t="shared" si="38"/>
        <v>26.495350000000002</v>
      </c>
      <c r="AA349" s="67">
        <f t="shared" si="39"/>
        <v>0</v>
      </c>
      <c r="AB349" s="91"/>
      <c r="AC349" s="91"/>
      <c r="AD349" s="3"/>
      <c r="AE349" s="67">
        <f t="shared" si="40"/>
        <v>26.495350000000002</v>
      </c>
      <c r="AF349" s="67">
        <f t="shared" si="41"/>
        <v>0</v>
      </c>
    </row>
    <row r="350" spans="1:32" ht="93.6" hidden="1">
      <c r="A350" s="41">
        <f t="shared" si="42"/>
        <v>348</v>
      </c>
      <c r="B350" s="41" t="s">
        <v>573</v>
      </c>
      <c r="C350" s="41" t="s">
        <v>1002</v>
      </c>
      <c r="D350" s="34" t="s">
        <v>1019</v>
      </c>
      <c r="E350" s="41" t="s">
        <v>1396</v>
      </c>
      <c r="F350" s="43" t="s">
        <v>574</v>
      </c>
      <c r="G350" s="41"/>
      <c r="H350" s="41"/>
      <c r="I350" s="41"/>
      <c r="J350" s="41"/>
      <c r="K350" s="41"/>
      <c r="L350" s="91"/>
      <c r="M350" s="3"/>
      <c r="N350" s="41" t="s">
        <v>516</v>
      </c>
      <c r="O350" s="91">
        <v>0</v>
      </c>
      <c r="P350" s="3">
        <v>6.4162337999999997</v>
      </c>
      <c r="Q350" s="66">
        <v>-1.8687000000001674E-3</v>
      </c>
      <c r="R350" s="69"/>
      <c r="S350" s="22"/>
      <c r="T350" s="3"/>
      <c r="U350" s="67">
        <f t="shared" si="36"/>
        <v>6.4162337999999997</v>
      </c>
      <c r="V350" s="79">
        <f t="shared" si="37"/>
        <v>-1.8687000000001674E-3</v>
      </c>
      <c r="W350" s="91"/>
      <c r="X350" s="91"/>
      <c r="Y350" s="3"/>
      <c r="Z350" s="67">
        <f t="shared" si="38"/>
        <v>6.4162337999999997</v>
      </c>
      <c r="AA350" s="67">
        <f t="shared" si="39"/>
        <v>-1.8687000000001674E-3</v>
      </c>
      <c r="AB350" s="91"/>
      <c r="AC350" s="91"/>
      <c r="AD350" s="3"/>
      <c r="AE350" s="67">
        <f t="shared" si="40"/>
        <v>6.4162337999999997</v>
      </c>
      <c r="AF350" s="67">
        <f t="shared" si="41"/>
        <v>-1.8687000000001674E-3</v>
      </c>
    </row>
    <row r="351" spans="1:32" ht="93.6" hidden="1">
      <c r="A351" s="41">
        <f t="shared" si="42"/>
        <v>349</v>
      </c>
      <c r="B351" s="41" t="s">
        <v>575</v>
      </c>
      <c r="C351" s="41" t="s">
        <v>1002</v>
      </c>
      <c r="D351" s="34" t="s">
        <v>1019</v>
      </c>
      <c r="E351" s="41" t="s">
        <v>1397</v>
      </c>
      <c r="F351" s="43" t="s">
        <v>576</v>
      </c>
      <c r="G351" s="41" t="s">
        <v>28</v>
      </c>
      <c r="H351" s="41"/>
      <c r="I351" s="41"/>
      <c r="J351" s="41"/>
      <c r="K351" s="41"/>
      <c r="L351" s="91"/>
      <c r="M351" s="3"/>
      <c r="N351" s="41" t="s">
        <v>516</v>
      </c>
      <c r="O351" s="91">
        <v>0</v>
      </c>
      <c r="P351" s="66">
        <v>13.961881199999999</v>
      </c>
      <c r="Q351" s="3">
        <v>0</v>
      </c>
      <c r="R351" s="69"/>
      <c r="S351" s="22"/>
      <c r="T351" s="3"/>
      <c r="U351" s="67">
        <f t="shared" si="36"/>
        <v>13.961881199999999</v>
      </c>
      <c r="V351" s="67">
        <f t="shared" si="37"/>
        <v>0</v>
      </c>
      <c r="W351" s="91"/>
      <c r="X351" s="91"/>
      <c r="Y351" s="3"/>
      <c r="Z351" s="67">
        <f t="shared" si="38"/>
        <v>13.961881199999999</v>
      </c>
      <c r="AA351" s="67">
        <f t="shared" si="39"/>
        <v>0</v>
      </c>
      <c r="AB351" s="91"/>
      <c r="AC351" s="91"/>
      <c r="AD351" s="3"/>
      <c r="AE351" s="67">
        <f t="shared" si="40"/>
        <v>13.961881199999999</v>
      </c>
      <c r="AF351" s="67">
        <f t="shared" si="41"/>
        <v>0</v>
      </c>
    </row>
    <row r="352" spans="1:32" s="138" customFormat="1" ht="46.8">
      <c r="A352" s="129">
        <f t="shared" si="42"/>
        <v>350</v>
      </c>
      <c r="B352" s="129" t="s">
        <v>577</v>
      </c>
      <c r="C352" s="129" t="s">
        <v>876</v>
      </c>
      <c r="D352" s="41" t="s">
        <v>1016</v>
      </c>
      <c r="E352" s="41" t="s">
        <v>1398</v>
      </c>
      <c r="F352" s="131" t="s">
        <v>578</v>
      </c>
      <c r="G352" s="129" t="s">
        <v>28</v>
      </c>
      <c r="H352" s="63">
        <v>3</v>
      </c>
      <c r="I352" s="132">
        <v>42369</v>
      </c>
      <c r="J352" s="132">
        <v>42369</v>
      </c>
      <c r="K352" s="132">
        <v>42734</v>
      </c>
      <c r="L352" s="135">
        <v>52.29</v>
      </c>
      <c r="M352" s="135">
        <v>52.29</v>
      </c>
      <c r="N352" s="129" t="s">
        <v>32</v>
      </c>
      <c r="O352" s="134">
        <v>59.8</v>
      </c>
      <c r="P352" s="135">
        <v>61.224366099999997</v>
      </c>
      <c r="Q352" s="134">
        <v>0</v>
      </c>
      <c r="R352" s="136">
        <v>0.88726870000000002</v>
      </c>
      <c r="S352" s="142"/>
      <c r="T352" s="134"/>
      <c r="U352" s="137">
        <f t="shared" si="36"/>
        <v>61.224366099999997</v>
      </c>
      <c r="V352" s="137">
        <f t="shared" si="37"/>
        <v>0.88726870000000002</v>
      </c>
      <c r="W352" s="139">
        <v>9.4399999999999998E-2</v>
      </c>
      <c r="X352" s="134">
        <f>W352</f>
        <v>9.4399999999999998E-2</v>
      </c>
      <c r="Y352" s="134"/>
      <c r="Z352" s="137">
        <f t="shared" si="38"/>
        <v>61.318766099999998</v>
      </c>
      <c r="AA352" s="137">
        <f t="shared" si="39"/>
        <v>0.88726870000000002</v>
      </c>
      <c r="AB352" s="134"/>
      <c r="AC352" s="134"/>
      <c r="AD352" s="134"/>
      <c r="AE352" s="137">
        <f t="shared" si="40"/>
        <v>61.318766099999998</v>
      </c>
      <c r="AF352" s="137">
        <f t="shared" si="41"/>
        <v>0.88726870000000002</v>
      </c>
    </row>
    <row r="353" spans="1:32" ht="46.8">
      <c r="A353" s="41">
        <f t="shared" si="42"/>
        <v>351</v>
      </c>
      <c r="B353" s="41" t="s">
        <v>579</v>
      </c>
      <c r="C353" s="41" t="s">
        <v>876</v>
      </c>
      <c r="D353" s="41" t="s">
        <v>1019</v>
      </c>
      <c r="E353" s="41" t="s">
        <v>1399</v>
      </c>
      <c r="F353" s="43" t="s">
        <v>580</v>
      </c>
      <c r="G353" s="41"/>
      <c r="H353" s="41"/>
      <c r="I353" s="41" t="s">
        <v>1033</v>
      </c>
      <c r="J353" s="41" t="s">
        <v>1033</v>
      </c>
      <c r="K353" s="41" t="s">
        <v>1034</v>
      </c>
      <c r="L353" s="106">
        <v>2.37</v>
      </c>
      <c r="M353" s="3">
        <v>0</v>
      </c>
      <c r="N353" s="41" t="s">
        <v>516</v>
      </c>
      <c r="O353" s="91">
        <v>2.37</v>
      </c>
      <c r="P353" s="3">
        <v>2.3396651999999998</v>
      </c>
      <c r="Q353" s="66">
        <v>3.3480000000007948E-4</v>
      </c>
      <c r="R353" s="25">
        <v>3.2160000000000001E-2</v>
      </c>
      <c r="S353" s="22">
        <v>3.2160000000000001E-2</v>
      </c>
      <c r="T353" s="3"/>
      <c r="U353" s="67">
        <f t="shared" si="36"/>
        <v>2.3718252</v>
      </c>
      <c r="V353" s="67">
        <f t="shared" si="37"/>
        <v>3.3480000000007948E-4</v>
      </c>
      <c r="W353" s="94"/>
      <c r="X353" s="91"/>
      <c r="Y353" s="3"/>
      <c r="Z353" s="67">
        <f t="shared" si="38"/>
        <v>2.3718252</v>
      </c>
      <c r="AA353" s="67">
        <f t="shared" si="39"/>
        <v>3.3480000000007948E-4</v>
      </c>
      <c r="AB353" s="91"/>
      <c r="AC353" s="91"/>
      <c r="AD353" s="3"/>
      <c r="AE353" s="67">
        <f t="shared" si="40"/>
        <v>2.3718252</v>
      </c>
      <c r="AF353" s="67">
        <f t="shared" si="41"/>
        <v>3.3480000000007948E-4</v>
      </c>
    </row>
    <row r="354" spans="1:32" ht="62.4" hidden="1">
      <c r="A354" s="41">
        <f t="shared" si="42"/>
        <v>352</v>
      </c>
      <c r="B354" s="41" t="s">
        <v>581</v>
      </c>
      <c r="C354" s="41" t="s">
        <v>1002</v>
      </c>
      <c r="D354" s="34" t="s">
        <v>1016</v>
      </c>
      <c r="E354" s="41" t="s">
        <v>1400</v>
      </c>
      <c r="F354" s="43" t="s">
        <v>582</v>
      </c>
      <c r="G354" s="41" t="s">
        <v>28</v>
      </c>
      <c r="H354" s="41"/>
      <c r="I354" s="41"/>
      <c r="J354" s="41"/>
      <c r="K354" s="41"/>
      <c r="L354" s="105">
        <v>61.57</v>
      </c>
      <c r="M354" s="66">
        <v>67.17</v>
      </c>
      <c r="N354" s="41" t="s">
        <v>32</v>
      </c>
      <c r="O354" s="105">
        <v>64.62</v>
      </c>
      <c r="P354" s="66">
        <v>66.979640899999993</v>
      </c>
      <c r="Q354" s="3">
        <v>0</v>
      </c>
      <c r="R354" s="69"/>
      <c r="S354" s="22"/>
      <c r="T354" s="3"/>
      <c r="U354" s="67">
        <f t="shared" si="36"/>
        <v>66.979640899999993</v>
      </c>
      <c r="V354" s="67">
        <f t="shared" si="37"/>
        <v>0</v>
      </c>
      <c r="W354" s="91"/>
      <c r="X354" s="91"/>
      <c r="Y354" s="3"/>
      <c r="Z354" s="67">
        <f t="shared" si="38"/>
        <v>66.979640899999993</v>
      </c>
      <c r="AA354" s="67">
        <f t="shared" si="39"/>
        <v>0</v>
      </c>
      <c r="AB354" s="91"/>
      <c r="AC354" s="91"/>
      <c r="AD354" s="3"/>
      <c r="AE354" s="67">
        <f t="shared" si="40"/>
        <v>66.979640899999993</v>
      </c>
      <c r="AF354" s="67">
        <f t="shared" si="41"/>
        <v>0</v>
      </c>
    </row>
    <row r="355" spans="1:32" ht="78" hidden="1">
      <c r="A355" s="41">
        <f t="shared" si="42"/>
        <v>353</v>
      </c>
      <c r="B355" s="41" t="s">
        <v>583</v>
      </c>
      <c r="C355" s="34" t="s">
        <v>1002</v>
      </c>
      <c r="D355" s="41" t="s">
        <v>1019</v>
      </c>
      <c r="E355" s="41" t="s">
        <v>1401</v>
      </c>
      <c r="F355" s="43" t="s">
        <v>584</v>
      </c>
      <c r="G355" s="41" t="s">
        <v>28</v>
      </c>
      <c r="H355" s="41">
        <v>4</v>
      </c>
      <c r="I355" s="64">
        <v>43521</v>
      </c>
      <c r="J355" s="64">
        <v>43521</v>
      </c>
      <c r="K355" s="64" t="s">
        <v>498</v>
      </c>
      <c r="L355" s="105">
        <v>23.36</v>
      </c>
      <c r="M355" s="3">
        <v>22.05</v>
      </c>
      <c r="N355" s="41" t="s">
        <v>32</v>
      </c>
      <c r="O355" s="105">
        <v>21.55</v>
      </c>
      <c r="P355" s="66">
        <v>21.744854</v>
      </c>
      <c r="Q355" s="66">
        <v>2.6670400000000011E-2</v>
      </c>
      <c r="R355" s="69"/>
      <c r="S355" s="22"/>
      <c r="T355" s="3"/>
      <c r="U355" s="67">
        <f t="shared" si="36"/>
        <v>21.744854</v>
      </c>
      <c r="V355" s="67">
        <f t="shared" si="37"/>
        <v>2.6670400000000011E-2</v>
      </c>
      <c r="W355" s="91"/>
      <c r="X355" s="93"/>
      <c r="Y355" s="3"/>
      <c r="Z355" s="67">
        <f t="shared" si="38"/>
        <v>21.744854</v>
      </c>
      <c r="AA355" s="67">
        <f t="shared" si="39"/>
        <v>2.6670400000000011E-2</v>
      </c>
      <c r="AB355" s="91"/>
      <c r="AC355" s="91"/>
      <c r="AD355" s="3"/>
      <c r="AE355" s="67">
        <f t="shared" si="40"/>
        <v>21.744854</v>
      </c>
      <c r="AF355" s="67">
        <f t="shared" si="41"/>
        <v>2.6670400000000011E-2</v>
      </c>
    </row>
    <row r="356" spans="1:32" ht="78">
      <c r="A356" s="41">
        <f t="shared" si="42"/>
        <v>354</v>
      </c>
      <c r="B356" s="41" t="s">
        <v>585</v>
      </c>
      <c r="C356" s="41" t="s">
        <v>876</v>
      </c>
      <c r="D356" s="34" t="s">
        <v>1016</v>
      </c>
      <c r="E356" s="41" t="s">
        <v>1402</v>
      </c>
      <c r="F356" s="43" t="s">
        <v>586</v>
      </c>
      <c r="G356" s="41" t="s">
        <v>28</v>
      </c>
      <c r="H356" s="63">
        <v>4</v>
      </c>
      <c r="I356" s="64">
        <v>42369</v>
      </c>
      <c r="J356" s="64">
        <v>42369</v>
      </c>
      <c r="K356" s="64">
        <v>42734</v>
      </c>
      <c r="L356" s="105">
        <v>69.66</v>
      </c>
      <c r="M356" s="66">
        <v>69.66</v>
      </c>
      <c r="N356" s="41" t="s">
        <v>587</v>
      </c>
      <c r="O356" s="91">
        <v>67.819999999999993</v>
      </c>
      <c r="P356" s="3">
        <v>66.777505586000004</v>
      </c>
      <c r="Q356" s="66">
        <v>2.5714412139999894</v>
      </c>
      <c r="R356" s="69"/>
      <c r="S356" s="22"/>
      <c r="T356" s="3"/>
      <c r="U356" s="67">
        <f t="shared" si="36"/>
        <v>66.777505586000004</v>
      </c>
      <c r="V356" s="67">
        <f t="shared" si="37"/>
        <v>2.5714412139999894</v>
      </c>
      <c r="W356" s="91"/>
      <c r="X356" s="91"/>
      <c r="Y356" s="3"/>
      <c r="Z356" s="67">
        <f t="shared" si="38"/>
        <v>66.777505586000004</v>
      </c>
      <c r="AA356" s="67">
        <f t="shared" si="39"/>
        <v>2.5714412139999894</v>
      </c>
      <c r="AB356" s="91"/>
      <c r="AC356" s="91"/>
      <c r="AD356" s="3"/>
      <c r="AE356" s="67">
        <f t="shared" si="40"/>
        <v>66.777505586000004</v>
      </c>
      <c r="AF356" s="67">
        <f t="shared" si="41"/>
        <v>2.5714412139999894</v>
      </c>
    </row>
    <row r="357" spans="1:32" ht="46.8">
      <c r="A357" s="41">
        <f t="shared" si="42"/>
        <v>355</v>
      </c>
      <c r="B357" s="41" t="s">
        <v>585</v>
      </c>
      <c r="C357" s="41" t="s">
        <v>876</v>
      </c>
      <c r="D357" s="34" t="s">
        <v>1016</v>
      </c>
      <c r="E357" s="41" t="s">
        <v>1402</v>
      </c>
      <c r="F357" s="43" t="s">
        <v>1022</v>
      </c>
      <c r="G357" s="41" t="s">
        <v>28</v>
      </c>
      <c r="H357" s="63">
        <v>4</v>
      </c>
      <c r="I357" s="64">
        <v>42369</v>
      </c>
      <c r="J357" s="64">
        <v>42369</v>
      </c>
      <c r="K357" s="64">
        <v>42734</v>
      </c>
      <c r="L357" s="105">
        <v>69.66</v>
      </c>
      <c r="M357" s="66">
        <v>69.66</v>
      </c>
      <c r="N357" s="41" t="s">
        <v>32</v>
      </c>
      <c r="O357" s="91">
        <v>67.819999999999993</v>
      </c>
      <c r="P357" s="3">
        <v>1.0041545000000001</v>
      </c>
      <c r="Q357" s="66">
        <v>-1.0041545000000001</v>
      </c>
      <c r="R357" s="69"/>
      <c r="S357" s="22"/>
      <c r="T357" s="3"/>
      <c r="U357" s="67">
        <f t="shared" si="36"/>
        <v>1.0041545000000001</v>
      </c>
      <c r="V357" s="79">
        <f t="shared" si="37"/>
        <v>-1.0041545000000001</v>
      </c>
      <c r="W357" s="91"/>
      <c r="X357" s="91"/>
      <c r="Y357" s="3"/>
      <c r="Z357" s="67">
        <f t="shared" si="38"/>
        <v>1.0041545000000001</v>
      </c>
      <c r="AA357" s="67">
        <f t="shared" si="39"/>
        <v>-1.0041545000000001</v>
      </c>
      <c r="AB357" s="91"/>
      <c r="AC357" s="91"/>
      <c r="AD357" s="3"/>
      <c r="AE357" s="67">
        <f t="shared" si="40"/>
        <v>1.0041545000000001</v>
      </c>
      <c r="AF357" s="67">
        <f t="shared" si="41"/>
        <v>-1.0041545000000001</v>
      </c>
    </row>
    <row r="358" spans="1:32" ht="124.8" hidden="1">
      <c r="A358" s="41">
        <f t="shared" si="42"/>
        <v>356</v>
      </c>
      <c r="B358" s="41" t="s">
        <v>588</v>
      </c>
      <c r="C358" s="34" t="s">
        <v>1002</v>
      </c>
      <c r="D358" s="34" t="s">
        <v>1019</v>
      </c>
      <c r="E358" s="41" t="s">
        <v>1403</v>
      </c>
      <c r="F358" s="43" t="s">
        <v>589</v>
      </c>
      <c r="G358" s="41"/>
      <c r="H358" s="41"/>
      <c r="I358" s="41"/>
      <c r="J358" s="41"/>
      <c r="K358" s="41"/>
      <c r="L358" s="91">
        <v>0</v>
      </c>
      <c r="M358" s="3">
        <v>0</v>
      </c>
      <c r="N358" s="41" t="s">
        <v>29</v>
      </c>
      <c r="O358" s="105">
        <v>43.52</v>
      </c>
      <c r="P358" s="66">
        <v>7.3185712999999994</v>
      </c>
      <c r="Q358" s="3">
        <v>0</v>
      </c>
      <c r="R358" s="25">
        <v>0.21936659999999999</v>
      </c>
      <c r="S358" s="22"/>
      <c r="T358" s="3"/>
      <c r="U358" s="67">
        <f t="shared" si="36"/>
        <v>7.3185712999999994</v>
      </c>
      <c r="V358" s="67">
        <f t="shared" si="37"/>
        <v>0.21936659999999999</v>
      </c>
      <c r="W358" s="94"/>
      <c r="X358" s="93"/>
      <c r="Y358" s="3"/>
      <c r="Z358" s="67">
        <f t="shared" si="38"/>
        <v>7.3185712999999994</v>
      </c>
      <c r="AA358" s="67">
        <f t="shared" si="39"/>
        <v>0.21936659999999999</v>
      </c>
      <c r="AB358" s="91"/>
      <c r="AC358" s="91"/>
      <c r="AD358" s="3"/>
      <c r="AE358" s="67">
        <f t="shared" si="40"/>
        <v>7.3185712999999994</v>
      </c>
      <c r="AF358" s="67">
        <f t="shared" si="41"/>
        <v>0.21936659999999999</v>
      </c>
    </row>
    <row r="359" spans="1:32" ht="46.8">
      <c r="A359" s="41">
        <f t="shared" si="42"/>
        <v>357</v>
      </c>
      <c r="B359" s="41" t="s">
        <v>590</v>
      </c>
      <c r="C359" s="41" t="s">
        <v>876</v>
      </c>
      <c r="D359" s="34" t="s">
        <v>1017</v>
      </c>
      <c r="E359" s="41" t="s">
        <v>1404</v>
      </c>
      <c r="F359" s="43" t="s">
        <v>591</v>
      </c>
      <c r="G359" s="41" t="s">
        <v>28</v>
      </c>
      <c r="H359" s="41"/>
      <c r="I359" s="41"/>
      <c r="J359" s="41"/>
      <c r="K359" s="41"/>
      <c r="L359" s="91"/>
      <c r="M359" s="66">
        <v>18.04</v>
      </c>
      <c r="N359" s="41" t="s">
        <v>32</v>
      </c>
      <c r="O359" s="105">
        <v>18.04</v>
      </c>
      <c r="P359" s="66">
        <v>19.367330599999999</v>
      </c>
      <c r="Q359" s="3">
        <v>0</v>
      </c>
      <c r="R359" s="69"/>
      <c r="S359" s="22"/>
      <c r="T359" s="3"/>
      <c r="U359" s="67">
        <f t="shared" si="36"/>
        <v>19.367330599999999</v>
      </c>
      <c r="V359" s="67">
        <f t="shared" si="37"/>
        <v>0</v>
      </c>
      <c r="W359" s="91"/>
      <c r="X359" s="91"/>
      <c r="Y359" s="3"/>
      <c r="Z359" s="67">
        <f t="shared" si="38"/>
        <v>19.367330599999999</v>
      </c>
      <c r="AA359" s="67">
        <f t="shared" si="39"/>
        <v>0</v>
      </c>
      <c r="AB359" s="91"/>
      <c r="AC359" s="91"/>
      <c r="AD359" s="3"/>
      <c r="AE359" s="67">
        <f t="shared" si="40"/>
        <v>19.367330599999999</v>
      </c>
      <c r="AF359" s="67">
        <f t="shared" si="41"/>
        <v>0</v>
      </c>
    </row>
    <row r="360" spans="1:32" ht="46.8" hidden="1">
      <c r="A360" s="41">
        <f t="shared" si="42"/>
        <v>358</v>
      </c>
      <c r="B360" s="41" t="s">
        <v>592</v>
      </c>
      <c r="C360" s="41" t="s">
        <v>1002</v>
      </c>
      <c r="D360" s="41" t="s">
        <v>1016</v>
      </c>
      <c r="E360" s="41" t="s">
        <v>1405</v>
      </c>
      <c r="F360" s="43" t="s">
        <v>593</v>
      </c>
      <c r="G360" s="41" t="s">
        <v>28</v>
      </c>
      <c r="H360" s="41">
        <v>1</v>
      </c>
      <c r="I360" s="41" t="s">
        <v>231</v>
      </c>
      <c r="J360" s="41" t="s">
        <v>231</v>
      </c>
      <c r="K360" s="41" t="s">
        <v>232</v>
      </c>
      <c r="L360" s="91">
        <v>16.940000000000001</v>
      </c>
      <c r="M360" s="3"/>
      <c r="N360" s="41" t="s">
        <v>29</v>
      </c>
      <c r="O360" s="105">
        <v>19.690000000000001</v>
      </c>
      <c r="P360" s="66">
        <v>19.749684199999997</v>
      </c>
      <c r="Q360" s="3">
        <v>0</v>
      </c>
      <c r="R360" s="25">
        <v>4.5181100000000002E-2</v>
      </c>
      <c r="S360" s="22"/>
      <c r="T360" s="3"/>
      <c r="U360" s="67">
        <f t="shared" si="36"/>
        <v>19.749684199999997</v>
      </c>
      <c r="V360" s="67">
        <f t="shared" si="37"/>
        <v>4.5181100000000002E-2</v>
      </c>
      <c r="W360" s="91"/>
      <c r="X360" s="91"/>
      <c r="Y360" s="3"/>
      <c r="Z360" s="67">
        <f t="shared" si="38"/>
        <v>19.749684199999997</v>
      </c>
      <c r="AA360" s="67">
        <f t="shared" si="39"/>
        <v>4.5181100000000002E-2</v>
      </c>
      <c r="AB360" s="91"/>
      <c r="AC360" s="91"/>
      <c r="AD360" s="3"/>
      <c r="AE360" s="67">
        <f t="shared" si="40"/>
        <v>19.749684199999997</v>
      </c>
      <c r="AF360" s="67">
        <f t="shared" si="41"/>
        <v>4.5181100000000002E-2</v>
      </c>
    </row>
    <row r="361" spans="1:32" ht="78" hidden="1">
      <c r="A361" s="41">
        <f t="shared" si="42"/>
        <v>359</v>
      </c>
      <c r="B361" s="41" t="s">
        <v>594</v>
      </c>
      <c r="C361" s="41" t="s">
        <v>1002</v>
      </c>
      <c r="D361" s="34" t="s">
        <v>1016</v>
      </c>
      <c r="E361" s="41" t="s">
        <v>1406</v>
      </c>
      <c r="F361" s="43" t="s">
        <v>595</v>
      </c>
      <c r="G361" s="41" t="s">
        <v>28</v>
      </c>
      <c r="H361" s="63">
        <v>2</v>
      </c>
      <c r="I361" s="64">
        <v>42084</v>
      </c>
      <c r="J361" s="64">
        <v>42084</v>
      </c>
      <c r="K361" s="64">
        <v>42449</v>
      </c>
      <c r="L361" s="105">
        <v>55.51</v>
      </c>
      <c r="M361" s="66">
        <v>55.51</v>
      </c>
      <c r="N361" s="41" t="s">
        <v>32</v>
      </c>
      <c r="O361" s="105">
        <v>59.61</v>
      </c>
      <c r="P361" s="66">
        <v>62.968961100000001</v>
      </c>
      <c r="Q361" s="3">
        <v>-2.6675020999999997</v>
      </c>
      <c r="R361" s="25">
        <v>0.66284299999999996</v>
      </c>
      <c r="S361" s="22"/>
      <c r="T361" s="3"/>
      <c r="U361" s="67">
        <f t="shared" si="36"/>
        <v>62.968961100000001</v>
      </c>
      <c r="V361" s="79">
        <f t="shared" si="37"/>
        <v>-2.0046590999999996</v>
      </c>
      <c r="W361" s="91"/>
      <c r="X361" s="91"/>
      <c r="Y361" s="3"/>
      <c r="Z361" s="67">
        <f t="shared" si="38"/>
        <v>62.968961100000001</v>
      </c>
      <c r="AA361" s="67">
        <f t="shared" si="39"/>
        <v>-2.0046590999999996</v>
      </c>
      <c r="AB361" s="91"/>
      <c r="AC361" s="91"/>
      <c r="AD361" s="3"/>
      <c r="AE361" s="67">
        <f t="shared" si="40"/>
        <v>62.968961100000001</v>
      </c>
      <c r="AF361" s="67">
        <f t="shared" si="41"/>
        <v>-2.0046590999999996</v>
      </c>
    </row>
    <row r="362" spans="1:32" ht="46.8">
      <c r="A362" s="41">
        <f t="shared" si="42"/>
        <v>360</v>
      </c>
      <c r="B362" s="41" t="s">
        <v>596</v>
      </c>
      <c r="C362" s="41"/>
      <c r="D362" s="41" t="s">
        <v>1017</v>
      </c>
      <c r="E362" s="41" t="s">
        <v>1407</v>
      </c>
      <c r="F362" s="43" t="s">
        <v>597</v>
      </c>
      <c r="G362" s="41" t="s">
        <v>28</v>
      </c>
      <c r="H362" s="41"/>
      <c r="I362" s="70" t="s">
        <v>598</v>
      </c>
      <c r="J362" s="41" t="s">
        <v>598</v>
      </c>
      <c r="K362" s="41" t="s">
        <v>599</v>
      </c>
      <c r="L362" s="91" t="s">
        <v>600</v>
      </c>
      <c r="M362" s="3">
        <v>668.72</v>
      </c>
      <c r="N362" s="41" t="s">
        <v>32</v>
      </c>
      <c r="O362" s="105">
        <v>88.7</v>
      </c>
      <c r="P362" s="3">
        <v>3.3708402</v>
      </c>
      <c r="Q362" s="3">
        <v>-3.3708402</v>
      </c>
      <c r="R362" s="3"/>
      <c r="S362" s="22"/>
      <c r="T362" s="3"/>
      <c r="U362" s="67">
        <f t="shared" si="36"/>
        <v>3.3708402</v>
      </c>
      <c r="V362" s="79">
        <f t="shared" si="37"/>
        <v>-3.3708402</v>
      </c>
      <c r="W362" s="91"/>
      <c r="X362" s="91"/>
      <c r="Y362" s="3"/>
      <c r="Z362" s="67">
        <f t="shared" si="38"/>
        <v>3.3708402</v>
      </c>
      <c r="AA362" s="67">
        <f t="shared" si="39"/>
        <v>-3.3708402</v>
      </c>
      <c r="AB362" s="91"/>
      <c r="AC362" s="91"/>
      <c r="AD362" s="3"/>
      <c r="AE362" s="67">
        <f t="shared" si="40"/>
        <v>3.3708402</v>
      </c>
      <c r="AF362" s="67">
        <f t="shared" si="41"/>
        <v>-3.3708402</v>
      </c>
    </row>
    <row r="363" spans="1:32" ht="46.8" hidden="1">
      <c r="A363" s="41">
        <f t="shared" si="42"/>
        <v>361</v>
      </c>
      <c r="B363" s="41" t="s">
        <v>601</v>
      </c>
      <c r="C363" s="34" t="s">
        <v>1002</v>
      </c>
      <c r="D363" s="42" t="s">
        <v>1017</v>
      </c>
      <c r="E363" s="41" t="s">
        <v>1408</v>
      </c>
      <c r="F363" s="43" t="s">
        <v>602</v>
      </c>
      <c r="G363" s="41" t="s">
        <v>28</v>
      </c>
      <c r="H363" s="41"/>
      <c r="I363" s="41"/>
      <c r="J363" s="41"/>
      <c r="K363" s="41"/>
      <c r="L363" s="91">
        <v>0</v>
      </c>
      <c r="M363" s="3">
        <v>0</v>
      </c>
      <c r="N363" s="41" t="s">
        <v>32</v>
      </c>
      <c r="O363" s="105">
        <v>6.22</v>
      </c>
      <c r="P363" s="66">
        <v>6.9997609000000001</v>
      </c>
      <c r="Q363" s="3">
        <v>0</v>
      </c>
      <c r="R363" s="25">
        <v>9.98478E-2</v>
      </c>
      <c r="S363" s="22">
        <v>0.1011678</v>
      </c>
      <c r="T363" s="3"/>
      <c r="U363" s="67">
        <f t="shared" si="36"/>
        <v>7.1009286999999999</v>
      </c>
      <c r="V363" s="79">
        <f t="shared" si="37"/>
        <v>-1.3200000000000017E-3</v>
      </c>
      <c r="W363" s="94"/>
      <c r="X363" s="91"/>
      <c r="Y363" s="3"/>
      <c r="Z363" s="67">
        <f t="shared" si="38"/>
        <v>7.1009286999999999</v>
      </c>
      <c r="AA363" s="67">
        <f t="shared" si="39"/>
        <v>-1.3200000000000017E-3</v>
      </c>
      <c r="AB363" s="91"/>
      <c r="AC363" s="91"/>
      <c r="AD363" s="3"/>
      <c r="AE363" s="67">
        <f t="shared" si="40"/>
        <v>7.1009286999999999</v>
      </c>
      <c r="AF363" s="67">
        <f t="shared" si="41"/>
        <v>-1.3200000000000017E-3</v>
      </c>
    </row>
    <row r="364" spans="1:32" ht="46.8" hidden="1">
      <c r="A364" s="41">
        <f t="shared" si="42"/>
        <v>362</v>
      </c>
      <c r="B364" s="41" t="s">
        <v>603</v>
      </c>
      <c r="C364" s="41" t="s">
        <v>1002</v>
      </c>
      <c r="D364" s="34" t="s">
        <v>1016</v>
      </c>
      <c r="E364" s="41" t="s">
        <v>1409</v>
      </c>
      <c r="F364" s="43" t="s">
        <v>604</v>
      </c>
      <c r="G364" s="41"/>
      <c r="H364" s="41"/>
      <c r="I364" s="41"/>
      <c r="J364" s="41"/>
      <c r="K364" s="41"/>
      <c r="L364" s="91"/>
      <c r="M364" s="3"/>
      <c r="N364" s="41" t="s">
        <v>29</v>
      </c>
      <c r="O364" s="105">
        <v>67.23</v>
      </c>
      <c r="P364" s="66">
        <v>72.457999300000012</v>
      </c>
      <c r="Q364" s="3">
        <v>-1.04128E-2</v>
      </c>
      <c r="R364" s="69"/>
      <c r="S364" s="22"/>
      <c r="T364" s="3"/>
      <c r="U364" s="67">
        <f t="shared" si="36"/>
        <v>72.457999300000012</v>
      </c>
      <c r="V364" s="79">
        <f t="shared" si="37"/>
        <v>-1.04128E-2</v>
      </c>
      <c r="W364" s="91"/>
      <c r="X364" s="91"/>
      <c r="Y364" s="3"/>
      <c r="Z364" s="67">
        <f t="shared" si="38"/>
        <v>72.457999300000012</v>
      </c>
      <c r="AA364" s="67">
        <f t="shared" si="39"/>
        <v>-1.04128E-2</v>
      </c>
      <c r="AB364" s="91"/>
      <c r="AC364" s="91"/>
      <c r="AD364" s="3"/>
      <c r="AE364" s="67">
        <f t="shared" si="40"/>
        <v>72.457999300000012</v>
      </c>
      <c r="AF364" s="67">
        <f t="shared" si="41"/>
        <v>-1.04128E-2</v>
      </c>
    </row>
    <row r="365" spans="1:32" ht="46.8" hidden="1">
      <c r="A365" s="41">
        <f t="shared" si="42"/>
        <v>363</v>
      </c>
      <c r="B365" s="41" t="s">
        <v>605</v>
      </c>
      <c r="C365" s="41" t="s">
        <v>1002</v>
      </c>
      <c r="D365" s="41" t="s">
        <v>1017</v>
      </c>
      <c r="E365" s="41" t="s">
        <v>1410</v>
      </c>
      <c r="F365" s="43" t="s">
        <v>606</v>
      </c>
      <c r="G365" s="41" t="s">
        <v>28</v>
      </c>
      <c r="H365" s="41"/>
      <c r="I365" s="41" t="s">
        <v>202</v>
      </c>
      <c r="J365" s="41" t="s">
        <v>202</v>
      </c>
      <c r="K365" s="41" t="s">
        <v>607</v>
      </c>
      <c r="L365" s="91" t="s">
        <v>608</v>
      </c>
      <c r="M365" s="66">
        <v>1370.02</v>
      </c>
      <c r="N365" s="41" t="s">
        <v>29</v>
      </c>
      <c r="O365" s="105">
        <v>6.06</v>
      </c>
      <c r="P365" s="66">
        <v>0.52758939999999999</v>
      </c>
      <c r="Q365" s="3">
        <v>0.19641500000000001</v>
      </c>
      <c r="R365" s="69"/>
      <c r="S365" s="22"/>
      <c r="T365" s="3"/>
      <c r="U365" s="67">
        <f t="shared" si="36"/>
        <v>0.52758939999999999</v>
      </c>
      <c r="V365" s="67">
        <f t="shared" si="37"/>
        <v>0.19641500000000001</v>
      </c>
      <c r="W365" s="91"/>
      <c r="X365" s="91"/>
      <c r="Y365" s="3"/>
      <c r="Z365" s="67">
        <f t="shared" si="38"/>
        <v>0.52758939999999999</v>
      </c>
      <c r="AA365" s="67">
        <f t="shared" si="39"/>
        <v>0.19641500000000001</v>
      </c>
      <c r="AB365" s="91"/>
      <c r="AC365" s="91"/>
      <c r="AD365" s="3"/>
      <c r="AE365" s="67">
        <f t="shared" si="40"/>
        <v>0.52758939999999999</v>
      </c>
      <c r="AF365" s="67">
        <f t="shared" si="41"/>
        <v>0.19641500000000001</v>
      </c>
    </row>
    <row r="366" spans="1:32" ht="46.8" hidden="1">
      <c r="A366" s="41">
        <f t="shared" si="42"/>
        <v>364</v>
      </c>
      <c r="B366" s="41" t="s">
        <v>609</v>
      </c>
      <c r="C366" s="41" t="s">
        <v>1002</v>
      </c>
      <c r="D366" s="34" t="s">
        <v>1019</v>
      </c>
      <c r="E366" s="41" t="s">
        <v>1411</v>
      </c>
      <c r="F366" s="43" t="s">
        <v>610</v>
      </c>
      <c r="G366" s="41" t="s">
        <v>28</v>
      </c>
      <c r="H366" s="41">
        <v>4</v>
      </c>
      <c r="I366" s="64">
        <v>43486</v>
      </c>
      <c r="J366" s="64">
        <v>43486</v>
      </c>
      <c r="K366" s="41" t="s">
        <v>462</v>
      </c>
      <c r="L366" s="105">
        <v>69.569999999999993</v>
      </c>
      <c r="M366" s="66">
        <v>67.08</v>
      </c>
      <c r="N366" s="41" t="s">
        <v>32</v>
      </c>
      <c r="O366" s="105">
        <v>69.569999999999993</v>
      </c>
      <c r="P366" s="3">
        <v>29.677890425000001</v>
      </c>
      <c r="Q366" s="66">
        <v>-0.44080872500000401</v>
      </c>
      <c r="R366" s="69"/>
      <c r="S366" s="22"/>
      <c r="T366" s="22"/>
      <c r="U366" s="67">
        <f t="shared" si="36"/>
        <v>29.677890425000001</v>
      </c>
      <c r="V366" s="79">
        <f t="shared" si="37"/>
        <v>-0.44080872500000401</v>
      </c>
      <c r="W366" s="91"/>
      <c r="X366" s="91"/>
      <c r="Y366" s="3"/>
      <c r="Z366" s="67">
        <f t="shared" si="38"/>
        <v>29.677890425000001</v>
      </c>
      <c r="AA366" s="67">
        <f t="shared" si="39"/>
        <v>-0.44080872500000401</v>
      </c>
      <c r="AB366" s="91"/>
      <c r="AC366" s="91"/>
      <c r="AD366" s="3"/>
      <c r="AE366" s="67">
        <f t="shared" si="40"/>
        <v>29.677890425000001</v>
      </c>
      <c r="AF366" s="67">
        <f t="shared" si="41"/>
        <v>-0.44080872500000401</v>
      </c>
    </row>
    <row r="367" spans="1:32" ht="46.8">
      <c r="A367" s="41">
        <f t="shared" si="42"/>
        <v>365</v>
      </c>
      <c r="B367" s="41" t="s">
        <v>611</v>
      </c>
      <c r="C367" s="41"/>
      <c r="D367" s="34" t="s">
        <v>1017</v>
      </c>
      <c r="E367" s="41" t="s">
        <v>1412</v>
      </c>
      <c r="F367" s="43" t="s">
        <v>612</v>
      </c>
      <c r="G367" s="41" t="s">
        <v>28</v>
      </c>
      <c r="H367" s="41"/>
      <c r="I367" s="41"/>
      <c r="J367" s="41"/>
      <c r="K367" s="41"/>
      <c r="L367" s="91"/>
      <c r="M367" s="3"/>
      <c r="N367" s="41" t="s">
        <v>32</v>
      </c>
      <c r="O367" s="91">
        <v>0</v>
      </c>
      <c r="P367" s="3">
        <v>4.4035900000000003E-2</v>
      </c>
      <c r="Q367" s="66">
        <v>1.2659641000000001</v>
      </c>
      <c r="R367" s="3"/>
      <c r="S367" s="22"/>
      <c r="T367" s="3"/>
      <c r="U367" s="67">
        <f t="shared" si="36"/>
        <v>4.4035900000000003E-2</v>
      </c>
      <c r="V367" s="67">
        <f t="shared" si="37"/>
        <v>1.2659641000000001</v>
      </c>
      <c r="W367" s="91">
        <f>V367</f>
        <v>1.2659641000000001</v>
      </c>
      <c r="X367" s="91"/>
      <c r="Y367" s="3"/>
      <c r="Z367" s="67">
        <f t="shared" si="38"/>
        <v>4.4035900000000003E-2</v>
      </c>
      <c r="AA367" s="67">
        <f t="shared" si="39"/>
        <v>2.5319282000000003</v>
      </c>
      <c r="AB367" s="91"/>
      <c r="AC367" s="91"/>
      <c r="AD367" s="3"/>
      <c r="AE367" s="67">
        <f t="shared" si="40"/>
        <v>4.4035900000000003E-2</v>
      </c>
      <c r="AF367" s="67">
        <f t="shared" si="41"/>
        <v>2.5319282000000003</v>
      </c>
    </row>
    <row r="368" spans="1:32" ht="78" hidden="1">
      <c r="A368" s="41">
        <f t="shared" si="42"/>
        <v>366</v>
      </c>
      <c r="B368" s="41" t="s">
        <v>613</v>
      </c>
      <c r="C368" s="41" t="s">
        <v>1002</v>
      </c>
      <c r="D368" s="34" t="s">
        <v>1016</v>
      </c>
      <c r="E368" s="41" t="s">
        <v>1413</v>
      </c>
      <c r="F368" s="43" t="s">
        <v>614</v>
      </c>
      <c r="G368" s="41" t="s">
        <v>28</v>
      </c>
      <c r="H368" s="63">
        <v>3</v>
      </c>
      <c r="I368" s="64">
        <v>42431</v>
      </c>
      <c r="J368" s="64">
        <v>42431</v>
      </c>
      <c r="K368" s="64">
        <v>42614</v>
      </c>
      <c r="L368" s="105">
        <v>11.41</v>
      </c>
      <c r="M368" s="66">
        <v>12.58</v>
      </c>
      <c r="N368" s="41" t="s">
        <v>32</v>
      </c>
      <c r="O368" s="105">
        <v>11.93</v>
      </c>
      <c r="P368" s="66">
        <v>12.8689693</v>
      </c>
      <c r="Q368" s="3">
        <v>0</v>
      </c>
      <c r="R368" s="69"/>
      <c r="S368" s="22"/>
      <c r="T368" s="3"/>
      <c r="U368" s="67">
        <f t="shared" si="36"/>
        <v>12.8689693</v>
      </c>
      <c r="V368" s="67">
        <f t="shared" si="37"/>
        <v>0</v>
      </c>
      <c r="W368" s="91"/>
      <c r="X368" s="91"/>
      <c r="Y368" s="3"/>
      <c r="Z368" s="67">
        <f t="shared" si="38"/>
        <v>12.8689693</v>
      </c>
      <c r="AA368" s="67">
        <f t="shared" si="39"/>
        <v>0</v>
      </c>
      <c r="AB368" s="91"/>
      <c r="AC368" s="91"/>
      <c r="AD368" s="3"/>
      <c r="AE368" s="67">
        <f t="shared" si="40"/>
        <v>12.8689693</v>
      </c>
      <c r="AF368" s="67">
        <f t="shared" si="41"/>
        <v>0</v>
      </c>
    </row>
    <row r="369" spans="1:32" ht="46.8" hidden="1">
      <c r="A369" s="41">
        <f t="shared" si="42"/>
        <v>367</v>
      </c>
      <c r="B369" s="41" t="s">
        <v>615</v>
      </c>
      <c r="C369" s="41" t="s">
        <v>1002</v>
      </c>
      <c r="D369" s="41" t="s">
        <v>1016</v>
      </c>
      <c r="E369" s="41" t="s">
        <v>1414</v>
      </c>
      <c r="F369" s="43" t="s">
        <v>616</v>
      </c>
      <c r="G369" s="41" t="s">
        <v>28</v>
      </c>
      <c r="H369" s="63">
        <v>2</v>
      </c>
      <c r="I369" s="64">
        <v>42084</v>
      </c>
      <c r="J369" s="64">
        <v>42084</v>
      </c>
      <c r="K369" s="64">
        <v>42449</v>
      </c>
      <c r="L369" s="105">
        <v>80.599999999999994</v>
      </c>
      <c r="M369" s="66">
        <v>67.03</v>
      </c>
      <c r="N369" s="41" t="s">
        <v>32</v>
      </c>
      <c r="O369" s="105">
        <v>63.2</v>
      </c>
      <c r="P369" s="66">
        <v>69.60138289999999</v>
      </c>
      <c r="Q369" s="3">
        <v>0</v>
      </c>
      <c r="R369" s="69"/>
      <c r="S369" s="22"/>
      <c r="T369" s="3"/>
      <c r="U369" s="67">
        <f t="shared" si="36"/>
        <v>69.60138289999999</v>
      </c>
      <c r="V369" s="67">
        <f t="shared" si="37"/>
        <v>0</v>
      </c>
      <c r="W369" s="91"/>
      <c r="X369" s="91"/>
      <c r="Y369" s="3"/>
      <c r="Z369" s="67">
        <f t="shared" si="38"/>
        <v>69.60138289999999</v>
      </c>
      <c r="AA369" s="67">
        <f t="shared" si="39"/>
        <v>0</v>
      </c>
      <c r="AB369" s="91"/>
      <c r="AC369" s="91"/>
      <c r="AD369" s="3"/>
      <c r="AE369" s="67">
        <f t="shared" si="40"/>
        <v>69.60138289999999</v>
      </c>
      <c r="AF369" s="67">
        <f t="shared" si="41"/>
        <v>0</v>
      </c>
    </row>
    <row r="370" spans="1:32" ht="46.8">
      <c r="A370" s="41">
        <f t="shared" si="42"/>
        <v>368</v>
      </c>
      <c r="B370" s="41" t="s">
        <v>617</v>
      </c>
      <c r="C370" s="41" t="s">
        <v>876</v>
      </c>
      <c r="D370" s="41" t="s">
        <v>1016</v>
      </c>
      <c r="E370" s="41" t="s">
        <v>1158</v>
      </c>
      <c r="F370" s="43" t="s">
        <v>618</v>
      </c>
      <c r="G370" s="41"/>
      <c r="H370" s="41"/>
      <c r="I370" s="41"/>
      <c r="J370" s="41"/>
      <c r="K370" s="41"/>
      <c r="L370" s="91"/>
      <c r="M370" s="3"/>
      <c r="N370" s="41" t="s">
        <v>32</v>
      </c>
      <c r="O370" s="91">
        <v>0</v>
      </c>
      <c r="P370" s="3">
        <v>2.5267000000000001E-2</v>
      </c>
      <c r="Q370" s="3">
        <v>0</v>
      </c>
      <c r="R370" s="69"/>
      <c r="S370" s="22"/>
      <c r="T370" s="3"/>
      <c r="U370" s="67">
        <f t="shared" si="36"/>
        <v>2.5267000000000001E-2</v>
      </c>
      <c r="V370" s="67">
        <f t="shared" si="37"/>
        <v>0</v>
      </c>
      <c r="W370" s="91"/>
      <c r="X370" s="91"/>
      <c r="Y370" s="3"/>
      <c r="Z370" s="67">
        <f t="shared" si="38"/>
        <v>2.5267000000000001E-2</v>
      </c>
      <c r="AA370" s="67">
        <f t="shared" si="39"/>
        <v>0</v>
      </c>
      <c r="AB370" s="91"/>
      <c r="AC370" s="91"/>
      <c r="AD370" s="3"/>
      <c r="AE370" s="67">
        <f t="shared" si="40"/>
        <v>2.5267000000000001E-2</v>
      </c>
      <c r="AF370" s="67">
        <f t="shared" si="41"/>
        <v>0</v>
      </c>
    </row>
    <row r="371" spans="1:32" ht="46.8" hidden="1">
      <c r="A371" s="41">
        <f t="shared" si="42"/>
        <v>369</v>
      </c>
      <c r="B371" s="41" t="s">
        <v>619</v>
      </c>
      <c r="C371" s="41" t="s">
        <v>1002</v>
      </c>
      <c r="D371" s="34" t="s">
        <v>1016</v>
      </c>
      <c r="E371" s="41" t="s">
        <v>1415</v>
      </c>
      <c r="F371" s="43" t="s">
        <v>620</v>
      </c>
      <c r="G371" s="41" t="s">
        <v>28</v>
      </c>
      <c r="H371" s="63">
        <v>6</v>
      </c>
      <c r="I371" s="64">
        <v>43143</v>
      </c>
      <c r="J371" s="64">
        <v>43143</v>
      </c>
      <c r="K371" s="64">
        <v>43507</v>
      </c>
      <c r="L371" s="105">
        <v>31.69</v>
      </c>
      <c r="M371" s="66">
        <v>31.69</v>
      </c>
      <c r="N371" s="41" t="s">
        <v>32</v>
      </c>
      <c r="O371" s="105">
        <v>31.69</v>
      </c>
      <c r="P371" s="66">
        <v>30.902835400000001</v>
      </c>
      <c r="Q371" s="3">
        <v>0</v>
      </c>
      <c r="R371" s="69"/>
      <c r="S371" s="22"/>
      <c r="T371" s="3"/>
      <c r="U371" s="67">
        <f t="shared" si="36"/>
        <v>30.902835400000001</v>
      </c>
      <c r="V371" s="67">
        <f t="shared" si="37"/>
        <v>0</v>
      </c>
      <c r="W371" s="91"/>
      <c r="X371" s="91"/>
      <c r="Y371" s="3"/>
      <c r="Z371" s="67">
        <f t="shared" si="38"/>
        <v>30.902835400000001</v>
      </c>
      <c r="AA371" s="67">
        <f t="shared" si="39"/>
        <v>0</v>
      </c>
      <c r="AB371" s="91"/>
      <c r="AC371" s="91"/>
      <c r="AD371" s="3"/>
      <c r="AE371" s="67">
        <f t="shared" si="40"/>
        <v>30.902835400000001</v>
      </c>
      <c r="AF371" s="67">
        <f t="shared" si="41"/>
        <v>0</v>
      </c>
    </row>
    <row r="372" spans="1:32" ht="46.8" hidden="1">
      <c r="A372" s="41">
        <f t="shared" si="42"/>
        <v>370</v>
      </c>
      <c r="B372" s="41" t="s">
        <v>621</v>
      </c>
      <c r="C372" s="41" t="s">
        <v>1002</v>
      </c>
      <c r="D372" s="41" t="s">
        <v>1017</v>
      </c>
      <c r="E372" s="41" t="s">
        <v>1416</v>
      </c>
      <c r="F372" s="43" t="s">
        <v>622</v>
      </c>
      <c r="G372" s="41" t="s">
        <v>28</v>
      </c>
      <c r="H372" s="41"/>
      <c r="I372" s="41"/>
      <c r="J372" s="41"/>
      <c r="K372" s="41"/>
      <c r="L372" s="91"/>
      <c r="M372" s="3"/>
      <c r="N372" s="41" t="s">
        <v>32</v>
      </c>
      <c r="O372" s="91">
        <v>0</v>
      </c>
      <c r="P372" s="66">
        <v>0.2363391</v>
      </c>
      <c r="Q372" s="3">
        <v>0</v>
      </c>
      <c r="R372" s="69"/>
      <c r="S372" s="22"/>
      <c r="T372" s="3"/>
      <c r="U372" s="67">
        <f t="shared" si="36"/>
        <v>0.2363391</v>
      </c>
      <c r="V372" s="67">
        <f t="shared" si="37"/>
        <v>0</v>
      </c>
      <c r="W372" s="91"/>
      <c r="X372" s="91"/>
      <c r="Y372" s="3"/>
      <c r="Z372" s="67">
        <f t="shared" si="38"/>
        <v>0.2363391</v>
      </c>
      <c r="AA372" s="67">
        <f t="shared" si="39"/>
        <v>0</v>
      </c>
      <c r="AB372" s="91"/>
      <c r="AC372" s="91"/>
      <c r="AD372" s="3"/>
      <c r="AE372" s="67">
        <f t="shared" si="40"/>
        <v>0.2363391</v>
      </c>
      <c r="AF372" s="67">
        <f t="shared" si="41"/>
        <v>0</v>
      </c>
    </row>
    <row r="373" spans="1:32" ht="62.4">
      <c r="A373" s="41">
        <f t="shared" si="42"/>
        <v>371</v>
      </c>
      <c r="B373" s="41" t="s">
        <v>623</v>
      </c>
      <c r="C373" s="41" t="s">
        <v>876</v>
      </c>
      <c r="D373" s="41" t="s">
        <v>1019</v>
      </c>
      <c r="E373" s="41" t="s">
        <v>1417</v>
      </c>
      <c r="F373" s="43" t="s">
        <v>624</v>
      </c>
      <c r="G373" s="41" t="s">
        <v>28</v>
      </c>
      <c r="H373" s="41">
        <v>3</v>
      </c>
      <c r="I373" s="64">
        <v>43480</v>
      </c>
      <c r="J373" s="64">
        <v>43480</v>
      </c>
      <c r="K373" s="41" t="s">
        <v>475</v>
      </c>
      <c r="L373" s="105">
        <v>12.04</v>
      </c>
      <c r="M373" s="66">
        <v>13.21</v>
      </c>
      <c r="N373" s="41" t="s">
        <v>32</v>
      </c>
      <c r="O373" s="91">
        <v>11.34</v>
      </c>
      <c r="P373" s="3">
        <v>11.679869386</v>
      </c>
      <c r="Q373" s="66">
        <v>-0.60986938599999962</v>
      </c>
      <c r="R373" s="25">
        <v>0.72354289999999999</v>
      </c>
      <c r="S373" s="22">
        <f>0.505035+0.1414995+0.0770084</f>
        <v>0.72354289999999999</v>
      </c>
      <c r="T373" s="73"/>
      <c r="U373" s="67">
        <f t="shared" si="36"/>
        <v>12.403412286</v>
      </c>
      <c r="V373" s="79">
        <f t="shared" si="37"/>
        <v>-0.60986938599999962</v>
      </c>
      <c r="W373" s="94"/>
      <c r="X373" s="91"/>
      <c r="Y373" s="3"/>
      <c r="Z373" s="67">
        <f t="shared" si="38"/>
        <v>12.403412286</v>
      </c>
      <c r="AA373" s="67">
        <f t="shared" si="39"/>
        <v>-0.60986938599999962</v>
      </c>
      <c r="AB373" s="91"/>
      <c r="AC373" s="91"/>
      <c r="AD373" s="3"/>
      <c r="AE373" s="67">
        <f t="shared" si="40"/>
        <v>12.403412286</v>
      </c>
      <c r="AF373" s="67">
        <f t="shared" si="41"/>
        <v>-0.60986938599999962</v>
      </c>
    </row>
    <row r="374" spans="1:32" ht="46.8">
      <c r="A374" s="41">
        <f t="shared" si="42"/>
        <v>372</v>
      </c>
      <c r="B374" s="41" t="s">
        <v>625</v>
      </c>
      <c r="C374" s="41" t="s">
        <v>876</v>
      </c>
      <c r="D374" s="41" t="s">
        <v>1016</v>
      </c>
      <c r="E374" s="41" t="s">
        <v>1418</v>
      </c>
      <c r="F374" s="43" t="s">
        <v>626</v>
      </c>
      <c r="G374" s="41" t="s">
        <v>28</v>
      </c>
      <c r="H374" s="63">
        <v>4</v>
      </c>
      <c r="I374" s="64">
        <v>42404</v>
      </c>
      <c r="J374" s="64">
        <v>42404</v>
      </c>
      <c r="K374" s="64">
        <v>42769</v>
      </c>
      <c r="L374" s="105">
        <v>64.959999999999994</v>
      </c>
      <c r="M374" s="66">
        <v>64.97</v>
      </c>
      <c r="N374" s="41" t="s">
        <v>32</v>
      </c>
      <c r="O374" s="105">
        <v>65.37</v>
      </c>
      <c r="P374" s="66">
        <v>68.554541999999998</v>
      </c>
      <c r="Q374" s="3">
        <v>0</v>
      </c>
      <c r="R374" s="69"/>
      <c r="S374" s="22"/>
      <c r="T374" s="3"/>
      <c r="U374" s="67">
        <f t="shared" si="36"/>
        <v>68.554541999999998</v>
      </c>
      <c r="V374" s="67">
        <f t="shared" si="37"/>
        <v>0</v>
      </c>
      <c r="W374" s="91"/>
      <c r="X374" s="91"/>
      <c r="Y374" s="3"/>
      <c r="Z374" s="67">
        <f t="shared" si="38"/>
        <v>68.554541999999998</v>
      </c>
      <c r="AA374" s="67">
        <f t="shared" si="39"/>
        <v>0</v>
      </c>
      <c r="AB374" s="91"/>
      <c r="AC374" s="91"/>
      <c r="AD374" s="3"/>
      <c r="AE374" s="67">
        <f t="shared" si="40"/>
        <v>68.554541999999998</v>
      </c>
      <c r="AF374" s="67">
        <f t="shared" si="41"/>
        <v>0</v>
      </c>
    </row>
    <row r="375" spans="1:32" ht="78">
      <c r="A375" s="41">
        <f t="shared" si="42"/>
        <v>373</v>
      </c>
      <c r="B375" s="41" t="s">
        <v>627</v>
      </c>
      <c r="C375" s="41" t="s">
        <v>876</v>
      </c>
      <c r="D375" s="34" t="s">
        <v>1016</v>
      </c>
      <c r="E375" s="41" t="s">
        <v>1419</v>
      </c>
      <c r="F375" s="43" t="s">
        <v>628</v>
      </c>
      <c r="G375" s="41" t="s">
        <v>28</v>
      </c>
      <c r="H375" s="63">
        <v>2</v>
      </c>
      <c r="I375" s="64">
        <v>42072</v>
      </c>
      <c r="J375" s="64">
        <v>42072</v>
      </c>
      <c r="K375" s="64">
        <v>42346</v>
      </c>
      <c r="L375" s="105">
        <v>20.83</v>
      </c>
      <c r="M375" s="66">
        <v>11.42</v>
      </c>
      <c r="N375" s="41" t="s">
        <v>29</v>
      </c>
      <c r="O375" s="105">
        <v>24.34</v>
      </c>
      <c r="P375" s="66">
        <v>22.562918200000002</v>
      </c>
      <c r="Q375" s="66">
        <v>1.6000000000000003</v>
      </c>
      <c r="R375" s="69"/>
      <c r="S375" s="22"/>
      <c r="T375" s="3"/>
      <c r="U375" s="67">
        <f t="shared" si="36"/>
        <v>22.562918200000002</v>
      </c>
      <c r="V375" s="67">
        <f t="shared" si="37"/>
        <v>1.6000000000000003</v>
      </c>
      <c r="W375" s="91"/>
      <c r="X375" s="91"/>
      <c r="Y375" s="3"/>
      <c r="Z375" s="67">
        <f t="shared" si="38"/>
        <v>22.562918200000002</v>
      </c>
      <c r="AA375" s="67">
        <f t="shared" si="39"/>
        <v>1.6000000000000003</v>
      </c>
      <c r="AB375" s="91"/>
      <c r="AC375" s="91"/>
      <c r="AD375" s="3"/>
      <c r="AE375" s="67">
        <f t="shared" si="40"/>
        <v>22.562918200000002</v>
      </c>
      <c r="AF375" s="67">
        <f t="shared" si="41"/>
        <v>1.6000000000000003</v>
      </c>
    </row>
    <row r="376" spans="1:32" ht="46.8" hidden="1">
      <c r="A376" s="41">
        <f t="shared" si="42"/>
        <v>374</v>
      </c>
      <c r="B376" s="41" t="s">
        <v>629</v>
      </c>
      <c r="C376" s="41" t="s">
        <v>1002</v>
      </c>
      <c r="D376" s="41" t="s">
        <v>1019</v>
      </c>
      <c r="E376" s="41" t="s">
        <v>1420</v>
      </c>
      <c r="F376" s="43" t="s">
        <v>630</v>
      </c>
      <c r="G376" s="41" t="s">
        <v>28</v>
      </c>
      <c r="H376" s="41">
        <v>7</v>
      </c>
      <c r="I376" s="64">
        <v>43521</v>
      </c>
      <c r="J376" s="64">
        <v>43521</v>
      </c>
      <c r="K376" s="64" t="s">
        <v>495</v>
      </c>
      <c r="L376" s="105">
        <v>10.53</v>
      </c>
      <c r="M376" s="3">
        <v>13.32</v>
      </c>
      <c r="N376" s="41" t="s">
        <v>32</v>
      </c>
      <c r="O376" s="105">
        <v>10.18</v>
      </c>
      <c r="P376" s="3">
        <v>10.266452436</v>
      </c>
      <c r="Q376" s="66">
        <v>-9.6924636000001257E-2</v>
      </c>
      <c r="R376" s="69"/>
      <c r="S376" s="22"/>
      <c r="T376" s="22"/>
      <c r="U376" s="67">
        <f t="shared" si="36"/>
        <v>10.266452436</v>
      </c>
      <c r="V376" s="79">
        <f t="shared" si="37"/>
        <v>-9.6924636000001257E-2</v>
      </c>
      <c r="W376" s="91"/>
      <c r="X376" s="91"/>
      <c r="Y376" s="3"/>
      <c r="Z376" s="67">
        <f t="shared" si="38"/>
        <v>10.266452436</v>
      </c>
      <c r="AA376" s="67">
        <f t="shared" si="39"/>
        <v>-9.6924636000001257E-2</v>
      </c>
      <c r="AB376" s="91"/>
      <c r="AC376" s="91"/>
      <c r="AD376" s="3"/>
      <c r="AE376" s="67">
        <f t="shared" si="40"/>
        <v>10.266452436</v>
      </c>
      <c r="AF376" s="67">
        <f t="shared" si="41"/>
        <v>-9.6924636000001257E-2</v>
      </c>
    </row>
    <row r="377" spans="1:32" ht="62.4">
      <c r="A377" s="41">
        <f t="shared" si="42"/>
        <v>375</v>
      </c>
      <c r="B377" s="41" t="s">
        <v>631</v>
      </c>
      <c r="C377" s="41" t="s">
        <v>876</v>
      </c>
      <c r="D377" s="41" t="s">
        <v>1016</v>
      </c>
      <c r="E377" s="41" t="s">
        <v>1406</v>
      </c>
      <c r="F377" s="43" t="s">
        <v>632</v>
      </c>
      <c r="G377" s="41" t="s">
        <v>28</v>
      </c>
      <c r="H377" s="63">
        <v>4</v>
      </c>
      <c r="I377" s="64">
        <v>41512</v>
      </c>
      <c r="J377" s="64">
        <v>41512</v>
      </c>
      <c r="K377" s="64">
        <v>41876</v>
      </c>
      <c r="L377" s="105">
        <v>59.15</v>
      </c>
      <c r="M377" s="66">
        <v>59.15</v>
      </c>
      <c r="N377" s="41" t="s">
        <v>32</v>
      </c>
      <c r="O377" s="105">
        <v>63.91</v>
      </c>
      <c r="P377" s="66">
        <v>67.2884229</v>
      </c>
      <c r="Q377" s="66">
        <v>-2.0048999999997541E-3</v>
      </c>
      <c r="R377" s="69"/>
      <c r="S377" s="22"/>
      <c r="T377" s="3"/>
      <c r="U377" s="67">
        <f t="shared" si="36"/>
        <v>67.2884229</v>
      </c>
      <c r="V377" s="79">
        <f t="shared" si="37"/>
        <v>-2.0048999999997541E-3</v>
      </c>
      <c r="W377" s="91"/>
      <c r="X377" s="91"/>
      <c r="Y377" s="3"/>
      <c r="Z377" s="67">
        <f t="shared" si="38"/>
        <v>67.2884229</v>
      </c>
      <c r="AA377" s="67">
        <f t="shared" si="39"/>
        <v>-2.0048999999997541E-3</v>
      </c>
      <c r="AB377" s="91"/>
      <c r="AC377" s="91"/>
      <c r="AD377" s="3"/>
      <c r="AE377" s="67">
        <f t="shared" si="40"/>
        <v>67.2884229</v>
      </c>
      <c r="AF377" s="67">
        <f t="shared" si="41"/>
        <v>-2.0048999999997541E-3</v>
      </c>
    </row>
    <row r="378" spans="1:32" ht="78">
      <c r="A378" s="41">
        <f t="shared" si="42"/>
        <v>376</v>
      </c>
      <c r="B378" s="41" t="s">
        <v>633</v>
      </c>
      <c r="C378" s="41" t="s">
        <v>876</v>
      </c>
      <c r="D378" s="34" t="s">
        <v>1016</v>
      </c>
      <c r="E378" s="41" t="s">
        <v>1421</v>
      </c>
      <c r="F378" s="43" t="s">
        <v>634</v>
      </c>
      <c r="G378" s="41" t="s">
        <v>28</v>
      </c>
      <c r="H378" s="63">
        <v>4</v>
      </c>
      <c r="I378" s="64">
        <v>42431</v>
      </c>
      <c r="J378" s="64">
        <v>42431</v>
      </c>
      <c r="K378" s="64">
        <v>42705</v>
      </c>
      <c r="L378" s="105">
        <v>20.34</v>
      </c>
      <c r="M378" s="66">
        <v>20.34</v>
      </c>
      <c r="N378" s="41" t="s">
        <v>32</v>
      </c>
      <c r="O378" s="105">
        <v>20.34</v>
      </c>
      <c r="P378" s="66">
        <v>4.0760104000000004</v>
      </c>
      <c r="Q378" s="3">
        <v>0</v>
      </c>
      <c r="R378" s="69"/>
      <c r="S378" s="22">
        <v>9.0137200000000001E-2</v>
      </c>
      <c r="T378" s="3"/>
      <c r="U378" s="67">
        <f t="shared" si="36"/>
        <v>4.1661476000000004</v>
      </c>
      <c r="V378" s="79">
        <f t="shared" si="37"/>
        <v>-9.0137200000000001E-2</v>
      </c>
      <c r="W378" s="91"/>
      <c r="X378" s="91"/>
      <c r="Y378" s="3"/>
      <c r="Z378" s="67">
        <f t="shared" si="38"/>
        <v>4.1661476000000004</v>
      </c>
      <c r="AA378" s="67">
        <f t="shared" si="39"/>
        <v>-9.0137200000000001E-2</v>
      </c>
      <c r="AB378" s="91"/>
      <c r="AC378" s="91"/>
      <c r="AD378" s="3"/>
      <c r="AE378" s="67">
        <f t="shared" si="40"/>
        <v>4.1661476000000004</v>
      </c>
      <c r="AF378" s="67">
        <f t="shared" si="41"/>
        <v>-9.0137200000000001E-2</v>
      </c>
    </row>
    <row r="379" spans="1:32" ht="46.8" hidden="1">
      <c r="A379" s="41">
        <f t="shared" si="42"/>
        <v>377</v>
      </c>
      <c r="B379" s="41" t="s">
        <v>635</v>
      </c>
      <c r="C379" s="41" t="s">
        <v>1002</v>
      </c>
      <c r="D379" s="41" t="s">
        <v>1019</v>
      </c>
      <c r="E379" s="41" t="s">
        <v>1422</v>
      </c>
      <c r="F379" s="43" t="s">
        <v>636</v>
      </c>
      <c r="G379" s="41" t="s">
        <v>28</v>
      </c>
      <c r="H379" s="41">
        <v>6</v>
      </c>
      <c r="I379" s="64">
        <v>43521</v>
      </c>
      <c r="J379" s="64">
        <v>43521</v>
      </c>
      <c r="K379" s="64" t="s">
        <v>498</v>
      </c>
      <c r="L379" s="105">
        <v>20.49</v>
      </c>
      <c r="M379" s="3">
        <v>22.05</v>
      </c>
      <c r="N379" s="41" t="s">
        <v>32</v>
      </c>
      <c r="O379" s="105">
        <v>19.22</v>
      </c>
      <c r="P379" s="66">
        <v>19.261458300000001</v>
      </c>
      <c r="Q379" s="3">
        <v>0</v>
      </c>
      <c r="R379" s="25">
        <v>1.8386799999999998E-2</v>
      </c>
      <c r="S379" s="22">
        <v>1.8386799999999998E-2</v>
      </c>
      <c r="T379" s="3"/>
      <c r="U379" s="67">
        <f t="shared" si="36"/>
        <v>19.279845099999999</v>
      </c>
      <c r="V379" s="67">
        <f t="shared" si="37"/>
        <v>0</v>
      </c>
      <c r="W379" s="91"/>
      <c r="X379" s="91"/>
      <c r="Y379" s="3"/>
      <c r="Z379" s="67">
        <f t="shared" si="38"/>
        <v>19.279845099999999</v>
      </c>
      <c r="AA379" s="67">
        <f t="shared" si="39"/>
        <v>0</v>
      </c>
      <c r="AB379" s="91"/>
      <c r="AC379" s="91"/>
      <c r="AD379" s="3"/>
      <c r="AE379" s="67">
        <f t="shared" si="40"/>
        <v>19.279845099999999</v>
      </c>
      <c r="AF379" s="67">
        <f t="shared" si="41"/>
        <v>0</v>
      </c>
    </row>
    <row r="380" spans="1:32" ht="62.4" hidden="1">
      <c r="A380" s="41">
        <f t="shared" si="42"/>
        <v>378</v>
      </c>
      <c r="B380" s="41" t="s">
        <v>638</v>
      </c>
      <c r="C380" s="34" t="s">
        <v>1002</v>
      </c>
      <c r="D380" s="41" t="s">
        <v>1019</v>
      </c>
      <c r="E380" s="41" t="s">
        <v>1423</v>
      </c>
      <c r="F380" s="43" t="s">
        <v>639</v>
      </c>
      <c r="G380" s="41" t="s">
        <v>28</v>
      </c>
      <c r="H380" s="41">
        <v>5</v>
      </c>
      <c r="I380" s="64">
        <v>43521</v>
      </c>
      <c r="J380" s="64">
        <v>43521</v>
      </c>
      <c r="K380" s="64" t="s">
        <v>498</v>
      </c>
      <c r="L380" s="105">
        <v>22.01</v>
      </c>
      <c r="M380" s="3">
        <v>22.05</v>
      </c>
      <c r="N380" s="41" t="s">
        <v>32</v>
      </c>
      <c r="O380" s="105">
        <v>20.84</v>
      </c>
      <c r="P380" s="66">
        <v>20.86204</v>
      </c>
      <c r="Q380" s="3">
        <v>0</v>
      </c>
      <c r="R380" s="25">
        <f>0.05782+0.03068</f>
        <v>8.8499999999999995E-2</v>
      </c>
      <c r="S380" s="22">
        <f>0.05782+0.03068</f>
        <v>8.8499999999999995E-2</v>
      </c>
      <c r="T380" s="3"/>
      <c r="U380" s="67">
        <f t="shared" si="36"/>
        <v>20.95054</v>
      </c>
      <c r="V380" s="67">
        <f t="shared" si="37"/>
        <v>0</v>
      </c>
      <c r="W380" s="94"/>
      <c r="X380" s="91"/>
      <c r="Y380" s="3"/>
      <c r="Z380" s="67">
        <f t="shared" si="38"/>
        <v>20.95054</v>
      </c>
      <c r="AA380" s="67">
        <f t="shared" si="39"/>
        <v>0</v>
      </c>
      <c r="AB380" s="91"/>
      <c r="AC380" s="91"/>
      <c r="AD380" s="3"/>
      <c r="AE380" s="67">
        <f t="shared" si="40"/>
        <v>20.95054</v>
      </c>
      <c r="AF380" s="67">
        <f t="shared" si="41"/>
        <v>0</v>
      </c>
    </row>
    <row r="381" spans="1:32" ht="46.8" hidden="1">
      <c r="A381" s="41">
        <f t="shared" si="42"/>
        <v>379</v>
      </c>
      <c r="B381" s="41" t="s">
        <v>640</v>
      </c>
      <c r="C381" s="41" t="s">
        <v>1002</v>
      </c>
      <c r="D381" s="42" t="s">
        <v>1017</v>
      </c>
      <c r="E381" s="41" t="s">
        <v>1424</v>
      </c>
      <c r="F381" s="43" t="s">
        <v>641</v>
      </c>
      <c r="G381" s="41"/>
      <c r="H381" s="41"/>
      <c r="I381" s="41"/>
      <c r="J381" s="41"/>
      <c r="K381" s="41"/>
      <c r="L381" s="91"/>
      <c r="M381" s="66">
        <v>1370.02</v>
      </c>
      <c r="N381" s="41" t="s">
        <v>29</v>
      </c>
      <c r="O381" s="105">
        <v>4.96</v>
      </c>
      <c r="P381" s="66">
        <v>4.5626033000000001</v>
      </c>
      <c r="Q381" s="3">
        <v>0</v>
      </c>
      <c r="R381" s="69"/>
      <c r="S381" s="22"/>
      <c r="T381" s="3"/>
      <c r="U381" s="67">
        <f t="shared" si="36"/>
        <v>4.5626033000000001</v>
      </c>
      <c r="V381" s="67">
        <f t="shared" si="37"/>
        <v>0</v>
      </c>
      <c r="W381" s="91"/>
      <c r="X381" s="91"/>
      <c r="Y381" s="3"/>
      <c r="Z381" s="67">
        <f t="shared" si="38"/>
        <v>4.5626033000000001</v>
      </c>
      <c r="AA381" s="67">
        <f t="shared" si="39"/>
        <v>0</v>
      </c>
      <c r="AB381" s="91"/>
      <c r="AC381" s="91"/>
      <c r="AD381" s="3"/>
      <c r="AE381" s="67">
        <f t="shared" si="40"/>
        <v>4.5626033000000001</v>
      </c>
      <c r="AF381" s="67">
        <f t="shared" si="41"/>
        <v>0</v>
      </c>
    </row>
    <row r="382" spans="1:32" s="89" customFormat="1" ht="46.8" hidden="1">
      <c r="A382" s="80">
        <f t="shared" si="42"/>
        <v>380</v>
      </c>
      <c r="B382" s="80" t="s">
        <v>642</v>
      </c>
      <c r="C382" s="81" t="s">
        <v>1002</v>
      </c>
      <c r="D382" s="34" t="s">
        <v>1019</v>
      </c>
      <c r="E382" s="41" t="s">
        <v>1425</v>
      </c>
      <c r="F382" s="82" t="s">
        <v>643</v>
      </c>
      <c r="G382" s="80" t="s">
        <v>28</v>
      </c>
      <c r="H382" s="41">
        <v>6</v>
      </c>
      <c r="I382" s="83">
        <v>43481</v>
      </c>
      <c r="J382" s="83">
        <v>43481</v>
      </c>
      <c r="K382" s="80" t="s">
        <v>644</v>
      </c>
      <c r="L382" s="86">
        <v>26.31</v>
      </c>
      <c r="M382" s="86">
        <v>38.19</v>
      </c>
      <c r="N382" s="80" t="s">
        <v>32</v>
      </c>
      <c r="O382" s="86">
        <v>26.31</v>
      </c>
      <c r="P382" s="85">
        <v>14.741130901</v>
      </c>
      <c r="Q382" s="86">
        <v>-0.23881250099999932</v>
      </c>
      <c r="R382" s="87">
        <v>5.7018852999999998</v>
      </c>
      <c r="S382" s="115">
        <f>2.2833278+1.3154852+0.538808+0.9598946+0.2753247+0.329045</f>
        <v>5.7018852999999989</v>
      </c>
      <c r="T382" s="116"/>
      <c r="U382" s="88">
        <f t="shared" si="36"/>
        <v>20.443016200999999</v>
      </c>
      <c r="V382" s="88">
        <f t="shared" si="37"/>
        <v>-0.23881250099999818</v>
      </c>
      <c r="W382" s="112"/>
      <c r="X382" s="85"/>
      <c r="Y382" s="85"/>
      <c r="Z382" s="88">
        <f t="shared" si="38"/>
        <v>20.443016200999999</v>
      </c>
      <c r="AA382" s="88">
        <f t="shared" si="39"/>
        <v>-0.23881250099999818</v>
      </c>
      <c r="AB382" s="88"/>
      <c r="AC382" s="88">
        <f>O382</f>
        <v>26.31</v>
      </c>
      <c r="AD382" s="85"/>
      <c r="AE382" s="88">
        <f t="shared" si="40"/>
        <v>46.753016200999994</v>
      </c>
      <c r="AF382" s="88">
        <f t="shared" si="41"/>
        <v>-26.548812500999997</v>
      </c>
    </row>
    <row r="383" spans="1:32" ht="46.8" hidden="1">
      <c r="A383" s="41">
        <f t="shared" si="42"/>
        <v>381</v>
      </c>
      <c r="B383" s="41" t="s">
        <v>645</v>
      </c>
      <c r="C383" s="41" t="s">
        <v>1002</v>
      </c>
      <c r="D383" s="34" t="s">
        <v>1016</v>
      </c>
      <c r="E383" s="41" t="s">
        <v>1426</v>
      </c>
      <c r="F383" s="43" t="s">
        <v>646</v>
      </c>
      <c r="G383" s="41" t="s">
        <v>28</v>
      </c>
      <c r="H383" s="41"/>
      <c r="I383" s="64">
        <v>42051</v>
      </c>
      <c r="J383" s="64">
        <v>42051</v>
      </c>
      <c r="K383" s="64">
        <v>42325</v>
      </c>
      <c r="L383" s="105">
        <v>69.540000000000006</v>
      </c>
      <c r="M383" s="66">
        <v>75.42</v>
      </c>
      <c r="N383" s="41" t="s">
        <v>29</v>
      </c>
      <c r="O383" s="105">
        <v>77.59</v>
      </c>
      <c r="P383" s="66">
        <v>80.548856599999993</v>
      </c>
      <c r="Q383" s="3">
        <v>0</v>
      </c>
      <c r="R383" s="69"/>
      <c r="S383" s="22"/>
      <c r="T383" s="3"/>
      <c r="U383" s="67">
        <f t="shared" si="36"/>
        <v>80.548856599999993</v>
      </c>
      <c r="V383" s="67">
        <f t="shared" si="37"/>
        <v>0</v>
      </c>
      <c r="W383" s="91"/>
      <c r="X383" s="91"/>
      <c r="Y383" s="3"/>
      <c r="Z383" s="67">
        <f t="shared" si="38"/>
        <v>80.548856599999993</v>
      </c>
      <c r="AA383" s="67">
        <f t="shared" si="39"/>
        <v>0</v>
      </c>
      <c r="AB383" s="91"/>
      <c r="AC383" s="91"/>
      <c r="AD383" s="3"/>
      <c r="AE383" s="67">
        <f t="shared" si="40"/>
        <v>80.548856599999993</v>
      </c>
      <c r="AF383" s="67">
        <f t="shared" si="41"/>
        <v>0</v>
      </c>
    </row>
    <row r="384" spans="1:32" ht="93.6" hidden="1">
      <c r="A384" s="41">
        <f t="shared" si="42"/>
        <v>382</v>
      </c>
      <c r="B384" s="41" t="s">
        <v>647</v>
      </c>
      <c r="C384" s="34" t="s">
        <v>1002</v>
      </c>
      <c r="D384" s="34" t="s">
        <v>1019</v>
      </c>
      <c r="E384" s="41" t="s">
        <v>1427</v>
      </c>
      <c r="F384" s="43" t="s">
        <v>648</v>
      </c>
      <c r="G384" s="41" t="s">
        <v>28</v>
      </c>
      <c r="H384" s="41">
        <v>3</v>
      </c>
      <c r="I384" s="41" t="s">
        <v>450</v>
      </c>
      <c r="J384" s="41" t="s">
        <v>450</v>
      </c>
      <c r="K384" s="41" t="s">
        <v>471</v>
      </c>
      <c r="L384" s="110">
        <v>13.92</v>
      </c>
      <c r="M384" s="66">
        <v>14.83</v>
      </c>
      <c r="N384" s="41" t="s">
        <v>32</v>
      </c>
      <c r="O384" s="105">
        <v>13.07</v>
      </c>
      <c r="P384" s="3">
        <v>11.915419182999999</v>
      </c>
      <c r="Q384" s="66">
        <v>-0.62393948299999968</v>
      </c>
      <c r="R384" s="25">
        <v>0.45992309999999997</v>
      </c>
      <c r="S384" s="22">
        <f>0.0347859+0.0999053+0.1061824+0.0640032+0.1550463</f>
        <v>0.45992310000000003</v>
      </c>
      <c r="T384" s="73"/>
      <c r="U384" s="67">
        <f t="shared" si="36"/>
        <v>12.375342282999998</v>
      </c>
      <c r="V384" s="79">
        <f t="shared" si="37"/>
        <v>-0.62393948299999979</v>
      </c>
      <c r="W384" s="92">
        <v>0.74437869999999995</v>
      </c>
      <c r="X384" s="95"/>
      <c r="Y384" s="3"/>
      <c r="Z384" s="67">
        <f t="shared" si="38"/>
        <v>12.375342282999998</v>
      </c>
      <c r="AA384" s="67">
        <f t="shared" si="39"/>
        <v>0.12043921700000015</v>
      </c>
      <c r="AB384" s="91"/>
      <c r="AC384" s="91"/>
      <c r="AD384" s="3"/>
      <c r="AE384" s="67">
        <f t="shared" si="40"/>
        <v>12.375342282999998</v>
      </c>
      <c r="AF384" s="67">
        <f t="shared" si="41"/>
        <v>0.12043921700000015</v>
      </c>
    </row>
    <row r="385" spans="1:32" ht="46.8" hidden="1">
      <c r="A385" s="41">
        <f t="shared" si="42"/>
        <v>383</v>
      </c>
      <c r="B385" s="41" t="s">
        <v>649</v>
      </c>
      <c r="C385" s="41" t="s">
        <v>1002</v>
      </c>
      <c r="D385" s="41" t="s">
        <v>1016</v>
      </c>
      <c r="E385" s="41" t="s">
        <v>1428</v>
      </c>
      <c r="F385" s="43" t="s">
        <v>650</v>
      </c>
      <c r="G385" s="41"/>
      <c r="H385" s="41"/>
      <c r="I385" s="41"/>
      <c r="J385" s="41"/>
      <c r="K385" s="41"/>
      <c r="L385" s="91"/>
      <c r="M385" s="3"/>
      <c r="N385" s="41" t="s">
        <v>29</v>
      </c>
      <c r="O385" s="91">
        <v>0</v>
      </c>
      <c r="P385" s="3">
        <v>1.9148399999999999E-2</v>
      </c>
      <c r="Q385" s="3">
        <v>0</v>
      </c>
      <c r="R385" s="69"/>
      <c r="S385" s="22"/>
      <c r="T385" s="3"/>
      <c r="U385" s="67">
        <f t="shared" si="36"/>
        <v>1.9148399999999999E-2</v>
      </c>
      <c r="V385" s="67">
        <f t="shared" si="37"/>
        <v>0</v>
      </c>
      <c r="W385" s="91"/>
      <c r="X385" s="91"/>
      <c r="Y385" s="3"/>
      <c r="Z385" s="67">
        <f t="shared" si="38"/>
        <v>1.9148399999999999E-2</v>
      </c>
      <c r="AA385" s="67">
        <f t="shared" si="39"/>
        <v>0</v>
      </c>
      <c r="AB385" s="91"/>
      <c r="AC385" s="91"/>
      <c r="AD385" s="3"/>
      <c r="AE385" s="67">
        <f t="shared" si="40"/>
        <v>1.9148399999999999E-2</v>
      </c>
      <c r="AF385" s="67">
        <f t="shared" si="41"/>
        <v>0</v>
      </c>
    </row>
    <row r="386" spans="1:32" ht="62.4" hidden="1">
      <c r="A386" s="41">
        <f t="shared" si="42"/>
        <v>384</v>
      </c>
      <c r="B386" s="41" t="s">
        <v>651</v>
      </c>
      <c r="C386" s="41" t="s">
        <v>1002</v>
      </c>
      <c r="D386" s="34" t="s">
        <v>1017</v>
      </c>
      <c r="E386" s="41" t="s">
        <v>1429</v>
      </c>
      <c r="F386" s="43" t="s">
        <v>652</v>
      </c>
      <c r="G386" s="41" t="s">
        <v>28</v>
      </c>
      <c r="H386" s="41"/>
      <c r="I386" s="41"/>
      <c r="J386" s="41"/>
      <c r="K386" s="41"/>
      <c r="L386" s="91"/>
      <c r="M386" s="3"/>
      <c r="N386" s="41" t="s">
        <v>32</v>
      </c>
      <c r="O386" s="105">
        <v>32.86</v>
      </c>
      <c r="P386" s="66">
        <v>34.899459900000004</v>
      </c>
      <c r="Q386" s="3">
        <v>0</v>
      </c>
      <c r="R386" s="69"/>
      <c r="S386" s="22"/>
      <c r="T386" s="3"/>
      <c r="U386" s="67">
        <f t="shared" si="36"/>
        <v>34.899459900000004</v>
      </c>
      <c r="V386" s="67">
        <f t="shared" si="37"/>
        <v>0</v>
      </c>
      <c r="W386" s="91"/>
      <c r="X386" s="91"/>
      <c r="Y386" s="3"/>
      <c r="Z386" s="67">
        <f t="shared" si="38"/>
        <v>34.899459900000004</v>
      </c>
      <c r="AA386" s="67">
        <f t="shared" si="39"/>
        <v>0</v>
      </c>
      <c r="AB386" s="91"/>
      <c r="AC386" s="91"/>
      <c r="AD386" s="3"/>
      <c r="AE386" s="67">
        <f t="shared" si="40"/>
        <v>34.899459900000004</v>
      </c>
      <c r="AF386" s="67">
        <f t="shared" si="41"/>
        <v>0</v>
      </c>
    </row>
    <row r="387" spans="1:32" ht="46.8" hidden="1">
      <c r="A387" s="41">
        <f t="shared" si="42"/>
        <v>385</v>
      </c>
      <c r="B387" s="41" t="s">
        <v>653</v>
      </c>
      <c r="C387" s="41" t="s">
        <v>1002</v>
      </c>
      <c r="D387" s="41" t="s">
        <v>1016</v>
      </c>
      <c r="E387" s="41" t="s">
        <v>1430</v>
      </c>
      <c r="F387" s="43" t="s">
        <v>654</v>
      </c>
      <c r="G387" s="41" t="s">
        <v>28</v>
      </c>
      <c r="H387" s="63">
        <v>3</v>
      </c>
      <c r="I387" s="64">
        <v>42046</v>
      </c>
      <c r="J387" s="64">
        <v>42046</v>
      </c>
      <c r="K387" s="64">
        <v>42411</v>
      </c>
      <c r="L387" s="105">
        <v>54.4</v>
      </c>
      <c r="M387" s="66">
        <v>64.239999999999995</v>
      </c>
      <c r="N387" s="41" t="s">
        <v>32</v>
      </c>
      <c r="O387" s="105">
        <v>59.96</v>
      </c>
      <c r="P387" s="66">
        <v>62.330551700000001</v>
      </c>
      <c r="Q387" s="3">
        <v>0</v>
      </c>
      <c r="R387" s="69"/>
      <c r="S387" s="22"/>
      <c r="T387" s="3"/>
      <c r="U387" s="67">
        <f t="shared" si="36"/>
        <v>62.330551700000001</v>
      </c>
      <c r="V387" s="67">
        <f t="shared" si="37"/>
        <v>0</v>
      </c>
      <c r="W387" s="91"/>
      <c r="X387" s="91"/>
      <c r="Y387" s="3"/>
      <c r="Z387" s="67">
        <f t="shared" si="38"/>
        <v>62.330551700000001</v>
      </c>
      <c r="AA387" s="67">
        <f t="shared" si="39"/>
        <v>0</v>
      </c>
      <c r="AB387" s="91"/>
      <c r="AC387" s="91"/>
      <c r="AD387" s="3"/>
      <c r="AE387" s="67">
        <f t="shared" si="40"/>
        <v>62.330551700000001</v>
      </c>
      <c r="AF387" s="67">
        <f t="shared" si="41"/>
        <v>0</v>
      </c>
    </row>
    <row r="388" spans="1:32" ht="109.2" hidden="1">
      <c r="A388" s="41">
        <f t="shared" si="42"/>
        <v>386</v>
      </c>
      <c r="B388" s="41" t="s">
        <v>655</v>
      </c>
      <c r="C388" s="34" t="s">
        <v>1002</v>
      </c>
      <c r="D388" s="42" t="s">
        <v>1017</v>
      </c>
      <c r="E388" s="41" t="s">
        <v>1431</v>
      </c>
      <c r="F388" s="43" t="s">
        <v>656</v>
      </c>
      <c r="G388" s="41" t="s">
        <v>28</v>
      </c>
      <c r="H388" s="41"/>
      <c r="I388" s="41"/>
      <c r="J388" s="41"/>
      <c r="K388" s="41"/>
      <c r="L388" s="91">
        <v>0</v>
      </c>
      <c r="M388" s="66">
        <v>371.98</v>
      </c>
      <c r="N388" s="41" t="s">
        <v>29</v>
      </c>
      <c r="O388" s="105">
        <v>20.5</v>
      </c>
      <c r="P388" s="66">
        <v>21.608662899999999</v>
      </c>
      <c r="Q388" s="3">
        <v>7.0632E-2</v>
      </c>
      <c r="R388" s="25">
        <v>0.08</v>
      </c>
      <c r="S388" s="22"/>
      <c r="T388" s="3"/>
      <c r="U388" s="67">
        <f t="shared" ref="U388:U451" si="43">P388+S388+T388</f>
        <v>21.608662899999999</v>
      </c>
      <c r="V388" s="67">
        <f t="shared" ref="V388:V451" si="44">Q388+R388-S388-T388</f>
        <v>0.15063199999999999</v>
      </c>
      <c r="W388" s="94"/>
      <c r="X388" s="91"/>
      <c r="Y388" s="3"/>
      <c r="Z388" s="67">
        <f t="shared" ref="Z388:Z451" si="45">U388+X388+Y388</f>
        <v>21.608662899999999</v>
      </c>
      <c r="AA388" s="67">
        <f t="shared" ref="AA388:AA451" si="46">V388+W388-X388-Y388</f>
        <v>0.15063199999999999</v>
      </c>
      <c r="AB388" s="91"/>
      <c r="AC388" s="91"/>
      <c r="AD388" s="3"/>
      <c r="AE388" s="67">
        <f t="shared" ref="AE388:AE451" si="47">Z388+AC388+AD388</f>
        <v>21.608662899999999</v>
      </c>
      <c r="AF388" s="67">
        <f t="shared" ref="AF388:AF451" si="48">AA388+AB388-AC388-AD388</f>
        <v>0.15063199999999999</v>
      </c>
    </row>
    <row r="389" spans="1:32" ht="46.8" hidden="1">
      <c r="A389" s="41">
        <f t="shared" ref="A389:A453" si="49">A388+1</f>
        <v>387</v>
      </c>
      <c r="B389" s="41" t="s">
        <v>657</v>
      </c>
      <c r="C389" s="41" t="s">
        <v>1002</v>
      </c>
      <c r="D389" s="41" t="s">
        <v>1016</v>
      </c>
      <c r="E389" s="41" t="s">
        <v>1432</v>
      </c>
      <c r="F389" s="43" t="s">
        <v>658</v>
      </c>
      <c r="G389" s="41" t="s">
        <v>28</v>
      </c>
      <c r="H389" s="41">
        <v>2</v>
      </c>
      <c r="I389" s="41" t="s">
        <v>659</v>
      </c>
      <c r="J389" s="41" t="s">
        <v>659</v>
      </c>
      <c r="K389" s="70" t="s">
        <v>660</v>
      </c>
      <c r="L389" s="91">
        <v>7.25</v>
      </c>
      <c r="M389" s="3"/>
      <c r="N389" s="41" t="s">
        <v>32</v>
      </c>
      <c r="O389" s="105">
        <v>7.39</v>
      </c>
      <c r="P389" s="66">
        <v>8.1355069000000011</v>
      </c>
      <c r="Q389" s="3">
        <v>0</v>
      </c>
      <c r="R389" s="69"/>
      <c r="S389" s="22"/>
      <c r="T389" s="3"/>
      <c r="U389" s="67">
        <f t="shared" si="43"/>
        <v>8.1355069000000011</v>
      </c>
      <c r="V389" s="67">
        <f t="shared" si="44"/>
        <v>0</v>
      </c>
      <c r="W389" s="91"/>
      <c r="X389" s="91"/>
      <c r="Y389" s="3"/>
      <c r="Z389" s="67">
        <f t="shared" si="45"/>
        <v>8.1355069000000011</v>
      </c>
      <c r="AA389" s="67">
        <f t="shared" si="46"/>
        <v>0</v>
      </c>
      <c r="AB389" s="91"/>
      <c r="AC389" s="91"/>
      <c r="AD389" s="3"/>
      <c r="AE389" s="67">
        <f t="shared" si="47"/>
        <v>8.1355069000000011</v>
      </c>
      <c r="AF389" s="67">
        <f t="shared" si="48"/>
        <v>0</v>
      </c>
    </row>
    <row r="390" spans="1:32" s="89" customFormat="1" ht="46.8" hidden="1">
      <c r="A390" s="80">
        <f t="shared" si="49"/>
        <v>388</v>
      </c>
      <c r="B390" s="80" t="s">
        <v>666</v>
      </c>
      <c r="C390" s="81" t="s">
        <v>1002</v>
      </c>
      <c r="D390" s="34" t="s">
        <v>1019</v>
      </c>
      <c r="E390" s="41" t="s">
        <v>1433</v>
      </c>
      <c r="F390" s="82" t="s">
        <v>667</v>
      </c>
      <c r="G390" s="80" t="s">
        <v>28</v>
      </c>
      <c r="H390" s="41"/>
      <c r="I390" s="83">
        <v>43486</v>
      </c>
      <c r="J390" s="83">
        <v>43486</v>
      </c>
      <c r="K390" s="80"/>
      <c r="L390" s="86">
        <v>39.799999999999997</v>
      </c>
      <c r="M390" s="86">
        <v>39.799999999999997</v>
      </c>
      <c r="N390" s="80" t="s">
        <v>32</v>
      </c>
      <c r="O390" s="86">
        <v>35.99</v>
      </c>
      <c r="P390" s="85">
        <v>25.247722779</v>
      </c>
      <c r="Q390" s="86">
        <v>-0.59626557900000166</v>
      </c>
      <c r="R390" s="87">
        <v>6.8284374999999997</v>
      </c>
      <c r="S390" s="115"/>
      <c r="T390" s="117"/>
      <c r="U390" s="88">
        <f t="shared" si="43"/>
        <v>25.247722779</v>
      </c>
      <c r="V390" s="88">
        <f t="shared" si="44"/>
        <v>6.2321719209999982</v>
      </c>
      <c r="W390" s="111">
        <v>0.2446361</v>
      </c>
      <c r="X390" s="115">
        <f>V390+W390</f>
        <v>6.4768080209999983</v>
      </c>
      <c r="Y390" s="85"/>
      <c r="Z390" s="88">
        <f t="shared" si="45"/>
        <v>31.724530799999997</v>
      </c>
      <c r="AA390" s="88">
        <f t="shared" si="46"/>
        <v>0</v>
      </c>
      <c r="AB390" s="85"/>
      <c r="AC390" s="85"/>
      <c r="AD390" s="85"/>
      <c r="AE390" s="88">
        <f t="shared" si="47"/>
        <v>31.724530799999997</v>
      </c>
      <c r="AF390" s="88">
        <f t="shared" si="48"/>
        <v>0</v>
      </c>
    </row>
    <row r="391" spans="1:32" ht="78" hidden="1">
      <c r="A391" s="41">
        <f t="shared" si="49"/>
        <v>389</v>
      </c>
      <c r="B391" s="41" t="s">
        <v>668</v>
      </c>
      <c r="C391" s="41" t="s">
        <v>1002</v>
      </c>
      <c r="D391" s="34" t="s">
        <v>1019</v>
      </c>
      <c r="E391" s="41" t="s">
        <v>1434</v>
      </c>
      <c r="F391" s="43" t="s">
        <v>669</v>
      </c>
      <c r="G391" s="41" t="s">
        <v>28</v>
      </c>
      <c r="H391" s="41"/>
      <c r="I391" s="64">
        <v>43486</v>
      </c>
      <c r="J391" s="64">
        <v>43486</v>
      </c>
      <c r="K391" s="41"/>
      <c r="L391" s="105">
        <v>71.930000000000007</v>
      </c>
      <c r="M391" s="66">
        <v>63.09</v>
      </c>
      <c r="N391" s="41" t="s">
        <v>32</v>
      </c>
      <c r="O391" s="105">
        <v>71.3</v>
      </c>
      <c r="P391" s="3">
        <v>12.539823691</v>
      </c>
      <c r="Q391" s="66">
        <v>-0.25343129099999989</v>
      </c>
      <c r="R391" s="69"/>
      <c r="S391" s="22"/>
      <c r="T391" s="73"/>
      <c r="U391" s="67">
        <f t="shared" si="43"/>
        <v>12.539823691</v>
      </c>
      <c r="V391" s="79">
        <f t="shared" si="44"/>
        <v>-0.25343129099999989</v>
      </c>
      <c r="W391" s="91"/>
      <c r="X391" s="91"/>
      <c r="Y391" s="3"/>
      <c r="Z391" s="67">
        <f t="shared" si="45"/>
        <v>12.539823691</v>
      </c>
      <c r="AA391" s="67">
        <f t="shared" si="46"/>
        <v>-0.25343129099999989</v>
      </c>
      <c r="AB391" s="91"/>
      <c r="AC391" s="91"/>
      <c r="AD391" s="3"/>
      <c r="AE391" s="67">
        <f t="shared" si="47"/>
        <v>12.539823691</v>
      </c>
      <c r="AF391" s="67">
        <f t="shared" si="48"/>
        <v>-0.25343129099999989</v>
      </c>
    </row>
    <row r="392" spans="1:32" ht="46.8" hidden="1">
      <c r="A392" s="41">
        <f t="shared" si="49"/>
        <v>390</v>
      </c>
      <c r="B392" s="41" t="s">
        <v>670</v>
      </c>
      <c r="C392" s="34" t="s">
        <v>1002</v>
      </c>
      <c r="D392" s="34" t="s">
        <v>1019</v>
      </c>
      <c r="E392" s="41" t="s">
        <v>1435</v>
      </c>
      <c r="F392" s="43" t="s">
        <v>671</v>
      </c>
      <c r="G392" s="41" t="s">
        <v>28</v>
      </c>
      <c r="H392" s="63">
        <v>2</v>
      </c>
      <c r="I392" s="64">
        <v>42403</v>
      </c>
      <c r="J392" s="64">
        <v>42403</v>
      </c>
      <c r="K392" s="64">
        <v>42769</v>
      </c>
      <c r="L392" s="105">
        <v>23.51</v>
      </c>
      <c r="M392" s="66">
        <v>23.51</v>
      </c>
      <c r="N392" s="41" t="s">
        <v>32</v>
      </c>
      <c r="O392" s="105">
        <v>26.35</v>
      </c>
      <c r="P392" s="66">
        <v>25.908471499999997</v>
      </c>
      <c r="Q392" s="3">
        <v>0</v>
      </c>
      <c r="R392" s="25">
        <v>0.27193000000000001</v>
      </c>
      <c r="S392" s="22">
        <v>0.27193000000000001</v>
      </c>
      <c r="T392" s="3"/>
      <c r="U392" s="67">
        <f t="shared" si="43"/>
        <v>26.180401499999999</v>
      </c>
      <c r="V392" s="67">
        <f t="shared" si="44"/>
        <v>0</v>
      </c>
      <c r="W392" s="92">
        <v>0.16785749999999999</v>
      </c>
      <c r="X392" s="93"/>
      <c r="Y392" s="3"/>
      <c r="Z392" s="67">
        <f t="shared" si="45"/>
        <v>26.180401499999999</v>
      </c>
      <c r="AA392" s="67">
        <f t="shared" si="46"/>
        <v>0.16785749999999999</v>
      </c>
      <c r="AB392" s="91"/>
      <c r="AC392" s="91"/>
      <c r="AD392" s="3"/>
      <c r="AE392" s="67">
        <f t="shared" si="47"/>
        <v>26.180401499999999</v>
      </c>
      <c r="AF392" s="67">
        <f t="shared" si="48"/>
        <v>0.16785749999999999</v>
      </c>
    </row>
    <row r="393" spans="1:32" ht="46.8" hidden="1">
      <c r="A393" s="41">
        <f t="shared" si="49"/>
        <v>391</v>
      </c>
      <c r="B393" s="41" t="s">
        <v>672</v>
      </c>
      <c r="C393" s="41" t="s">
        <v>1002</v>
      </c>
      <c r="D393" s="42" t="s">
        <v>1017</v>
      </c>
      <c r="E393" s="41" t="s">
        <v>1436</v>
      </c>
      <c r="F393" s="43" t="s">
        <v>673</v>
      </c>
      <c r="G393" s="41"/>
      <c r="H393" s="41"/>
      <c r="I393" s="41"/>
      <c r="J393" s="41"/>
      <c r="K393" s="41"/>
      <c r="L393" s="91"/>
      <c r="M393" s="3"/>
      <c r="N393" s="41" t="s">
        <v>674</v>
      </c>
      <c r="O393" s="91">
        <v>0</v>
      </c>
      <c r="P393" s="66">
        <v>20.773789799999999</v>
      </c>
      <c r="Q393" s="66">
        <v>-3.7898000000000098E-3</v>
      </c>
      <c r="R393" s="3"/>
      <c r="S393" s="22"/>
      <c r="T393" s="3"/>
      <c r="U393" s="67">
        <f t="shared" si="43"/>
        <v>20.773789799999999</v>
      </c>
      <c r="V393" s="79">
        <f t="shared" si="44"/>
        <v>-3.7898000000000098E-3</v>
      </c>
      <c r="W393" s="91"/>
      <c r="X393" s="91"/>
      <c r="Y393" s="3"/>
      <c r="Z393" s="67">
        <f t="shared" si="45"/>
        <v>20.773789799999999</v>
      </c>
      <c r="AA393" s="67">
        <f t="shared" si="46"/>
        <v>-3.7898000000000098E-3</v>
      </c>
      <c r="AB393" s="91"/>
      <c r="AC393" s="91"/>
      <c r="AD393" s="3"/>
      <c r="AE393" s="67">
        <f t="shared" si="47"/>
        <v>20.773789799999999</v>
      </c>
      <c r="AF393" s="67">
        <f t="shared" si="48"/>
        <v>-3.7898000000000098E-3</v>
      </c>
    </row>
    <row r="394" spans="1:32" ht="46.8" hidden="1">
      <c r="A394" s="41">
        <f t="shared" si="49"/>
        <v>392</v>
      </c>
      <c r="B394" s="41" t="s">
        <v>675</v>
      </c>
      <c r="C394" s="34" t="s">
        <v>1002</v>
      </c>
      <c r="D394" s="42" t="s">
        <v>1017</v>
      </c>
      <c r="E394" s="41" t="s">
        <v>1437</v>
      </c>
      <c r="F394" s="43" t="s">
        <v>676</v>
      </c>
      <c r="G394" s="41" t="s">
        <v>28</v>
      </c>
      <c r="H394" s="41"/>
      <c r="I394" s="41"/>
      <c r="J394" s="41"/>
      <c r="K394" s="41"/>
      <c r="L394" s="91">
        <v>0</v>
      </c>
      <c r="M394" s="3">
        <v>0</v>
      </c>
      <c r="N394" s="41" t="s">
        <v>32</v>
      </c>
      <c r="O394" s="105">
        <v>8.16</v>
      </c>
      <c r="P394" s="66">
        <v>8.0947000000000013</v>
      </c>
      <c r="Q394" s="3">
        <v>0</v>
      </c>
      <c r="R394" s="25">
        <f>0.07992+0.03492</f>
        <v>0.11484</v>
      </c>
      <c r="S394" s="22">
        <f>0.09672+0.0168</f>
        <v>0.11352</v>
      </c>
      <c r="T394" s="3"/>
      <c r="U394" s="67">
        <f t="shared" si="43"/>
        <v>8.2082200000000007</v>
      </c>
      <c r="V394" s="67">
        <f t="shared" si="44"/>
        <v>1.3200000000000017E-3</v>
      </c>
      <c r="W394" s="94"/>
      <c r="X394" s="91"/>
      <c r="Y394" s="3"/>
      <c r="Z394" s="67">
        <f t="shared" si="45"/>
        <v>8.2082200000000007</v>
      </c>
      <c r="AA394" s="67">
        <f t="shared" si="46"/>
        <v>1.3200000000000017E-3</v>
      </c>
      <c r="AB394" s="91"/>
      <c r="AC394" s="91"/>
      <c r="AD394" s="3"/>
      <c r="AE394" s="67">
        <f t="shared" si="47"/>
        <v>8.2082200000000007</v>
      </c>
      <c r="AF394" s="67">
        <f t="shared" si="48"/>
        <v>1.3200000000000017E-3</v>
      </c>
    </row>
    <row r="395" spans="1:32" ht="93.6">
      <c r="A395" s="41">
        <f t="shared" si="49"/>
        <v>393</v>
      </c>
      <c r="B395" s="41" t="s">
        <v>677</v>
      </c>
      <c r="C395" s="41" t="s">
        <v>876</v>
      </c>
      <c r="D395" s="41" t="s">
        <v>1019</v>
      </c>
      <c r="E395" s="41" t="s">
        <v>1438</v>
      </c>
      <c r="F395" s="43" t="s">
        <v>678</v>
      </c>
      <c r="G395" s="41" t="s">
        <v>28</v>
      </c>
      <c r="H395" s="41">
        <v>3</v>
      </c>
      <c r="I395" s="70" t="s">
        <v>679</v>
      </c>
      <c r="J395" s="70" t="s">
        <v>679</v>
      </c>
      <c r="K395" s="70" t="s">
        <v>680</v>
      </c>
      <c r="L395" s="91">
        <v>20.85</v>
      </c>
      <c r="M395" s="66">
        <v>19.43</v>
      </c>
      <c r="N395" s="41" t="s">
        <v>32</v>
      </c>
      <c r="O395" s="91">
        <v>16.739999999999998</v>
      </c>
      <c r="P395" s="3">
        <v>21.909844130000003</v>
      </c>
      <c r="Q395" s="66">
        <v>-3.0287615299999988</v>
      </c>
      <c r="R395" s="25">
        <v>0.15728900000000001</v>
      </c>
      <c r="S395" s="22"/>
      <c r="T395" s="73"/>
      <c r="U395" s="67">
        <f t="shared" si="43"/>
        <v>21.909844130000003</v>
      </c>
      <c r="V395" s="79">
        <f t="shared" si="44"/>
        <v>-2.8714725299999988</v>
      </c>
      <c r="W395" s="94"/>
      <c r="X395" s="91"/>
      <c r="Y395" s="3"/>
      <c r="Z395" s="67">
        <f t="shared" si="45"/>
        <v>21.909844130000003</v>
      </c>
      <c r="AA395" s="67">
        <f t="shared" si="46"/>
        <v>-2.8714725299999988</v>
      </c>
      <c r="AB395" s="91"/>
      <c r="AC395" s="91"/>
      <c r="AD395" s="3"/>
      <c r="AE395" s="67">
        <f t="shared" si="47"/>
        <v>21.909844130000003</v>
      </c>
      <c r="AF395" s="67">
        <f t="shared" si="48"/>
        <v>-2.8714725299999988</v>
      </c>
    </row>
    <row r="396" spans="1:32" s="45" customFormat="1" ht="46.8" hidden="1">
      <c r="A396" s="41">
        <f t="shared" si="49"/>
        <v>394</v>
      </c>
      <c r="B396" s="36" t="s">
        <v>681</v>
      </c>
      <c r="C396" s="36" t="s">
        <v>877</v>
      </c>
      <c r="D396" s="34" t="s">
        <v>1017</v>
      </c>
      <c r="E396" s="41" t="s">
        <v>1439</v>
      </c>
      <c r="F396" s="44" t="s">
        <v>682</v>
      </c>
      <c r="G396" s="36" t="s">
        <v>28</v>
      </c>
      <c r="H396" s="36"/>
      <c r="I396" s="173" t="s">
        <v>683</v>
      </c>
      <c r="J396" s="173"/>
      <c r="K396" s="173"/>
      <c r="L396" s="173"/>
      <c r="M396" s="173"/>
      <c r="N396" s="41" t="s">
        <v>32</v>
      </c>
      <c r="O396" s="3">
        <v>0</v>
      </c>
      <c r="P396" s="74">
        <v>2.3640458999999998</v>
      </c>
      <c r="Q396" s="74">
        <v>-8.4045900000000007E-2</v>
      </c>
      <c r="R396" s="3"/>
      <c r="S396" s="75"/>
      <c r="T396" s="3"/>
      <c r="U396" s="67">
        <f t="shared" si="43"/>
        <v>2.3640458999999998</v>
      </c>
      <c r="V396" s="79">
        <f t="shared" si="44"/>
        <v>-8.4045900000000007E-2</v>
      </c>
      <c r="W396" s="3"/>
      <c r="X396" s="3"/>
      <c r="Y396" s="3"/>
      <c r="Z396" s="67">
        <f t="shared" si="45"/>
        <v>2.3640458999999998</v>
      </c>
      <c r="AA396" s="67">
        <f t="shared" si="46"/>
        <v>-8.4045900000000007E-2</v>
      </c>
      <c r="AB396" s="3"/>
      <c r="AC396" s="3"/>
      <c r="AD396" s="3"/>
      <c r="AE396" s="67">
        <f t="shared" si="47"/>
        <v>2.3640458999999998</v>
      </c>
      <c r="AF396" s="67">
        <f t="shared" si="48"/>
        <v>-8.4045900000000007E-2</v>
      </c>
    </row>
    <row r="397" spans="1:32" ht="62.4" hidden="1">
      <c r="A397" s="41">
        <f t="shared" si="49"/>
        <v>395</v>
      </c>
      <c r="B397" s="41" t="s">
        <v>684</v>
      </c>
      <c r="C397" s="41" t="s">
        <v>877</v>
      </c>
      <c r="D397" s="42" t="s">
        <v>1017</v>
      </c>
      <c r="E397" s="41" t="s">
        <v>1440</v>
      </c>
      <c r="F397" s="43" t="s">
        <v>685</v>
      </c>
      <c r="G397" s="41" t="s">
        <v>28</v>
      </c>
      <c r="H397" s="41"/>
      <c r="I397" s="41"/>
      <c r="J397" s="41"/>
      <c r="K397" s="41"/>
      <c r="L397" s="41"/>
      <c r="M397" s="41"/>
      <c r="N397" s="41" t="s">
        <v>29</v>
      </c>
      <c r="O397" s="3">
        <v>0</v>
      </c>
      <c r="P397" s="66">
        <v>6.3714066000000003</v>
      </c>
      <c r="Q397" s="3">
        <v>-0.14140659999999999</v>
      </c>
      <c r="R397" s="3"/>
      <c r="S397" s="22"/>
      <c r="T397" s="3"/>
      <c r="U397" s="67">
        <f t="shared" si="43"/>
        <v>6.3714066000000003</v>
      </c>
      <c r="V397" s="79">
        <f t="shared" si="44"/>
        <v>-0.14140659999999999</v>
      </c>
      <c r="W397" s="3"/>
      <c r="X397" s="3"/>
      <c r="Y397" s="3"/>
      <c r="Z397" s="67">
        <f t="shared" si="45"/>
        <v>6.3714066000000003</v>
      </c>
      <c r="AA397" s="67">
        <f t="shared" si="46"/>
        <v>-0.14140659999999999</v>
      </c>
      <c r="AB397" s="3"/>
      <c r="AC397" s="3"/>
      <c r="AD397" s="3"/>
      <c r="AE397" s="67">
        <f t="shared" si="47"/>
        <v>6.3714066000000003</v>
      </c>
      <c r="AF397" s="67">
        <f t="shared" si="48"/>
        <v>-0.14140659999999999</v>
      </c>
    </row>
    <row r="398" spans="1:32" ht="62.4" hidden="1">
      <c r="A398" s="41">
        <f t="shared" si="49"/>
        <v>396</v>
      </c>
      <c r="B398" s="41" t="s">
        <v>686</v>
      </c>
      <c r="C398" s="41" t="s">
        <v>877</v>
      </c>
      <c r="D398" s="42" t="s">
        <v>1019</v>
      </c>
      <c r="E398" s="41" t="s">
        <v>1439</v>
      </c>
      <c r="F398" s="43" t="s">
        <v>687</v>
      </c>
      <c r="G398" s="41"/>
      <c r="H398" s="41"/>
      <c r="I398" s="41"/>
      <c r="J398" s="41"/>
      <c r="K398" s="41"/>
      <c r="L398" s="3"/>
      <c r="M398" s="3"/>
      <c r="N398" s="41" t="s">
        <v>67</v>
      </c>
      <c r="O398" s="3">
        <v>0</v>
      </c>
      <c r="P398" s="3">
        <v>1.2452143</v>
      </c>
      <c r="Q398" s="3">
        <v>0</v>
      </c>
      <c r="R398" s="25">
        <v>0.80571660000000001</v>
      </c>
      <c r="S398" s="22"/>
      <c r="T398" s="3"/>
      <c r="U398" s="67">
        <f t="shared" si="43"/>
        <v>1.2452143</v>
      </c>
      <c r="V398" s="67">
        <f t="shared" si="44"/>
        <v>0.80571660000000001</v>
      </c>
      <c r="W398" s="3"/>
      <c r="X398" s="3"/>
      <c r="Y398" s="3"/>
      <c r="Z398" s="67">
        <f t="shared" si="45"/>
        <v>1.2452143</v>
      </c>
      <c r="AA398" s="67">
        <f t="shared" si="46"/>
        <v>0.80571660000000001</v>
      </c>
      <c r="AB398" s="3"/>
      <c r="AC398" s="3"/>
      <c r="AD398" s="3"/>
      <c r="AE398" s="67">
        <f t="shared" si="47"/>
        <v>1.2452143</v>
      </c>
      <c r="AF398" s="67">
        <f t="shared" si="48"/>
        <v>0.80571660000000001</v>
      </c>
    </row>
    <row r="399" spans="1:32" ht="46.8" hidden="1">
      <c r="A399" s="41">
        <f t="shared" si="49"/>
        <v>397</v>
      </c>
      <c r="B399" s="41" t="s">
        <v>688</v>
      </c>
      <c r="C399" s="34" t="s">
        <v>1002</v>
      </c>
      <c r="D399" s="34" t="s">
        <v>1019</v>
      </c>
      <c r="E399" s="41" t="s">
        <v>1441</v>
      </c>
      <c r="F399" s="43" t="s">
        <v>689</v>
      </c>
      <c r="G399" s="41"/>
      <c r="H399" s="41"/>
      <c r="I399" s="41" t="s">
        <v>690</v>
      </c>
      <c r="J399" s="41"/>
      <c r="K399" s="41" t="s">
        <v>691</v>
      </c>
      <c r="L399" s="91">
        <v>0</v>
      </c>
      <c r="M399" s="3">
        <v>0</v>
      </c>
      <c r="N399" s="41" t="s">
        <v>32</v>
      </c>
      <c r="O399" s="91">
        <v>0</v>
      </c>
      <c r="P399" s="3">
        <v>0</v>
      </c>
      <c r="Q399" s="3">
        <v>3.3075842999999998</v>
      </c>
      <c r="R399" s="25">
        <v>3.1051039999999999</v>
      </c>
      <c r="S399" s="3"/>
      <c r="T399" s="3"/>
      <c r="U399" s="67">
        <f t="shared" si="43"/>
        <v>0</v>
      </c>
      <c r="V399" s="67">
        <f t="shared" si="44"/>
        <v>6.4126882999999992</v>
      </c>
      <c r="W399" s="94"/>
      <c r="X399" s="93"/>
      <c r="Y399" s="3"/>
      <c r="Z399" s="67">
        <f t="shared" si="45"/>
        <v>0</v>
      </c>
      <c r="AA399" s="67">
        <f t="shared" si="46"/>
        <v>6.4126882999999992</v>
      </c>
      <c r="AB399" s="91"/>
      <c r="AC399" s="91"/>
      <c r="AD399" s="3"/>
      <c r="AE399" s="67">
        <f t="shared" si="47"/>
        <v>0</v>
      </c>
      <c r="AF399" s="67">
        <f t="shared" si="48"/>
        <v>6.4126882999999992</v>
      </c>
    </row>
    <row r="400" spans="1:32" s="138" customFormat="1" ht="78">
      <c r="A400" s="129">
        <f t="shared" si="49"/>
        <v>398</v>
      </c>
      <c r="B400" s="129" t="s">
        <v>693</v>
      </c>
      <c r="C400" s="129" t="s">
        <v>876</v>
      </c>
      <c r="D400" s="41" t="s">
        <v>1019</v>
      </c>
      <c r="E400" s="41" t="s">
        <v>1442</v>
      </c>
      <c r="F400" s="131" t="s">
        <v>694</v>
      </c>
      <c r="G400" s="129" t="s">
        <v>28</v>
      </c>
      <c r="H400" s="41">
        <v>2</v>
      </c>
      <c r="I400" s="132" t="s">
        <v>519</v>
      </c>
      <c r="J400" s="132" t="s">
        <v>519</v>
      </c>
      <c r="K400" s="129" t="s">
        <v>520</v>
      </c>
      <c r="L400" s="134">
        <v>19.29</v>
      </c>
      <c r="M400" s="134">
        <v>0</v>
      </c>
      <c r="N400" s="129" t="s">
        <v>516</v>
      </c>
      <c r="O400" s="134">
        <v>18.760000000000002</v>
      </c>
      <c r="P400" s="134">
        <v>0</v>
      </c>
      <c r="Q400" s="134">
        <v>18.532845500000001</v>
      </c>
      <c r="R400" s="136">
        <v>0.22550049999999999</v>
      </c>
      <c r="S400" s="134">
        <f>18.5328455+0.2250545</f>
        <v>18.757899999999999</v>
      </c>
      <c r="T400" s="134"/>
      <c r="U400" s="137">
        <f t="shared" si="43"/>
        <v>18.757899999999999</v>
      </c>
      <c r="V400" s="137">
        <f t="shared" si="44"/>
        <v>4.4600000000016848E-4</v>
      </c>
      <c r="W400" s="139">
        <f>0.002347+0.0030331</f>
        <v>5.3801000000000005E-3</v>
      </c>
      <c r="X400" s="137">
        <f>W400</f>
        <v>5.3801000000000005E-3</v>
      </c>
      <c r="Y400" s="134"/>
      <c r="Z400" s="137">
        <f t="shared" si="45"/>
        <v>18.763280099999999</v>
      </c>
      <c r="AA400" s="137">
        <f t="shared" si="46"/>
        <v>4.4600000000016848E-4</v>
      </c>
      <c r="AB400" s="134"/>
      <c r="AC400" s="134"/>
      <c r="AD400" s="134"/>
      <c r="AE400" s="137">
        <f t="shared" si="47"/>
        <v>18.763280099999999</v>
      </c>
      <c r="AF400" s="137">
        <f t="shared" si="48"/>
        <v>4.4600000000016848E-4</v>
      </c>
    </row>
    <row r="401" spans="1:32" s="138" customFormat="1" ht="46.8">
      <c r="A401" s="129">
        <f t="shared" si="49"/>
        <v>399</v>
      </c>
      <c r="B401" s="129" t="s">
        <v>696</v>
      </c>
      <c r="C401" s="129" t="s">
        <v>876</v>
      </c>
      <c r="D401" s="41" t="s">
        <v>1019</v>
      </c>
      <c r="E401" s="41" t="s">
        <v>1443</v>
      </c>
      <c r="F401" s="131" t="s">
        <v>697</v>
      </c>
      <c r="G401" s="129"/>
      <c r="H401" s="41"/>
      <c r="I401" s="143" t="s">
        <v>690</v>
      </c>
      <c r="J401" s="143" t="s">
        <v>690</v>
      </c>
      <c r="K401" s="143" t="s">
        <v>1035</v>
      </c>
      <c r="L401" s="144">
        <v>8.35</v>
      </c>
      <c r="M401" s="134">
        <v>0</v>
      </c>
      <c r="N401" s="129" t="s">
        <v>32</v>
      </c>
      <c r="O401" s="134">
        <v>8.35</v>
      </c>
      <c r="P401" s="134">
        <v>0</v>
      </c>
      <c r="Q401" s="134">
        <v>2.5164680000000001</v>
      </c>
      <c r="R401" s="136">
        <v>3.4263306</v>
      </c>
      <c r="S401" s="134"/>
      <c r="T401" s="134"/>
      <c r="U401" s="137">
        <f t="shared" si="43"/>
        <v>0</v>
      </c>
      <c r="V401" s="137">
        <f t="shared" si="44"/>
        <v>5.9427985999999997</v>
      </c>
      <c r="W401" s="139">
        <f>O401-V401</f>
        <v>2.4072013999999999</v>
      </c>
      <c r="X401" s="134">
        <f>V401+W401</f>
        <v>8.35</v>
      </c>
      <c r="Y401" s="134"/>
      <c r="Z401" s="137">
        <f t="shared" si="45"/>
        <v>8.35</v>
      </c>
      <c r="AA401" s="137">
        <f t="shared" si="46"/>
        <v>0</v>
      </c>
      <c r="AB401" s="134"/>
      <c r="AC401" s="134"/>
      <c r="AD401" s="134"/>
      <c r="AE401" s="137">
        <f t="shared" si="47"/>
        <v>8.35</v>
      </c>
      <c r="AF401" s="137">
        <f t="shared" si="48"/>
        <v>0</v>
      </c>
    </row>
    <row r="402" spans="1:32" s="89" customFormat="1" ht="93.6" hidden="1">
      <c r="A402" s="80">
        <f t="shared" si="49"/>
        <v>400</v>
      </c>
      <c r="B402" s="80" t="s">
        <v>700</v>
      </c>
      <c r="C402" s="81" t="s">
        <v>1002</v>
      </c>
      <c r="D402" s="42" t="s">
        <v>1019</v>
      </c>
      <c r="E402" s="41" t="s">
        <v>1226</v>
      </c>
      <c r="F402" s="82" t="s">
        <v>701</v>
      </c>
      <c r="G402" s="80"/>
      <c r="H402" s="41">
        <v>3</v>
      </c>
      <c r="I402" s="80" t="s">
        <v>702</v>
      </c>
      <c r="J402" s="80" t="s">
        <v>702</v>
      </c>
      <c r="K402" s="80" t="s">
        <v>703</v>
      </c>
      <c r="L402" s="85">
        <v>10.51</v>
      </c>
      <c r="M402" s="85">
        <v>0</v>
      </c>
      <c r="N402" s="80" t="s">
        <v>516</v>
      </c>
      <c r="O402" s="85">
        <v>18.82</v>
      </c>
      <c r="P402" s="85">
        <v>0</v>
      </c>
      <c r="Q402" s="85">
        <v>0.31789200000000001</v>
      </c>
      <c r="R402" s="87">
        <v>6.8319662000000001</v>
      </c>
      <c r="S402" s="85"/>
      <c r="T402" s="85"/>
      <c r="U402" s="88">
        <f t="shared" si="43"/>
        <v>0</v>
      </c>
      <c r="V402" s="88">
        <f t="shared" si="44"/>
        <v>7.1498581999999997</v>
      </c>
      <c r="W402" s="111">
        <f>1.0421288+2.4918403+2.0625516+1.6642804+0.0434842+0.1968293</f>
        <v>7.5011145999999993</v>
      </c>
      <c r="X402" s="88">
        <f>V402+W402</f>
        <v>14.650972799999998</v>
      </c>
      <c r="Y402" s="85"/>
      <c r="Z402" s="88">
        <f t="shared" si="45"/>
        <v>14.650972799999998</v>
      </c>
      <c r="AA402" s="88">
        <f t="shared" si="46"/>
        <v>0</v>
      </c>
      <c r="AB402" s="85"/>
      <c r="AC402" s="85"/>
      <c r="AD402" s="85"/>
      <c r="AE402" s="88">
        <f t="shared" si="47"/>
        <v>14.650972799999998</v>
      </c>
      <c r="AF402" s="88">
        <f t="shared" si="48"/>
        <v>0</v>
      </c>
    </row>
    <row r="403" spans="1:32" s="89" customFormat="1" ht="62.4" hidden="1">
      <c r="A403" s="80">
        <f t="shared" si="49"/>
        <v>401</v>
      </c>
      <c r="B403" s="80" t="s">
        <v>704</v>
      </c>
      <c r="C403" s="81" t="s">
        <v>1002</v>
      </c>
      <c r="D403" s="34" t="s">
        <v>1019</v>
      </c>
      <c r="E403" s="41" t="s">
        <v>1444</v>
      </c>
      <c r="F403" s="82" t="s">
        <v>705</v>
      </c>
      <c r="G403" s="80"/>
      <c r="H403" s="41"/>
      <c r="I403" s="80" t="s">
        <v>706</v>
      </c>
      <c r="J403" s="80"/>
      <c r="K403" s="80" t="s">
        <v>707</v>
      </c>
      <c r="L403" s="85">
        <v>2.71</v>
      </c>
      <c r="M403" s="85">
        <v>0</v>
      </c>
      <c r="N403" s="80" t="s">
        <v>516</v>
      </c>
      <c r="O403" s="85">
        <v>0</v>
      </c>
      <c r="P403" s="85">
        <v>0</v>
      </c>
      <c r="Q403" s="85">
        <v>0.72487710000000005</v>
      </c>
      <c r="R403" s="87">
        <v>1.2112993000000001</v>
      </c>
      <c r="S403" s="85"/>
      <c r="T403" s="85"/>
      <c r="U403" s="88">
        <f t="shared" si="43"/>
        <v>0</v>
      </c>
      <c r="V403" s="88">
        <f t="shared" si="44"/>
        <v>1.9361764000000001</v>
      </c>
      <c r="W403" s="111">
        <f>0.2340957+0.06608+0.0084606</f>
        <v>0.30863629999999997</v>
      </c>
      <c r="X403" s="88">
        <f>V403+W403</f>
        <v>2.2448127000000002</v>
      </c>
      <c r="Y403" s="85"/>
      <c r="Z403" s="88">
        <f t="shared" si="45"/>
        <v>2.2448127000000002</v>
      </c>
      <c r="AA403" s="88">
        <f t="shared" si="46"/>
        <v>0</v>
      </c>
      <c r="AB403" s="85"/>
      <c r="AC403" s="85"/>
      <c r="AD403" s="85"/>
      <c r="AE403" s="88">
        <f t="shared" si="47"/>
        <v>2.2448127000000002</v>
      </c>
      <c r="AF403" s="88">
        <f t="shared" si="48"/>
        <v>0</v>
      </c>
    </row>
    <row r="404" spans="1:32" ht="46.8" hidden="1">
      <c r="A404" s="41">
        <f t="shared" si="49"/>
        <v>402</v>
      </c>
      <c r="B404" s="41" t="s">
        <v>709</v>
      </c>
      <c r="C404" s="41" t="s">
        <v>877</v>
      </c>
      <c r="D404" s="42" t="s">
        <v>1019</v>
      </c>
      <c r="E404" s="41" t="s">
        <v>1442</v>
      </c>
      <c r="F404" s="43" t="s">
        <v>710</v>
      </c>
      <c r="G404" s="41"/>
      <c r="H404" s="41"/>
      <c r="I404" s="41"/>
      <c r="J404" s="41"/>
      <c r="K404" s="41"/>
      <c r="L404" s="3"/>
      <c r="M404" s="3"/>
      <c r="N404" s="41" t="s">
        <v>67</v>
      </c>
      <c r="O404" s="3">
        <v>0</v>
      </c>
      <c r="P404" s="3">
        <v>0</v>
      </c>
      <c r="Q404" s="3">
        <v>0.79472480000000001</v>
      </c>
      <c r="R404" s="69"/>
      <c r="S404" s="3"/>
      <c r="T404" s="3"/>
      <c r="U404" s="67">
        <f t="shared" si="43"/>
        <v>0</v>
      </c>
      <c r="V404" s="67">
        <f t="shared" si="44"/>
        <v>0.79472480000000001</v>
      </c>
      <c r="W404" s="3"/>
      <c r="X404" s="3"/>
      <c r="Y404" s="3"/>
      <c r="Z404" s="67">
        <f t="shared" si="45"/>
        <v>0</v>
      </c>
      <c r="AA404" s="67">
        <f t="shared" si="46"/>
        <v>0.79472480000000001</v>
      </c>
      <c r="AB404" s="3"/>
      <c r="AC404" s="3"/>
      <c r="AD404" s="3"/>
      <c r="AE404" s="67">
        <f t="shared" si="47"/>
        <v>0</v>
      </c>
      <c r="AF404" s="67">
        <f t="shared" si="48"/>
        <v>0.79472480000000001</v>
      </c>
    </row>
    <row r="405" spans="1:32" ht="46.8" hidden="1">
      <c r="A405" s="41">
        <f t="shared" si="49"/>
        <v>403</v>
      </c>
      <c r="B405" s="41" t="s">
        <v>711</v>
      </c>
      <c r="C405" s="41" t="s">
        <v>877</v>
      </c>
      <c r="D405" s="42" t="s">
        <v>1019</v>
      </c>
      <c r="E405" s="41" t="s">
        <v>1445</v>
      </c>
      <c r="F405" s="43" t="s">
        <v>712</v>
      </c>
      <c r="G405" s="41"/>
      <c r="H405" s="41"/>
      <c r="I405" s="41"/>
      <c r="J405" s="41"/>
      <c r="K405" s="41"/>
      <c r="L405" s="3"/>
      <c r="M405" s="3"/>
      <c r="N405" s="41" t="s">
        <v>67</v>
      </c>
      <c r="O405" s="3">
        <v>0</v>
      </c>
      <c r="P405" s="3">
        <v>0</v>
      </c>
      <c r="Q405" s="3">
        <v>0.47857119999999997</v>
      </c>
      <c r="R405" s="69"/>
      <c r="S405" s="3">
        <v>0.47857119999999997</v>
      </c>
      <c r="T405" s="3"/>
      <c r="U405" s="67">
        <f t="shared" si="43"/>
        <v>0.47857119999999997</v>
      </c>
      <c r="V405" s="67">
        <f t="shared" si="44"/>
        <v>0</v>
      </c>
      <c r="W405" s="3"/>
      <c r="X405" s="3"/>
      <c r="Y405" s="3"/>
      <c r="Z405" s="67">
        <f t="shared" si="45"/>
        <v>0.47857119999999997</v>
      </c>
      <c r="AA405" s="67">
        <f t="shared" si="46"/>
        <v>0</v>
      </c>
      <c r="AB405" s="3"/>
      <c r="AC405" s="3"/>
      <c r="AD405" s="3"/>
      <c r="AE405" s="67">
        <f t="shared" si="47"/>
        <v>0.47857119999999997</v>
      </c>
      <c r="AF405" s="67">
        <f t="shared" si="48"/>
        <v>0</v>
      </c>
    </row>
    <row r="406" spans="1:32" ht="46.8" hidden="1">
      <c r="A406" s="41">
        <f t="shared" si="49"/>
        <v>404</v>
      </c>
      <c r="B406" s="41" t="s">
        <v>713</v>
      </c>
      <c r="C406" s="34" t="s">
        <v>1002</v>
      </c>
      <c r="D406" s="34" t="s">
        <v>1016</v>
      </c>
      <c r="E406" s="41" t="s">
        <v>1446</v>
      </c>
      <c r="F406" s="43" t="s">
        <v>714</v>
      </c>
      <c r="G406" s="41" t="s">
        <v>28</v>
      </c>
      <c r="H406" s="41">
        <v>3</v>
      </c>
      <c r="I406" s="41">
        <v>42432</v>
      </c>
      <c r="J406" s="41">
        <v>42432</v>
      </c>
      <c r="K406" s="41">
        <v>42797</v>
      </c>
      <c r="L406" s="91">
        <v>26.49</v>
      </c>
      <c r="M406" s="3">
        <v>57.04</v>
      </c>
      <c r="N406" s="41" t="s">
        <v>32</v>
      </c>
      <c r="O406" s="91">
        <v>55.63</v>
      </c>
      <c r="P406" s="3">
        <v>0</v>
      </c>
      <c r="Q406" s="3">
        <v>27.011084499999999</v>
      </c>
      <c r="R406" s="25">
        <v>0.27023819999999998</v>
      </c>
      <c r="S406" s="3"/>
      <c r="T406" s="3"/>
      <c r="U406" s="67">
        <f t="shared" si="43"/>
        <v>0</v>
      </c>
      <c r="V406" s="67">
        <f t="shared" si="44"/>
        <v>27.2813227</v>
      </c>
      <c r="W406" s="92">
        <v>0.37961430000000002</v>
      </c>
      <c r="X406" s="93"/>
      <c r="Y406" s="3"/>
      <c r="Z406" s="67">
        <f t="shared" si="45"/>
        <v>0</v>
      </c>
      <c r="AA406" s="67">
        <f t="shared" si="46"/>
        <v>27.660937000000001</v>
      </c>
      <c r="AB406" s="91"/>
      <c r="AC406" s="91"/>
      <c r="AD406" s="3"/>
      <c r="AE406" s="67">
        <f t="shared" si="47"/>
        <v>0</v>
      </c>
      <c r="AF406" s="67">
        <f t="shared" si="48"/>
        <v>27.660937000000001</v>
      </c>
    </row>
    <row r="407" spans="1:32" s="138" customFormat="1" ht="62.4">
      <c r="A407" s="129">
        <f t="shared" si="49"/>
        <v>405</v>
      </c>
      <c r="B407" s="129" t="s">
        <v>716</v>
      </c>
      <c r="C407" s="129" t="s">
        <v>876</v>
      </c>
      <c r="D407" s="41" t="s">
        <v>1019</v>
      </c>
      <c r="E407" s="41" t="s">
        <v>1447</v>
      </c>
      <c r="F407" s="131" t="s">
        <v>717</v>
      </c>
      <c r="G407" s="129"/>
      <c r="H407" s="41"/>
      <c r="I407" s="143" t="s">
        <v>718</v>
      </c>
      <c r="J407" s="143" t="s">
        <v>718</v>
      </c>
      <c r="K407" s="143" t="s">
        <v>719</v>
      </c>
      <c r="L407" s="144">
        <v>19.25</v>
      </c>
      <c r="M407" s="134">
        <v>0</v>
      </c>
      <c r="N407" s="129" t="s">
        <v>32</v>
      </c>
      <c r="O407" s="134">
        <v>19.25</v>
      </c>
      <c r="P407" s="134">
        <v>0</v>
      </c>
      <c r="Q407" s="134">
        <v>1.0253228000000001</v>
      </c>
      <c r="R407" s="136">
        <f>12.1520112+1.8391628</f>
        <v>13.991174000000001</v>
      </c>
      <c r="S407" s="134"/>
      <c r="T407" s="134"/>
      <c r="U407" s="137">
        <f t="shared" si="43"/>
        <v>0</v>
      </c>
      <c r="V407" s="137">
        <f t="shared" si="44"/>
        <v>15.016496800000001</v>
      </c>
      <c r="W407" s="139">
        <f>1.0502+0.6195887+2.32549+0.859512+0.69443+0.9935157+0.5294283+5.115606+0.5230401+1.2233296+0.5723</f>
        <v>14.506440399999999</v>
      </c>
      <c r="X407" s="134">
        <f>V407+W407</f>
        <v>29.522937200000001</v>
      </c>
      <c r="Y407" s="134"/>
      <c r="Z407" s="137">
        <f t="shared" si="45"/>
        <v>29.522937200000001</v>
      </c>
      <c r="AA407" s="137">
        <f t="shared" si="46"/>
        <v>0</v>
      </c>
      <c r="AB407" s="134"/>
      <c r="AC407" s="137"/>
      <c r="AD407" s="134"/>
      <c r="AE407" s="137">
        <f t="shared" si="47"/>
        <v>29.522937200000001</v>
      </c>
      <c r="AF407" s="137">
        <f t="shared" si="48"/>
        <v>0</v>
      </c>
    </row>
    <row r="408" spans="1:32" s="89" customFormat="1" ht="46.8" hidden="1">
      <c r="A408" s="80">
        <f t="shared" si="49"/>
        <v>406</v>
      </c>
      <c r="B408" s="81" t="s">
        <v>722</v>
      </c>
      <c r="C408" s="81" t="s">
        <v>1002</v>
      </c>
      <c r="D408" s="41" t="s">
        <v>1019</v>
      </c>
      <c r="E408" s="41" t="s">
        <v>1448</v>
      </c>
      <c r="F408" s="82" t="s">
        <v>507</v>
      </c>
      <c r="G408" s="80" t="s">
        <v>28</v>
      </c>
      <c r="H408" s="41">
        <v>4</v>
      </c>
      <c r="I408" s="80" t="s">
        <v>508</v>
      </c>
      <c r="J408" s="80" t="s">
        <v>508</v>
      </c>
      <c r="K408" s="80" t="s">
        <v>509</v>
      </c>
      <c r="L408" s="84">
        <v>42.79</v>
      </c>
      <c r="M408" s="84">
        <v>42.69</v>
      </c>
      <c r="N408" s="80" t="s">
        <v>32</v>
      </c>
      <c r="O408" s="84">
        <v>35.479999999999997</v>
      </c>
      <c r="P408" s="85">
        <v>0</v>
      </c>
      <c r="Q408" s="86">
        <v>32.254007399999999</v>
      </c>
      <c r="R408" s="87">
        <v>2.1211223000000001</v>
      </c>
      <c r="S408" s="85"/>
      <c r="T408" s="85"/>
      <c r="U408" s="88">
        <f t="shared" si="43"/>
        <v>0</v>
      </c>
      <c r="V408" s="88">
        <f t="shared" si="44"/>
        <v>34.375129700000002</v>
      </c>
      <c r="W408" s="85"/>
      <c r="X408" s="85">
        <f>V408</f>
        <v>34.375129700000002</v>
      </c>
      <c r="Y408" s="85"/>
      <c r="Z408" s="88">
        <f t="shared" si="45"/>
        <v>34.375129700000002</v>
      </c>
      <c r="AA408" s="88">
        <f t="shared" si="46"/>
        <v>0</v>
      </c>
      <c r="AB408" s="85"/>
      <c r="AC408" s="85"/>
      <c r="AD408" s="85"/>
      <c r="AE408" s="88">
        <f t="shared" si="47"/>
        <v>34.375129700000002</v>
      </c>
      <c r="AF408" s="88">
        <f t="shared" si="48"/>
        <v>0</v>
      </c>
    </row>
    <row r="409" spans="1:32" s="89" customFormat="1" ht="93.6" hidden="1">
      <c r="A409" s="80">
        <f t="shared" si="49"/>
        <v>407</v>
      </c>
      <c r="B409" s="81" t="s">
        <v>723</v>
      </c>
      <c r="C409" s="81" t="s">
        <v>1002</v>
      </c>
      <c r="D409" s="41" t="s">
        <v>1019</v>
      </c>
      <c r="E409" s="41" t="s">
        <v>1449</v>
      </c>
      <c r="F409" s="82" t="s">
        <v>479</v>
      </c>
      <c r="G409" s="80" t="s">
        <v>28</v>
      </c>
      <c r="H409" s="41">
        <v>4</v>
      </c>
      <c r="I409" s="80" t="s">
        <v>480</v>
      </c>
      <c r="J409" s="80" t="s">
        <v>481</v>
      </c>
      <c r="K409" s="80" t="s">
        <v>481</v>
      </c>
      <c r="L409" s="84">
        <v>21.13</v>
      </c>
      <c r="M409" s="84">
        <v>31.04</v>
      </c>
      <c r="N409" s="80" t="s">
        <v>32</v>
      </c>
      <c r="O409" s="84">
        <v>33.450000000000003</v>
      </c>
      <c r="P409" s="85">
        <v>0</v>
      </c>
      <c r="Q409" s="86">
        <v>20.0986756</v>
      </c>
      <c r="R409" s="87">
        <v>0.96779789999999999</v>
      </c>
      <c r="S409" s="85"/>
      <c r="T409" s="85"/>
      <c r="U409" s="88">
        <f t="shared" si="43"/>
        <v>0</v>
      </c>
      <c r="V409" s="88">
        <f t="shared" si="44"/>
        <v>21.066473500000001</v>
      </c>
      <c r="W409" s="111">
        <v>0.2276851</v>
      </c>
      <c r="X409" s="85"/>
      <c r="Y409" s="85"/>
      <c r="Z409" s="88">
        <f t="shared" si="45"/>
        <v>0</v>
      </c>
      <c r="AA409" s="88">
        <f t="shared" si="46"/>
        <v>21.294158599999999</v>
      </c>
      <c r="AB409" s="85">
        <f>O409-AA409</f>
        <v>12.155841400000003</v>
      </c>
      <c r="AC409" s="85">
        <f>AA409+AB409</f>
        <v>33.450000000000003</v>
      </c>
      <c r="AD409" s="85"/>
      <c r="AE409" s="88">
        <f t="shared" si="47"/>
        <v>33.450000000000003</v>
      </c>
      <c r="AF409" s="88">
        <f t="shared" si="48"/>
        <v>0</v>
      </c>
    </row>
    <row r="410" spans="1:32" ht="93.6">
      <c r="A410" s="41">
        <f t="shared" si="49"/>
        <v>408</v>
      </c>
      <c r="B410" s="41" t="s">
        <v>731</v>
      </c>
      <c r="C410" s="41" t="s">
        <v>876</v>
      </c>
      <c r="D410" s="41" t="s">
        <v>1019</v>
      </c>
      <c r="E410" s="41" t="s">
        <v>1450</v>
      </c>
      <c r="F410" s="43" t="s">
        <v>732</v>
      </c>
      <c r="G410" s="41"/>
      <c r="H410" s="41"/>
      <c r="I410" s="31" t="s">
        <v>1036</v>
      </c>
      <c r="J410" s="31" t="s">
        <v>1036</v>
      </c>
      <c r="K410" s="31" t="s">
        <v>1037</v>
      </c>
      <c r="L410" s="106">
        <v>6.2</v>
      </c>
      <c r="M410" s="3">
        <v>0</v>
      </c>
      <c r="N410" s="41" t="s">
        <v>516</v>
      </c>
      <c r="O410" s="91">
        <v>4.55</v>
      </c>
      <c r="P410" s="3">
        <v>0</v>
      </c>
      <c r="Q410" s="3">
        <v>1.7841035000000001</v>
      </c>
      <c r="R410" s="25">
        <v>1.5986400000000001</v>
      </c>
      <c r="S410" s="3">
        <f>4.4511981+0.1003236</f>
        <v>4.5515217000000003</v>
      </c>
      <c r="T410" s="3"/>
      <c r="U410" s="67">
        <f t="shared" si="43"/>
        <v>4.5515217000000003</v>
      </c>
      <c r="V410" s="79">
        <f t="shared" si="44"/>
        <v>-1.1687782000000002</v>
      </c>
      <c r="W410" s="94"/>
      <c r="X410" s="95"/>
      <c r="Y410" s="3"/>
      <c r="Z410" s="67">
        <f t="shared" si="45"/>
        <v>4.5515217000000003</v>
      </c>
      <c r="AA410" s="67">
        <f t="shared" si="46"/>
        <v>-1.1687782000000002</v>
      </c>
      <c r="AB410" s="91"/>
      <c r="AC410" s="91"/>
      <c r="AD410" s="3"/>
      <c r="AE410" s="67">
        <f t="shared" si="47"/>
        <v>4.5515217000000003</v>
      </c>
      <c r="AF410" s="67">
        <f t="shared" si="48"/>
        <v>-1.1687782000000002</v>
      </c>
    </row>
    <row r="411" spans="1:32" s="89" customFormat="1" ht="62.4" hidden="1">
      <c r="A411" s="80">
        <f t="shared" si="49"/>
        <v>409</v>
      </c>
      <c r="B411" s="80" t="s">
        <v>736</v>
      </c>
      <c r="C411" s="81" t="s">
        <v>1002</v>
      </c>
      <c r="D411" s="34" t="s">
        <v>1019</v>
      </c>
      <c r="E411" s="41" t="s">
        <v>1451</v>
      </c>
      <c r="F411" s="82" t="s">
        <v>737</v>
      </c>
      <c r="G411" s="80"/>
      <c r="H411" s="41"/>
      <c r="I411" s="80" t="s">
        <v>738</v>
      </c>
      <c r="J411" s="80"/>
      <c r="K411" s="80"/>
      <c r="L411" s="85">
        <v>42.63</v>
      </c>
      <c r="M411" s="85">
        <v>0</v>
      </c>
      <c r="N411" s="80" t="s">
        <v>32</v>
      </c>
      <c r="O411" s="85">
        <v>40.04</v>
      </c>
      <c r="P411" s="85">
        <v>0</v>
      </c>
      <c r="Q411" s="85">
        <v>38.046617699999999</v>
      </c>
      <c r="R411" s="87">
        <v>2.0025680000000001</v>
      </c>
      <c r="S411" s="85"/>
      <c r="T411" s="85"/>
      <c r="U411" s="88">
        <f t="shared" si="43"/>
        <v>0</v>
      </c>
      <c r="V411" s="88">
        <f t="shared" si="44"/>
        <v>40.049185699999995</v>
      </c>
      <c r="W411" s="111">
        <v>0.1329034</v>
      </c>
      <c r="X411" s="88">
        <f>V411+W411</f>
        <v>40.182089099999999</v>
      </c>
      <c r="Y411" s="85"/>
      <c r="Z411" s="88">
        <f t="shared" si="45"/>
        <v>40.182089099999999</v>
      </c>
      <c r="AA411" s="88">
        <f t="shared" si="46"/>
        <v>0</v>
      </c>
      <c r="AB411" s="85"/>
      <c r="AC411" s="85"/>
      <c r="AD411" s="85"/>
      <c r="AE411" s="88">
        <f t="shared" si="47"/>
        <v>40.182089099999999</v>
      </c>
      <c r="AF411" s="88">
        <f t="shared" si="48"/>
        <v>0</v>
      </c>
    </row>
    <row r="412" spans="1:32" s="27" customFormat="1" ht="93.6" hidden="1">
      <c r="A412" s="29">
        <f t="shared" si="49"/>
        <v>410</v>
      </c>
      <c r="B412" s="29" t="s">
        <v>739</v>
      </c>
      <c r="C412" s="29" t="s">
        <v>1002</v>
      </c>
      <c r="D412" s="34" t="s">
        <v>30</v>
      </c>
      <c r="E412" s="34" t="s">
        <v>30</v>
      </c>
      <c r="F412" s="118" t="s">
        <v>1539</v>
      </c>
      <c r="G412" s="29"/>
      <c r="H412" s="41"/>
      <c r="I412" s="29"/>
      <c r="J412" s="29"/>
      <c r="K412" s="29"/>
      <c r="L412" s="28"/>
      <c r="M412" s="28"/>
      <c r="N412" s="29" t="s">
        <v>67</v>
      </c>
      <c r="O412" s="28">
        <v>0</v>
      </c>
      <c r="P412" s="28">
        <v>0</v>
      </c>
      <c r="Q412" s="28">
        <v>1.7700000000000001E-3</v>
      </c>
      <c r="R412" s="119"/>
      <c r="S412" s="28"/>
      <c r="T412" s="28"/>
      <c r="U412" s="79">
        <f t="shared" si="43"/>
        <v>0</v>
      </c>
      <c r="V412" s="79">
        <f t="shared" si="44"/>
        <v>1.7700000000000001E-3</v>
      </c>
      <c r="W412" s="28"/>
      <c r="X412" s="28"/>
      <c r="Y412" s="28"/>
      <c r="Z412" s="79">
        <f t="shared" si="45"/>
        <v>0</v>
      </c>
      <c r="AA412" s="79">
        <f t="shared" si="46"/>
        <v>1.7700000000000001E-3</v>
      </c>
      <c r="AB412" s="28"/>
      <c r="AC412" s="28"/>
      <c r="AD412" s="28"/>
      <c r="AE412" s="79">
        <f t="shared" si="47"/>
        <v>0</v>
      </c>
      <c r="AF412" s="79">
        <f t="shared" si="48"/>
        <v>1.7700000000000001E-3</v>
      </c>
    </row>
    <row r="413" spans="1:32" s="89" customFormat="1" ht="62.4" hidden="1">
      <c r="A413" s="80">
        <f t="shared" si="49"/>
        <v>411</v>
      </c>
      <c r="B413" s="80" t="s">
        <v>741</v>
      </c>
      <c r="C413" s="81" t="s">
        <v>1002</v>
      </c>
      <c r="D413" s="34" t="s">
        <v>1019</v>
      </c>
      <c r="E413" s="41" t="s">
        <v>1452</v>
      </c>
      <c r="F413" s="82" t="s">
        <v>742</v>
      </c>
      <c r="G413" s="80"/>
      <c r="H413" s="41"/>
      <c r="I413" s="80" t="s">
        <v>743</v>
      </c>
      <c r="J413" s="80"/>
      <c r="K413" s="80" t="s">
        <v>744</v>
      </c>
      <c r="L413" s="85">
        <v>12.869376000000001</v>
      </c>
      <c r="M413" s="85">
        <v>0</v>
      </c>
      <c r="N413" s="80" t="s">
        <v>32</v>
      </c>
      <c r="O413" s="85">
        <v>0</v>
      </c>
      <c r="P413" s="85">
        <v>0</v>
      </c>
      <c r="Q413" s="85">
        <v>10.175425000000001</v>
      </c>
      <c r="R413" s="87">
        <v>1.1920396</v>
      </c>
      <c r="S413" s="85"/>
      <c r="T413" s="85"/>
      <c r="U413" s="88">
        <f t="shared" si="43"/>
        <v>0</v>
      </c>
      <c r="V413" s="88">
        <f t="shared" si="44"/>
        <v>11.3674646</v>
      </c>
      <c r="W413" s="112">
        <v>0.4240969</v>
      </c>
      <c r="X413" s="88">
        <f>V413+W413</f>
        <v>11.7915615</v>
      </c>
      <c r="Y413" s="85"/>
      <c r="Z413" s="88">
        <f t="shared" si="45"/>
        <v>11.7915615</v>
      </c>
      <c r="AA413" s="88">
        <f t="shared" si="46"/>
        <v>0</v>
      </c>
      <c r="AB413" s="85"/>
      <c r="AC413" s="85"/>
      <c r="AD413" s="85"/>
      <c r="AE413" s="88">
        <f t="shared" si="47"/>
        <v>11.7915615</v>
      </c>
      <c r="AF413" s="88">
        <f t="shared" si="48"/>
        <v>0</v>
      </c>
    </row>
    <row r="414" spans="1:32" s="138" customFormat="1" ht="46.8">
      <c r="A414" s="129">
        <f t="shared" si="49"/>
        <v>412</v>
      </c>
      <c r="B414" s="129" t="s">
        <v>747</v>
      </c>
      <c r="C414" s="129" t="s">
        <v>876</v>
      </c>
      <c r="D414" s="41" t="s">
        <v>1019</v>
      </c>
      <c r="E414" s="41" t="s">
        <v>1453</v>
      </c>
      <c r="F414" s="131" t="s">
        <v>748</v>
      </c>
      <c r="G414" s="129"/>
      <c r="H414" s="41"/>
      <c r="I414" s="143" t="s">
        <v>698</v>
      </c>
      <c r="J414" s="143" t="s">
        <v>698</v>
      </c>
      <c r="K414" s="143" t="s">
        <v>699</v>
      </c>
      <c r="L414" s="144">
        <v>6.82</v>
      </c>
      <c r="M414" s="134">
        <v>0</v>
      </c>
      <c r="N414" s="129" t="s">
        <v>32</v>
      </c>
      <c r="O414" s="134">
        <v>6.82</v>
      </c>
      <c r="P414" s="134">
        <v>0</v>
      </c>
      <c r="Q414" s="134">
        <v>0.14939330000000001</v>
      </c>
      <c r="R414" s="136">
        <v>5.3993086999999997</v>
      </c>
      <c r="S414" s="134"/>
      <c r="T414" s="134"/>
      <c r="U414" s="137">
        <f t="shared" si="43"/>
        <v>0</v>
      </c>
      <c r="V414" s="137">
        <f t="shared" si="44"/>
        <v>5.5487019999999996</v>
      </c>
      <c r="W414" s="139">
        <v>0.80429539999999999</v>
      </c>
      <c r="X414" s="137">
        <f>V414+W414</f>
        <v>6.3529973999999996</v>
      </c>
      <c r="Y414" s="134"/>
      <c r="Z414" s="137">
        <f t="shared" si="45"/>
        <v>6.3529973999999996</v>
      </c>
      <c r="AA414" s="137">
        <f t="shared" si="46"/>
        <v>0</v>
      </c>
      <c r="AB414" s="134"/>
      <c r="AC414" s="134"/>
      <c r="AD414" s="134"/>
      <c r="AE414" s="137">
        <f t="shared" si="47"/>
        <v>6.3529973999999996</v>
      </c>
      <c r="AF414" s="137">
        <f t="shared" si="48"/>
        <v>0</v>
      </c>
    </row>
    <row r="415" spans="1:32" s="138" customFormat="1" ht="156">
      <c r="A415" s="129">
        <f t="shared" si="49"/>
        <v>413</v>
      </c>
      <c r="B415" s="129" t="s">
        <v>749</v>
      </c>
      <c r="C415" s="129" t="s">
        <v>876</v>
      </c>
      <c r="D415" s="41" t="s">
        <v>1019</v>
      </c>
      <c r="E415" s="41" t="s">
        <v>1454</v>
      </c>
      <c r="F415" s="131" t="s">
        <v>750</v>
      </c>
      <c r="G415" s="129"/>
      <c r="H415" s="41"/>
      <c r="I415" s="145" t="s">
        <v>831</v>
      </c>
      <c r="J415" s="145" t="s">
        <v>831</v>
      </c>
      <c r="K415" s="145" t="s">
        <v>873</v>
      </c>
      <c r="L415" s="146">
        <v>529.54999999999995</v>
      </c>
      <c r="M415" s="134">
        <v>0</v>
      </c>
      <c r="N415" s="129" t="s">
        <v>32</v>
      </c>
      <c r="O415" s="134">
        <v>416.52</v>
      </c>
      <c r="P415" s="134">
        <v>0</v>
      </c>
      <c r="Q415" s="134">
        <v>107.3932417</v>
      </c>
      <c r="R415" s="141">
        <f>67.4271517+199.0251417</f>
        <v>266.45229340000003</v>
      </c>
      <c r="S415" s="134"/>
      <c r="T415" s="134"/>
      <c r="U415" s="137">
        <f t="shared" si="43"/>
        <v>0</v>
      </c>
      <c r="V415" s="137">
        <f t="shared" si="44"/>
        <v>373.84553510000001</v>
      </c>
      <c r="W415" s="139">
        <f>O415-V415</f>
        <v>42.674464899999975</v>
      </c>
      <c r="X415" s="137">
        <f>V415+W415</f>
        <v>416.52</v>
      </c>
      <c r="Y415" s="134"/>
      <c r="Z415" s="137">
        <f t="shared" si="45"/>
        <v>416.52</v>
      </c>
      <c r="AA415" s="137">
        <f t="shared" si="46"/>
        <v>0</v>
      </c>
      <c r="AB415" s="134"/>
      <c r="AC415" s="134"/>
      <c r="AD415" s="134"/>
      <c r="AE415" s="137">
        <f t="shared" si="47"/>
        <v>416.52</v>
      </c>
      <c r="AF415" s="137">
        <f t="shared" si="48"/>
        <v>0</v>
      </c>
    </row>
    <row r="416" spans="1:32" s="89" customFormat="1" ht="62.4" hidden="1">
      <c r="A416" s="80">
        <f t="shared" si="49"/>
        <v>414</v>
      </c>
      <c r="B416" s="80" t="s">
        <v>752</v>
      </c>
      <c r="C416" s="81" t="s">
        <v>1002</v>
      </c>
      <c r="D416" s="41" t="s">
        <v>1019</v>
      </c>
      <c r="E416" s="41" t="s">
        <v>1455</v>
      </c>
      <c r="F416" s="82" t="s">
        <v>753</v>
      </c>
      <c r="G416" s="80"/>
      <c r="H416" s="41"/>
      <c r="I416" s="80" t="s">
        <v>754</v>
      </c>
      <c r="J416" s="80"/>
      <c r="K416" s="80" t="s">
        <v>755</v>
      </c>
      <c r="L416" s="85">
        <v>12.92</v>
      </c>
      <c r="M416" s="85">
        <v>0</v>
      </c>
      <c r="N416" s="80" t="s">
        <v>516</v>
      </c>
      <c r="O416" s="85">
        <v>0</v>
      </c>
      <c r="P416" s="85">
        <v>0</v>
      </c>
      <c r="Q416" s="85">
        <v>3.3060071</v>
      </c>
      <c r="R416" s="87">
        <v>4.4653771999999998</v>
      </c>
      <c r="S416" s="85"/>
      <c r="T416" s="85"/>
      <c r="U416" s="88">
        <f t="shared" si="43"/>
        <v>0</v>
      </c>
      <c r="V416" s="88">
        <f t="shared" si="44"/>
        <v>7.7713842999999994</v>
      </c>
      <c r="W416" s="111">
        <f>1.1855133+0.3513393</f>
        <v>1.5368526</v>
      </c>
      <c r="X416" s="88">
        <f>V416+W416</f>
        <v>9.3082368999999989</v>
      </c>
      <c r="Y416" s="85"/>
      <c r="Z416" s="88">
        <f t="shared" si="45"/>
        <v>9.3082368999999989</v>
      </c>
      <c r="AA416" s="88">
        <f t="shared" si="46"/>
        <v>0</v>
      </c>
      <c r="AB416" s="85"/>
      <c r="AC416" s="85"/>
      <c r="AD416" s="85"/>
      <c r="AE416" s="88">
        <f t="shared" si="47"/>
        <v>9.3082368999999989</v>
      </c>
      <c r="AF416" s="88">
        <f t="shared" si="48"/>
        <v>0</v>
      </c>
    </row>
    <row r="417" spans="1:32" s="138" customFormat="1" ht="46.8">
      <c r="A417" s="129">
        <f t="shared" si="49"/>
        <v>415</v>
      </c>
      <c r="B417" s="143" t="s">
        <v>756</v>
      </c>
      <c r="C417" s="143" t="s">
        <v>876</v>
      </c>
      <c r="D417" s="41" t="s">
        <v>1019</v>
      </c>
      <c r="E417" s="41" t="s">
        <v>1456</v>
      </c>
      <c r="F417" s="131" t="s">
        <v>757</v>
      </c>
      <c r="G417" s="129"/>
      <c r="H417" s="41"/>
      <c r="I417" s="143" t="s">
        <v>758</v>
      </c>
      <c r="J417" s="143" t="s">
        <v>758</v>
      </c>
      <c r="K417" s="143" t="s">
        <v>759</v>
      </c>
      <c r="L417" s="143">
        <v>124.68</v>
      </c>
      <c r="M417" s="134">
        <v>0</v>
      </c>
      <c r="N417" s="129" t="s">
        <v>32</v>
      </c>
      <c r="O417" s="134">
        <v>124.68</v>
      </c>
      <c r="P417" s="134">
        <v>0</v>
      </c>
      <c r="Q417" s="134">
        <v>1.5636000999999999</v>
      </c>
      <c r="R417" s="136">
        <v>81.873068700000005</v>
      </c>
      <c r="S417" s="134"/>
      <c r="T417" s="134"/>
      <c r="U417" s="137">
        <f t="shared" si="43"/>
        <v>0</v>
      </c>
      <c r="V417" s="137">
        <f t="shared" si="44"/>
        <v>83.436668800000007</v>
      </c>
      <c r="W417" s="139">
        <f>O417-V417</f>
        <v>41.2433312</v>
      </c>
      <c r="X417" s="137">
        <f>V417+W417</f>
        <v>124.68</v>
      </c>
      <c r="Y417" s="134"/>
      <c r="Z417" s="137">
        <f t="shared" si="45"/>
        <v>124.68</v>
      </c>
      <c r="AA417" s="137">
        <f t="shared" si="46"/>
        <v>0</v>
      </c>
      <c r="AB417" s="134"/>
      <c r="AC417" s="134"/>
      <c r="AD417" s="134"/>
      <c r="AE417" s="137">
        <f t="shared" si="47"/>
        <v>124.68</v>
      </c>
      <c r="AF417" s="137">
        <f t="shared" si="48"/>
        <v>0</v>
      </c>
    </row>
    <row r="418" spans="1:32" s="138" customFormat="1" ht="46.8">
      <c r="A418" s="129">
        <f t="shared" si="49"/>
        <v>416</v>
      </c>
      <c r="B418" s="129" t="s">
        <v>761</v>
      </c>
      <c r="C418" s="129" t="s">
        <v>876</v>
      </c>
      <c r="D418" s="41" t="s">
        <v>1019</v>
      </c>
      <c r="E418" s="41" t="s">
        <v>1457</v>
      </c>
      <c r="F418" s="131" t="s">
        <v>762</v>
      </c>
      <c r="G418" s="129"/>
      <c r="H418" s="41"/>
      <c r="I418" s="143" t="s">
        <v>763</v>
      </c>
      <c r="J418" s="143" t="s">
        <v>763</v>
      </c>
      <c r="K418" s="143" t="s">
        <v>764</v>
      </c>
      <c r="L418" s="144">
        <v>8.11</v>
      </c>
      <c r="M418" s="134">
        <v>0</v>
      </c>
      <c r="N418" s="129" t="s">
        <v>32</v>
      </c>
      <c r="O418" s="134">
        <v>8.11</v>
      </c>
      <c r="P418" s="134">
        <v>0</v>
      </c>
      <c r="Q418" s="134">
        <v>1.0620000000000001</v>
      </c>
      <c r="R418" s="136">
        <v>3.9764241999999999</v>
      </c>
      <c r="S418" s="134"/>
      <c r="T418" s="134"/>
      <c r="U418" s="137">
        <f t="shared" si="43"/>
        <v>0</v>
      </c>
      <c r="V418" s="137">
        <f t="shared" si="44"/>
        <v>5.0384241999999997</v>
      </c>
      <c r="W418" s="139">
        <v>1.2742298000000001</v>
      </c>
      <c r="X418" s="137"/>
      <c r="Y418" s="134"/>
      <c r="Z418" s="137">
        <f t="shared" si="45"/>
        <v>0</v>
      </c>
      <c r="AA418" s="137">
        <f t="shared" si="46"/>
        <v>6.3126540000000002</v>
      </c>
      <c r="AB418" s="134">
        <f>O418-AA418</f>
        <v>1.7973459999999992</v>
      </c>
      <c r="AC418" s="134">
        <f>AA418+AB418</f>
        <v>8.11</v>
      </c>
      <c r="AD418" s="134"/>
      <c r="AE418" s="137">
        <f t="shared" si="47"/>
        <v>8.11</v>
      </c>
      <c r="AF418" s="137">
        <f t="shared" si="48"/>
        <v>0</v>
      </c>
    </row>
    <row r="419" spans="1:32" ht="109.2" hidden="1">
      <c r="A419" s="41">
        <f t="shared" si="49"/>
        <v>417</v>
      </c>
      <c r="B419" s="41" t="s">
        <v>766</v>
      </c>
      <c r="C419" s="41" t="s">
        <v>885</v>
      </c>
      <c r="D419" s="41"/>
      <c r="E419" s="41" t="s">
        <v>30</v>
      </c>
      <c r="F419" s="43" t="s">
        <v>767</v>
      </c>
      <c r="G419" s="41"/>
      <c r="H419" s="41"/>
      <c r="I419" s="41"/>
      <c r="J419" s="41"/>
      <c r="K419" s="41"/>
      <c r="L419" s="91"/>
      <c r="M419" s="3"/>
      <c r="N419" s="41" t="s">
        <v>67</v>
      </c>
      <c r="O419" s="91">
        <v>0</v>
      </c>
      <c r="P419" s="3">
        <v>0</v>
      </c>
      <c r="Q419" s="3">
        <v>2.9499999999999998E-2</v>
      </c>
      <c r="R419" s="69"/>
      <c r="S419" s="3"/>
      <c r="T419" s="3"/>
      <c r="U419" s="67">
        <f t="shared" si="43"/>
        <v>0</v>
      </c>
      <c r="V419" s="67">
        <f t="shared" si="44"/>
        <v>2.9499999999999998E-2</v>
      </c>
      <c r="W419" s="91"/>
      <c r="X419" s="91"/>
      <c r="Y419" s="3"/>
      <c r="Z419" s="67">
        <f t="shared" si="45"/>
        <v>0</v>
      </c>
      <c r="AA419" s="67">
        <f t="shared" si="46"/>
        <v>2.9499999999999998E-2</v>
      </c>
      <c r="AB419" s="91"/>
      <c r="AC419" s="91"/>
      <c r="AD419" s="3"/>
      <c r="AE419" s="67">
        <f t="shared" si="47"/>
        <v>0</v>
      </c>
      <c r="AF419" s="67">
        <f t="shared" si="48"/>
        <v>2.9499999999999998E-2</v>
      </c>
    </row>
    <row r="420" spans="1:32" ht="78" hidden="1">
      <c r="A420" s="41">
        <f t="shared" si="49"/>
        <v>418</v>
      </c>
      <c r="B420" s="41" t="s">
        <v>768</v>
      </c>
      <c r="C420" s="41" t="s">
        <v>885</v>
      </c>
      <c r="D420" s="42" t="s">
        <v>1019</v>
      </c>
      <c r="E420" s="41" t="s">
        <v>1458</v>
      </c>
      <c r="F420" s="43" t="s">
        <v>769</v>
      </c>
      <c r="G420" s="41"/>
      <c r="H420" s="41"/>
      <c r="I420" s="41"/>
      <c r="J420" s="41"/>
      <c r="K420" s="41"/>
      <c r="L420" s="3">
        <v>0</v>
      </c>
      <c r="M420" s="3">
        <v>0</v>
      </c>
      <c r="N420" s="41" t="s">
        <v>516</v>
      </c>
      <c r="O420" s="3">
        <v>0</v>
      </c>
      <c r="P420" s="3">
        <v>0</v>
      </c>
      <c r="Q420" s="3">
        <v>1.7064865</v>
      </c>
      <c r="R420" s="25">
        <v>8.1382399999999994E-2</v>
      </c>
      <c r="S420" s="3">
        <f>1.7038001+0.0813824</f>
        <v>1.7851825000000001</v>
      </c>
      <c r="T420" s="3"/>
      <c r="U420" s="67">
        <f t="shared" si="43"/>
        <v>1.7851825000000001</v>
      </c>
      <c r="V420" s="67">
        <f t="shared" si="44"/>
        <v>2.6863999999999777E-3</v>
      </c>
      <c r="W420" s="69"/>
      <c r="X420" s="67"/>
      <c r="Y420" s="3"/>
      <c r="Z420" s="67">
        <f t="shared" si="45"/>
        <v>1.7851825000000001</v>
      </c>
      <c r="AA420" s="67">
        <f t="shared" si="46"/>
        <v>2.6863999999999777E-3</v>
      </c>
      <c r="AB420" s="3"/>
      <c r="AC420" s="3"/>
      <c r="AD420" s="3"/>
      <c r="AE420" s="67">
        <f t="shared" si="47"/>
        <v>1.7851825000000001</v>
      </c>
      <c r="AF420" s="67">
        <f t="shared" si="48"/>
        <v>2.6863999999999777E-3</v>
      </c>
    </row>
    <row r="421" spans="1:32" s="138" customFormat="1" ht="93.6">
      <c r="A421" s="129">
        <f t="shared" si="49"/>
        <v>419</v>
      </c>
      <c r="B421" s="129" t="s">
        <v>770</v>
      </c>
      <c r="C421" s="129" t="s">
        <v>876</v>
      </c>
      <c r="D421" s="41" t="s">
        <v>1019</v>
      </c>
      <c r="E421" s="41" t="s">
        <v>1459</v>
      </c>
      <c r="F421" s="131" t="s">
        <v>771</v>
      </c>
      <c r="G421" s="129"/>
      <c r="H421" s="41"/>
      <c r="I421" s="143" t="s">
        <v>772</v>
      </c>
      <c r="J421" s="143" t="s">
        <v>772</v>
      </c>
      <c r="K421" s="143" t="s">
        <v>773</v>
      </c>
      <c r="L421" s="144">
        <v>33.909999999999997</v>
      </c>
      <c r="M421" s="134">
        <v>0</v>
      </c>
      <c r="N421" s="129" t="s">
        <v>32</v>
      </c>
      <c r="O421" s="134">
        <v>33.909999999999997</v>
      </c>
      <c r="P421" s="134">
        <v>0</v>
      </c>
      <c r="Q421" s="134">
        <v>30.042192199999999</v>
      </c>
      <c r="R421" s="141"/>
      <c r="S421" s="134">
        <f>16.3077643+13.7344279+0.445909909864459+0.273129516007824</f>
        <v>30.761231625872281</v>
      </c>
      <c r="T421" s="134"/>
      <c r="U421" s="137">
        <f t="shared" si="43"/>
        <v>30.761231625872281</v>
      </c>
      <c r="V421" s="137">
        <f t="shared" si="44"/>
        <v>-0.71903942587228187</v>
      </c>
      <c r="W421" s="139">
        <f>0.6954288+0.2061907+0.2044549</f>
        <v>1.1060744</v>
      </c>
      <c r="X421" s="137">
        <f>W421</f>
        <v>1.1060744</v>
      </c>
      <c r="Y421" s="134"/>
      <c r="Z421" s="137">
        <f t="shared" si="45"/>
        <v>31.867306025872281</v>
      </c>
      <c r="AA421" s="137">
        <f t="shared" si="46"/>
        <v>-0.71903942587228187</v>
      </c>
      <c r="AB421" s="134"/>
      <c r="AC421" s="134"/>
      <c r="AD421" s="134"/>
      <c r="AE421" s="137">
        <f t="shared" si="47"/>
        <v>31.867306025872281</v>
      </c>
      <c r="AF421" s="137">
        <f t="shared" si="48"/>
        <v>-0.71903942587228187</v>
      </c>
    </row>
    <row r="422" spans="1:32" s="138" customFormat="1" ht="78">
      <c r="A422" s="129">
        <f t="shared" si="49"/>
        <v>420</v>
      </c>
      <c r="B422" s="129" t="s">
        <v>776</v>
      </c>
      <c r="C422" s="129" t="s">
        <v>876</v>
      </c>
      <c r="D422" s="41" t="s">
        <v>1019</v>
      </c>
      <c r="E422" s="41" t="s">
        <v>1460</v>
      </c>
      <c r="F422" s="131" t="s">
        <v>777</v>
      </c>
      <c r="G422" s="129"/>
      <c r="H422" s="41"/>
      <c r="I422" s="143" t="s">
        <v>1038</v>
      </c>
      <c r="J422" s="143" t="s">
        <v>1038</v>
      </c>
      <c r="K422" s="143" t="s">
        <v>1039</v>
      </c>
      <c r="L422" s="144">
        <v>7.32</v>
      </c>
      <c r="M422" s="134">
        <v>0</v>
      </c>
      <c r="N422" s="129" t="s">
        <v>516</v>
      </c>
      <c r="O422" s="134">
        <v>8.94</v>
      </c>
      <c r="P422" s="134">
        <v>0</v>
      </c>
      <c r="Q422" s="134">
        <v>7.1806482000000003</v>
      </c>
      <c r="R422" s="136">
        <v>0.70727490000000004</v>
      </c>
      <c r="S422" s="134"/>
      <c r="T422" s="134"/>
      <c r="U422" s="137">
        <f t="shared" si="43"/>
        <v>0</v>
      </c>
      <c r="V422" s="137">
        <f t="shared" si="44"/>
        <v>7.8879231000000001</v>
      </c>
      <c r="W422" s="141"/>
      <c r="X422" s="134">
        <f>V422</f>
        <v>7.8879231000000001</v>
      </c>
      <c r="Y422" s="134"/>
      <c r="Z422" s="137">
        <f t="shared" si="45"/>
        <v>7.8879231000000001</v>
      </c>
      <c r="AA422" s="137">
        <f t="shared" si="46"/>
        <v>0</v>
      </c>
      <c r="AB422" s="134"/>
      <c r="AC422" s="134"/>
      <c r="AD422" s="134"/>
      <c r="AE422" s="137">
        <f t="shared" si="47"/>
        <v>7.8879231000000001</v>
      </c>
      <c r="AF422" s="137">
        <f t="shared" si="48"/>
        <v>0</v>
      </c>
    </row>
    <row r="423" spans="1:32" ht="78" hidden="1">
      <c r="A423" s="41">
        <f t="shared" si="49"/>
        <v>421</v>
      </c>
      <c r="B423" s="41" t="s">
        <v>1021</v>
      </c>
      <c r="C423" s="41" t="s">
        <v>885</v>
      </c>
      <c r="D423" s="41"/>
      <c r="E423" s="41" t="s">
        <v>30</v>
      </c>
      <c r="F423" s="43" t="s">
        <v>778</v>
      </c>
      <c r="G423" s="41"/>
      <c r="H423" s="41"/>
      <c r="I423" s="41"/>
      <c r="J423" s="41"/>
      <c r="K423" s="41"/>
      <c r="L423" s="3"/>
      <c r="M423" s="3"/>
      <c r="N423" s="41" t="s">
        <v>67</v>
      </c>
      <c r="O423" s="3">
        <v>0</v>
      </c>
      <c r="P423" s="3">
        <v>0</v>
      </c>
      <c r="Q423" s="3">
        <v>2.3599999999999999E-2</v>
      </c>
      <c r="R423" s="69"/>
      <c r="S423" s="3"/>
      <c r="T423" s="3"/>
      <c r="U423" s="67">
        <f t="shared" si="43"/>
        <v>0</v>
      </c>
      <c r="V423" s="67">
        <f t="shared" si="44"/>
        <v>2.3599999999999999E-2</v>
      </c>
      <c r="W423" s="3"/>
      <c r="X423" s="3"/>
      <c r="Y423" s="3"/>
      <c r="Z423" s="67">
        <f t="shared" si="45"/>
        <v>0</v>
      </c>
      <c r="AA423" s="67">
        <f t="shared" si="46"/>
        <v>2.3599999999999999E-2</v>
      </c>
      <c r="AB423" s="3"/>
      <c r="AC423" s="3"/>
      <c r="AD423" s="3"/>
      <c r="AE423" s="67">
        <f t="shared" si="47"/>
        <v>0</v>
      </c>
      <c r="AF423" s="67">
        <f t="shared" si="48"/>
        <v>2.3599999999999999E-2</v>
      </c>
    </row>
    <row r="424" spans="1:32" s="89" customFormat="1" ht="46.8" hidden="1">
      <c r="A424" s="80">
        <f t="shared" si="49"/>
        <v>422</v>
      </c>
      <c r="B424" s="80" t="s">
        <v>825</v>
      </c>
      <c r="C424" s="81" t="s">
        <v>1002</v>
      </c>
      <c r="D424" s="41" t="s">
        <v>1019</v>
      </c>
      <c r="E424" s="41" t="s">
        <v>1461</v>
      </c>
      <c r="F424" s="82" t="s">
        <v>883</v>
      </c>
      <c r="G424" s="80"/>
      <c r="H424" s="41"/>
      <c r="I424" s="80" t="s">
        <v>781</v>
      </c>
      <c r="J424" s="80"/>
      <c r="K424" s="80"/>
      <c r="L424" s="85">
        <v>30.13</v>
      </c>
      <c r="M424" s="85">
        <v>0</v>
      </c>
      <c r="N424" s="80" t="s">
        <v>67</v>
      </c>
      <c r="O424" s="85">
        <v>33.9</v>
      </c>
      <c r="P424" s="85">
        <v>0</v>
      </c>
      <c r="Q424" s="85">
        <v>10.772880199999999</v>
      </c>
      <c r="R424" s="112">
        <v>18.946118999999999</v>
      </c>
      <c r="S424" s="85"/>
      <c r="T424" s="85"/>
      <c r="U424" s="88">
        <f t="shared" si="43"/>
        <v>0</v>
      </c>
      <c r="V424" s="88">
        <f t="shared" si="44"/>
        <v>29.718999199999999</v>
      </c>
      <c r="W424" s="112"/>
      <c r="X424" s="88">
        <f>V424</f>
        <v>29.718999199999999</v>
      </c>
      <c r="Y424" s="85"/>
      <c r="Z424" s="88">
        <f t="shared" si="45"/>
        <v>29.718999199999999</v>
      </c>
      <c r="AA424" s="88">
        <f t="shared" si="46"/>
        <v>0</v>
      </c>
      <c r="AB424" s="85"/>
      <c r="AC424" s="85"/>
      <c r="AD424" s="85"/>
      <c r="AE424" s="88">
        <f t="shared" si="47"/>
        <v>29.718999199999999</v>
      </c>
      <c r="AF424" s="88">
        <f t="shared" si="48"/>
        <v>0</v>
      </c>
    </row>
    <row r="425" spans="1:32" ht="78" hidden="1">
      <c r="A425" s="41">
        <f t="shared" si="49"/>
        <v>423</v>
      </c>
      <c r="B425" s="41" t="s">
        <v>784</v>
      </c>
      <c r="C425" s="41" t="s">
        <v>885</v>
      </c>
      <c r="D425" s="41"/>
      <c r="E425" s="41"/>
      <c r="F425" s="43" t="s">
        <v>785</v>
      </c>
      <c r="G425" s="41"/>
      <c r="H425" s="41"/>
      <c r="I425" s="41"/>
      <c r="J425" s="41"/>
      <c r="K425" s="41"/>
      <c r="L425" s="91"/>
      <c r="M425" s="3"/>
      <c r="N425" s="41" t="s">
        <v>67</v>
      </c>
      <c r="O425" s="91">
        <v>0</v>
      </c>
      <c r="P425" s="3">
        <v>0</v>
      </c>
      <c r="Q425" s="3">
        <v>1.06752</v>
      </c>
      <c r="R425" s="69"/>
      <c r="S425" s="3"/>
      <c r="T425" s="3"/>
      <c r="U425" s="67">
        <f t="shared" si="43"/>
        <v>0</v>
      </c>
      <c r="V425" s="67">
        <f t="shared" si="44"/>
        <v>1.06752</v>
      </c>
      <c r="W425" s="91"/>
      <c r="X425" s="91"/>
      <c r="Y425" s="3"/>
      <c r="Z425" s="67">
        <f t="shared" si="45"/>
        <v>0</v>
      </c>
      <c r="AA425" s="67">
        <f t="shared" si="46"/>
        <v>1.06752</v>
      </c>
      <c r="AB425" s="91"/>
      <c r="AC425" s="91"/>
      <c r="AD425" s="3"/>
      <c r="AE425" s="67">
        <f t="shared" si="47"/>
        <v>0</v>
      </c>
      <c r="AF425" s="67">
        <f t="shared" si="48"/>
        <v>1.06752</v>
      </c>
    </row>
    <row r="426" spans="1:32" ht="62.4" hidden="1">
      <c r="A426" s="41">
        <f t="shared" si="49"/>
        <v>424</v>
      </c>
      <c r="B426" s="41" t="s">
        <v>787</v>
      </c>
      <c r="C426" s="41" t="s">
        <v>885</v>
      </c>
      <c r="D426" s="41"/>
      <c r="E426" s="41" t="s">
        <v>30</v>
      </c>
      <c r="F426" s="43" t="s">
        <v>788</v>
      </c>
      <c r="G426" s="41"/>
      <c r="H426" s="41"/>
      <c r="I426" s="41"/>
      <c r="J426" s="41"/>
      <c r="K426" s="41"/>
      <c r="L426" s="91"/>
      <c r="M426" s="3"/>
      <c r="N426" s="41" t="s">
        <v>67</v>
      </c>
      <c r="O426" s="91">
        <v>0</v>
      </c>
      <c r="P426" s="3">
        <v>0</v>
      </c>
      <c r="Q426" s="3">
        <v>0.46462500000000001</v>
      </c>
      <c r="R426" s="69"/>
      <c r="S426" s="3"/>
      <c r="T426" s="3"/>
      <c r="U426" s="67">
        <f t="shared" si="43"/>
        <v>0</v>
      </c>
      <c r="V426" s="67">
        <f t="shared" si="44"/>
        <v>0.46462500000000001</v>
      </c>
      <c r="W426" s="91"/>
      <c r="X426" s="91"/>
      <c r="Y426" s="3"/>
      <c r="Z426" s="67">
        <f t="shared" si="45"/>
        <v>0</v>
      </c>
      <c r="AA426" s="67">
        <f t="shared" si="46"/>
        <v>0.46462500000000001</v>
      </c>
      <c r="AB426" s="91"/>
      <c r="AC426" s="91"/>
      <c r="AD426" s="3"/>
      <c r="AE426" s="67">
        <f t="shared" si="47"/>
        <v>0</v>
      </c>
      <c r="AF426" s="67">
        <f t="shared" si="48"/>
        <v>0.46462500000000001</v>
      </c>
    </row>
    <row r="427" spans="1:32" s="138" customFormat="1" ht="62.4">
      <c r="A427" s="129">
        <f t="shared" si="49"/>
        <v>425</v>
      </c>
      <c r="B427" s="129" t="s">
        <v>810</v>
      </c>
      <c r="C427" s="129" t="s">
        <v>876</v>
      </c>
      <c r="D427" s="34" t="s">
        <v>1016</v>
      </c>
      <c r="E427" s="41" t="s">
        <v>1462</v>
      </c>
      <c r="F427" s="131" t="s">
        <v>811</v>
      </c>
      <c r="G427" s="129" t="s">
        <v>81</v>
      </c>
      <c r="H427" s="63">
        <v>3</v>
      </c>
      <c r="I427" s="132">
        <v>42674</v>
      </c>
      <c r="J427" s="132">
        <v>42674</v>
      </c>
      <c r="K427" s="132">
        <v>43131</v>
      </c>
      <c r="L427" s="133">
        <v>44</v>
      </c>
      <c r="M427" s="133">
        <v>44</v>
      </c>
      <c r="N427" s="129" t="s">
        <v>82</v>
      </c>
      <c r="O427" s="133">
        <v>44.39</v>
      </c>
      <c r="P427" s="135">
        <v>45.73</v>
      </c>
      <c r="Q427" s="135">
        <v>4.0500895000000003</v>
      </c>
      <c r="R427" s="141"/>
      <c r="S427" s="134"/>
      <c r="T427" s="134"/>
      <c r="U427" s="137">
        <f t="shared" si="43"/>
        <v>45.73</v>
      </c>
      <c r="V427" s="137">
        <f t="shared" si="44"/>
        <v>4.0500895000000003</v>
      </c>
      <c r="W427" s="134"/>
      <c r="X427" s="134">
        <f>V427</f>
        <v>4.0500895000000003</v>
      </c>
      <c r="Y427" s="134"/>
      <c r="Z427" s="137">
        <f t="shared" si="45"/>
        <v>49.780089499999995</v>
      </c>
      <c r="AA427" s="137">
        <f t="shared" si="46"/>
        <v>0</v>
      </c>
      <c r="AB427" s="134"/>
      <c r="AC427" s="134"/>
      <c r="AD427" s="134"/>
      <c r="AE427" s="137">
        <f t="shared" si="47"/>
        <v>49.780089499999995</v>
      </c>
      <c r="AF427" s="137">
        <f t="shared" si="48"/>
        <v>0</v>
      </c>
    </row>
    <row r="428" spans="1:32" s="138" customFormat="1" ht="62.4">
      <c r="A428" s="129">
        <f t="shared" si="49"/>
        <v>426</v>
      </c>
      <c r="B428" s="129" t="s">
        <v>812</v>
      </c>
      <c r="C428" s="129" t="s">
        <v>876</v>
      </c>
      <c r="D428" s="41"/>
      <c r="E428" s="41" t="s">
        <v>30</v>
      </c>
      <c r="F428" s="131" t="s">
        <v>813</v>
      </c>
      <c r="G428" s="129"/>
      <c r="H428" s="41"/>
      <c r="I428" s="129"/>
      <c r="J428" s="129"/>
      <c r="K428" s="129"/>
      <c r="L428" s="134"/>
      <c r="M428" s="134"/>
      <c r="N428" s="129" t="s">
        <v>82</v>
      </c>
      <c r="O428" s="134">
        <v>0</v>
      </c>
      <c r="P428" s="134">
        <v>0</v>
      </c>
      <c r="Q428" s="134">
        <v>0.72056089999999995</v>
      </c>
      <c r="R428" s="141"/>
      <c r="S428" s="134"/>
      <c r="T428" s="134"/>
      <c r="U428" s="137">
        <f t="shared" si="43"/>
        <v>0</v>
      </c>
      <c r="V428" s="137">
        <f t="shared" si="44"/>
        <v>0.72056089999999995</v>
      </c>
      <c r="W428" s="134"/>
      <c r="X428" s="134">
        <f>V428</f>
        <v>0.72056089999999995</v>
      </c>
      <c r="Y428" s="134"/>
      <c r="Z428" s="137">
        <f t="shared" si="45"/>
        <v>0.72056089999999995</v>
      </c>
      <c r="AA428" s="137">
        <f t="shared" si="46"/>
        <v>0</v>
      </c>
      <c r="AB428" s="134"/>
      <c r="AC428" s="134"/>
      <c r="AD428" s="134"/>
      <c r="AE428" s="137">
        <f t="shared" si="47"/>
        <v>0.72056089999999995</v>
      </c>
      <c r="AF428" s="137">
        <f t="shared" si="48"/>
        <v>0</v>
      </c>
    </row>
    <row r="429" spans="1:32" s="138" customFormat="1" ht="156">
      <c r="A429" s="129">
        <f t="shared" si="49"/>
        <v>427</v>
      </c>
      <c r="B429" s="129" t="s">
        <v>814</v>
      </c>
      <c r="C429" s="129" t="s">
        <v>876</v>
      </c>
      <c r="D429" s="41" t="s">
        <v>1019</v>
      </c>
      <c r="E429" s="41" t="s">
        <v>1463</v>
      </c>
      <c r="F429" s="147" t="s">
        <v>815</v>
      </c>
      <c r="G429" s="129"/>
      <c r="H429" s="41"/>
      <c r="I429" s="143" t="s">
        <v>718</v>
      </c>
      <c r="J429" s="143" t="s">
        <v>718</v>
      </c>
      <c r="K429" s="143" t="s">
        <v>719</v>
      </c>
      <c r="L429" s="144">
        <v>34.6</v>
      </c>
      <c r="M429" s="134">
        <v>0</v>
      </c>
      <c r="N429" s="129" t="s">
        <v>29</v>
      </c>
      <c r="O429" s="134">
        <v>34.6</v>
      </c>
      <c r="P429" s="134">
        <v>0</v>
      </c>
      <c r="Q429" s="134">
        <v>0</v>
      </c>
      <c r="R429" s="136">
        <f>7.8932859+1.21265</f>
        <v>9.1059359000000004</v>
      </c>
      <c r="S429" s="134"/>
      <c r="T429" s="134"/>
      <c r="U429" s="137">
        <f t="shared" si="43"/>
        <v>0</v>
      </c>
      <c r="V429" s="137">
        <f t="shared" si="44"/>
        <v>9.1059359000000004</v>
      </c>
      <c r="W429" s="139">
        <f>O429-V429</f>
        <v>25.494064100000003</v>
      </c>
      <c r="X429" s="134">
        <f>V429+W429</f>
        <v>34.6</v>
      </c>
      <c r="Y429" s="134"/>
      <c r="Z429" s="137">
        <f t="shared" si="45"/>
        <v>34.6</v>
      </c>
      <c r="AA429" s="137">
        <f t="shared" si="46"/>
        <v>0</v>
      </c>
      <c r="AB429" s="134"/>
      <c r="AC429" s="134"/>
      <c r="AD429" s="134"/>
      <c r="AE429" s="137">
        <f t="shared" si="47"/>
        <v>34.6</v>
      </c>
      <c r="AF429" s="137">
        <f t="shared" si="48"/>
        <v>0</v>
      </c>
    </row>
    <row r="430" spans="1:32" s="89" customFormat="1" ht="109.2" hidden="1">
      <c r="A430" s="80">
        <f t="shared" si="49"/>
        <v>428</v>
      </c>
      <c r="B430" s="80" t="s">
        <v>816</v>
      </c>
      <c r="C430" s="81" t="s">
        <v>1002</v>
      </c>
      <c r="D430" s="41" t="s">
        <v>1019</v>
      </c>
      <c r="E430" s="41" t="s">
        <v>1464</v>
      </c>
      <c r="F430" s="82" t="s">
        <v>817</v>
      </c>
      <c r="G430" s="80"/>
      <c r="H430" s="41"/>
      <c r="I430" s="80" t="s">
        <v>818</v>
      </c>
      <c r="J430" s="80"/>
      <c r="K430" s="80" t="s">
        <v>819</v>
      </c>
      <c r="L430" s="85">
        <v>0</v>
      </c>
      <c r="M430" s="85">
        <v>0</v>
      </c>
      <c r="N430" s="80" t="s">
        <v>516</v>
      </c>
      <c r="O430" s="85">
        <v>0</v>
      </c>
      <c r="P430" s="85">
        <v>0</v>
      </c>
      <c r="Q430" s="85">
        <v>0</v>
      </c>
      <c r="R430" s="87">
        <v>16.905749100000001</v>
      </c>
      <c r="S430" s="85"/>
      <c r="T430" s="85"/>
      <c r="U430" s="88">
        <f t="shared" si="43"/>
        <v>0</v>
      </c>
      <c r="V430" s="88">
        <f t="shared" si="44"/>
        <v>16.905749100000001</v>
      </c>
      <c r="W430" s="112"/>
      <c r="X430" s="88">
        <f>V430</f>
        <v>16.905749100000001</v>
      </c>
      <c r="Y430" s="85"/>
      <c r="Z430" s="88">
        <f t="shared" si="45"/>
        <v>16.905749100000001</v>
      </c>
      <c r="AA430" s="88">
        <f t="shared" si="46"/>
        <v>0</v>
      </c>
      <c r="AB430" s="85"/>
      <c r="AC430" s="85"/>
      <c r="AD430" s="85"/>
      <c r="AE430" s="88">
        <f t="shared" si="47"/>
        <v>16.905749100000001</v>
      </c>
      <c r="AF430" s="88">
        <f t="shared" si="48"/>
        <v>0</v>
      </c>
    </row>
    <row r="431" spans="1:32" s="89" customFormat="1" ht="93.6" hidden="1">
      <c r="A431" s="80">
        <f t="shared" si="49"/>
        <v>429</v>
      </c>
      <c r="B431" s="80" t="s">
        <v>820</v>
      </c>
      <c r="C431" s="81" t="s">
        <v>1002</v>
      </c>
      <c r="D431" s="34" t="s">
        <v>1019</v>
      </c>
      <c r="E431" s="41" t="s">
        <v>1465</v>
      </c>
      <c r="F431" s="82" t="s">
        <v>821</v>
      </c>
      <c r="G431" s="80"/>
      <c r="H431" s="41"/>
      <c r="I431" s="80" t="s">
        <v>822</v>
      </c>
      <c r="J431" s="80"/>
      <c r="K431" s="80" t="s">
        <v>823</v>
      </c>
      <c r="L431" s="85">
        <v>43.54</v>
      </c>
      <c r="M431" s="85">
        <v>0</v>
      </c>
      <c r="N431" s="80" t="s">
        <v>516</v>
      </c>
      <c r="O431" s="85"/>
      <c r="P431" s="85">
        <v>0</v>
      </c>
      <c r="Q431" s="85">
        <v>0</v>
      </c>
      <c r="R431" s="87">
        <v>43.096054500000001</v>
      </c>
      <c r="S431" s="85"/>
      <c r="T431" s="85"/>
      <c r="U431" s="88">
        <f t="shared" si="43"/>
        <v>0</v>
      </c>
      <c r="V431" s="88">
        <f t="shared" si="44"/>
        <v>43.096054500000001</v>
      </c>
      <c r="W431" s="111">
        <f>0.7537771+1.9899482</f>
        <v>2.7437252999999999</v>
      </c>
      <c r="X431" s="88">
        <f>V431+W431</f>
        <v>45.839779800000002</v>
      </c>
      <c r="Y431" s="85"/>
      <c r="Z431" s="88">
        <f t="shared" si="45"/>
        <v>45.839779800000002</v>
      </c>
      <c r="AA431" s="88">
        <f t="shared" si="46"/>
        <v>0</v>
      </c>
      <c r="AB431" s="85"/>
      <c r="AC431" s="85"/>
      <c r="AD431" s="85"/>
      <c r="AE431" s="88">
        <f t="shared" si="47"/>
        <v>45.839779800000002</v>
      </c>
      <c r="AF431" s="88">
        <f t="shared" si="48"/>
        <v>0</v>
      </c>
    </row>
    <row r="432" spans="1:32" ht="46.8" hidden="1">
      <c r="A432" s="41">
        <f t="shared" si="49"/>
        <v>430</v>
      </c>
      <c r="B432" s="41" t="s">
        <v>825</v>
      </c>
      <c r="C432" s="41" t="s">
        <v>885</v>
      </c>
      <c r="D432" s="41" t="s">
        <v>1019</v>
      </c>
      <c r="E432" s="41" t="s">
        <v>1461</v>
      </c>
      <c r="F432" s="76" t="s">
        <v>990</v>
      </c>
      <c r="G432" s="41"/>
      <c r="H432" s="41"/>
      <c r="I432" s="41"/>
      <c r="J432" s="41"/>
      <c r="K432" s="41"/>
      <c r="L432" s="91">
        <v>0</v>
      </c>
      <c r="M432" s="3">
        <v>0</v>
      </c>
      <c r="N432" s="41" t="s">
        <v>67</v>
      </c>
      <c r="O432" s="91">
        <v>0</v>
      </c>
      <c r="P432" s="3">
        <v>0</v>
      </c>
      <c r="Q432" s="3">
        <v>0</v>
      </c>
      <c r="R432" s="3"/>
      <c r="S432" s="3"/>
      <c r="T432" s="3"/>
      <c r="U432" s="67">
        <f t="shared" si="43"/>
        <v>0</v>
      </c>
      <c r="V432" s="67">
        <f t="shared" si="44"/>
        <v>0</v>
      </c>
      <c r="W432" s="94"/>
      <c r="X432" s="91"/>
      <c r="Y432" s="3"/>
      <c r="Z432" s="67">
        <f t="shared" si="45"/>
        <v>0</v>
      </c>
      <c r="AA432" s="67">
        <f t="shared" si="46"/>
        <v>0</v>
      </c>
      <c r="AB432" s="91"/>
      <c r="AC432" s="91"/>
      <c r="AD432" s="3"/>
      <c r="AE432" s="67">
        <f t="shared" si="47"/>
        <v>0</v>
      </c>
      <c r="AF432" s="67">
        <f t="shared" si="48"/>
        <v>0</v>
      </c>
    </row>
    <row r="433" spans="1:32" s="89" customFormat="1" ht="62.4" hidden="1">
      <c r="A433" s="80">
        <f t="shared" si="49"/>
        <v>431</v>
      </c>
      <c r="B433" s="80" t="s">
        <v>826</v>
      </c>
      <c r="C433" s="81" t="s">
        <v>1002</v>
      </c>
      <c r="D433" s="41" t="s">
        <v>1019</v>
      </c>
      <c r="E433" s="41" t="s">
        <v>30</v>
      </c>
      <c r="F433" s="82" t="s">
        <v>827</v>
      </c>
      <c r="G433" s="80"/>
      <c r="H433" s="41"/>
      <c r="I433" s="80" t="s">
        <v>781</v>
      </c>
      <c r="J433" s="80"/>
      <c r="K433" s="80" t="s">
        <v>828</v>
      </c>
      <c r="L433" s="85">
        <v>0</v>
      </c>
      <c r="M433" s="85">
        <v>0</v>
      </c>
      <c r="N433" s="80" t="s">
        <v>67</v>
      </c>
      <c r="O433" s="85">
        <v>17.399999999999999</v>
      </c>
      <c r="P433" s="85">
        <v>0</v>
      </c>
      <c r="Q433" s="85">
        <v>0</v>
      </c>
      <c r="R433" s="87">
        <v>8.5742256000000001</v>
      </c>
      <c r="S433" s="85"/>
      <c r="T433" s="85"/>
      <c r="U433" s="88">
        <f t="shared" si="43"/>
        <v>0</v>
      </c>
      <c r="V433" s="88">
        <f t="shared" si="44"/>
        <v>8.5742256000000001</v>
      </c>
      <c r="W433" s="111">
        <f>1.5777666+0.3867406+2.438368+0.7644977+2.6350204+0.1102643</f>
        <v>7.9126576000000002</v>
      </c>
      <c r="X433" s="88">
        <f>V433+W433</f>
        <v>16.486883200000001</v>
      </c>
      <c r="Y433" s="85"/>
      <c r="Z433" s="88">
        <f t="shared" si="45"/>
        <v>16.486883200000001</v>
      </c>
      <c r="AA433" s="88">
        <f t="shared" si="46"/>
        <v>0</v>
      </c>
      <c r="AB433" s="85"/>
      <c r="AC433" s="85"/>
      <c r="AD433" s="85"/>
      <c r="AE433" s="88">
        <f t="shared" si="47"/>
        <v>16.486883200000001</v>
      </c>
      <c r="AF433" s="88">
        <f t="shared" si="48"/>
        <v>0</v>
      </c>
    </row>
    <row r="434" spans="1:32" s="138" customFormat="1" ht="78">
      <c r="A434" s="129">
        <f t="shared" si="49"/>
        <v>432</v>
      </c>
      <c r="B434" s="129" t="s">
        <v>829</v>
      </c>
      <c r="C434" s="129" t="s">
        <v>876</v>
      </c>
      <c r="D434" s="41" t="s">
        <v>1019</v>
      </c>
      <c r="E434" s="41" t="s">
        <v>1466</v>
      </c>
      <c r="F434" s="131" t="s">
        <v>830</v>
      </c>
      <c r="G434" s="129"/>
      <c r="H434" s="41"/>
      <c r="I434" s="143" t="s">
        <v>718</v>
      </c>
      <c r="J434" s="143" t="s">
        <v>718</v>
      </c>
      <c r="K434" s="143" t="s">
        <v>719</v>
      </c>
      <c r="L434" s="144">
        <v>89.65</v>
      </c>
      <c r="M434" s="134">
        <v>0</v>
      </c>
      <c r="N434" s="129" t="s">
        <v>29</v>
      </c>
      <c r="O434" s="134">
        <v>89.65</v>
      </c>
      <c r="P434" s="134">
        <v>0</v>
      </c>
      <c r="Q434" s="134">
        <v>0</v>
      </c>
      <c r="R434" s="136">
        <v>28.9941268</v>
      </c>
      <c r="S434" s="134"/>
      <c r="T434" s="134"/>
      <c r="U434" s="137">
        <f t="shared" si="43"/>
        <v>0</v>
      </c>
      <c r="V434" s="137">
        <f t="shared" si="44"/>
        <v>28.9941268</v>
      </c>
      <c r="W434" s="139">
        <v>50</v>
      </c>
      <c r="X434" s="134"/>
      <c r="Y434" s="134"/>
      <c r="Z434" s="137">
        <f t="shared" si="45"/>
        <v>0</v>
      </c>
      <c r="AA434" s="137">
        <f t="shared" si="46"/>
        <v>78.994126800000004</v>
      </c>
      <c r="AB434" s="134">
        <f>O434-AA434</f>
        <v>10.655873200000002</v>
      </c>
      <c r="AC434" s="134">
        <f>AA434+AB434</f>
        <v>89.65</v>
      </c>
      <c r="AD434" s="134"/>
      <c r="AE434" s="137">
        <f t="shared" si="47"/>
        <v>89.65</v>
      </c>
      <c r="AF434" s="137">
        <f t="shared" si="48"/>
        <v>0</v>
      </c>
    </row>
    <row r="435" spans="1:32" ht="156">
      <c r="A435" s="41">
        <f t="shared" si="49"/>
        <v>433</v>
      </c>
      <c r="B435" s="41" t="s">
        <v>832</v>
      </c>
      <c r="C435" s="41" t="s">
        <v>876</v>
      </c>
      <c r="D435" s="41" t="s">
        <v>1016</v>
      </c>
      <c r="E435" s="41" t="s">
        <v>1467</v>
      </c>
      <c r="F435" s="43" t="s">
        <v>833</v>
      </c>
      <c r="G435" s="41" t="s">
        <v>28</v>
      </c>
      <c r="H435" s="63">
        <v>4</v>
      </c>
      <c r="I435" s="64">
        <v>42431</v>
      </c>
      <c r="J435" s="64">
        <v>42431</v>
      </c>
      <c r="K435" s="64">
        <v>42705</v>
      </c>
      <c r="L435" s="103">
        <v>7.41</v>
      </c>
      <c r="M435" s="65">
        <v>7.41</v>
      </c>
      <c r="N435" s="41" t="s">
        <v>32</v>
      </c>
      <c r="O435" s="103">
        <v>7.93</v>
      </c>
      <c r="P435" s="66">
        <v>7.93</v>
      </c>
      <c r="Q435" s="3">
        <v>0</v>
      </c>
      <c r="R435" s="25">
        <v>7.2044999999999998E-2</v>
      </c>
      <c r="S435" s="3">
        <v>7.2044999999999998E-2</v>
      </c>
      <c r="T435" s="3"/>
      <c r="U435" s="67">
        <f t="shared" si="43"/>
        <v>8.002044999999999</v>
      </c>
      <c r="V435" s="67">
        <f t="shared" si="44"/>
        <v>0</v>
      </c>
      <c r="W435" s="94"/>
      <c r="X435" s="91"/>
      <c r="Y435" s="3"/>
      <c r="Z435" s="67">
        <f t="shared" si="45"/>
        <v>8.002044999999999</v>
      </c>
      <c r="AA435" s="67">
        <f t="shared" si="46"/>
        <v>0</v>
      </c>
      <c r="AB435" s="91"/>
      <c r="AC435" s="91"/>
      <c r="AD435" s="3"/>
      <c r="AE435" s="67">
        <f t="shared" si="47"/>
        <v>8.002044999999999</v>
      </c>
      <c r="AF435" s="67">
        <f t="shared" si="48"/>
        <v>0</v>
      </c>
    </row>
    <row r="436" spans="1:32" ht="109.2" hidden="1">
      <c r="A436" s="41">
        <f t="shared" si="49"/>
        <v>434</v>
      </c>
      <c r="B436" s="41" t="s">
        <v>834</v>
      </c>
      <c r="C436" s="34" t="s">
        <v>1002</v>
      </c>
      <c r="D436" s="41" t="s">
        <v>1016</v>
      </c>
      <c r="E436" s="41" t="s">
        <v>1468</v>
      </c>
      <c r="F436" s="43" t="s">
        <v>835</v>
      </c>
      <c r="G436" s="41" t="s">
        <v>28</v>
      </c>
      <c r="H436" s="63">
        <v>3</v>
      </c>
      <c r="I436" s="64">
        <v>42368</v>
      </c>
      <c r="J436" s="64">
        <v>42368</v>
      </c>
      <c r="K436" s="64">
        <v>42734</v>
      </c>
      <c r="L436" s="103">
        <v>63.1</v>
      </c>
      <c r="M436" s="65">
        <v>63.1</v>
      </c>
      <c r="N436" s="41" t="s">
        <v>32</v>
      </c>
      <c r="O436" s="103">
        <v>69.55</v>
      </c>
      <c r="P436" s="66">
        <v>49.63</v>
      </c>
      <c r="Q436" s="3">
        <v>0</v>
      </c>
      <c r="R436" s="25">
        <v>0.73540139999999998</v>
      </c>
      <c r="S436" s="3">
        <v>0.73540139999999998</v>
      </c>
      <c r="T436" s="3"/>
      <c r="U436" s="67">
        <f t="shared" si="43"/>
        <v>50.365401400000003</v>
      </c>
      <c r="V436" s="67">
        <f t="shared" si="44"/>
        <v>0</v>
      </c>
      <c r="W436" s="94"/>
      <c r="X436" s="91"/>
      <c r="Y436" s="3"/>
      <c r="Z436" s="67">
        <f t="shared" si="45"/>
        <v>50.365401400000003</v>
      </c>
      <c r="AA436" s="67">
        <f t="shared" si="46"/>
        <v>0</v>
      </c>
      <c r="AB436" s="91"/>
      <c r="AC436" s="91"/>
      <c r="AD436" s="3"/>
      <c r="AE436" s="67">
        <f t="shared" si="47"/>
        <v>50.365401400000003</v>
      </c>
      <c r="AF436" s="67">
        <f t="shared" si="48"/>
        <v>0</v>
      </c>
    </row>
    <row r="437" spans="1:32" ht="46.8">
      <c r="A437" s="41">
        <f t="shared" si="49"/>
        <v>435</v>
      </c>
      <c r="B437" s="46"/>
      <c r="C437" s="46"/>
      <c r="D437" s="46" t="s">
        <v>1023</v>
      </c>
      <c r="E437" s="46" t="s">
        <v>30</v>
      </c>
      <c r="F437" s="43" t="s">
        <v>836</v>
      </c>
      <c r="G437" s="41"/>
      <c r="H437" s="41"/>
      <c r="I437" s="41"/>
      <c r="J437" s="41"/>
      <c r="K437" s="41"/>
      <c r="L437" s="91"/>
      <c r="M437" s="3"/>
      <c r="N437" s="41" t="s">
        <v>67</v>
      </c>
      <c r="O437" s="91">
        <v>0</v>
      </c>
      <c r="P437" s="3">
        <v>0.75561670000000003</v>
      </c>
      <c r="Q437" s="3">
        <v>-0.75561670000000003</v>
      </c>
      <c r="R437" s="3"/>
      <c r="S437" s="67"/>
      <c r="T437" s="3"/>
      <c r="U437" s="67">
        <f t="shared" si="43"/>
        <v>0.75561670000000003</v>
      </c>
      <c r="V437" s="79">
        <f t="shared" si="44"/>
        <v>-0.75561670000000003</v>
      </c>
      <c r="W437" s="91"/>
      <c r="X437" s="91"/>
      <c r="Y437" s="3"/>
      <c r="Z437" s="67">
        <f t="shared" si="45"/>
        <v>0.75561670000000003</v>
      </c>
      <c r="AA437" s="67">
        <f t="shared" si="46"/>
        <v>-0.75561670000000003</v>
      </c>
      <c r="AB437" s="91"/>
      <c r="AC437" s="91"/>
      <c r="AD437" s="3"/>
      <c r="AE437" s="67">
        <f t="shared" si="47"/>
        <v>0.75561670000000003</v>
      </c>
      <c r="AF437" s="67">
        <f t="shared" si="48"/>
        <v>-0.75561670000000003</v>
      </c>
    </row>
    <row r="438" spans="1:32" ht="46.8">
      <c r="A438" s="41">
        <f t="shared" si="49"/>
        <v>436</v>
      </c>
      <c r="B438" s="46"/>
      <c r="C438" s="46"/>
      <c r="D438" s="46" t="s">
        <v>1023</v>
      </c>
      <c r="E438" s="46" t="s">
        <v>30</v>
      </c>
      <c r="F438" s="43" t="s">
        <v>837</v>
      </c>
      <c r="G438" s="41"/>
      <c r="H438" s="41"/>
      <c r="I438" s="41"/>
      <c r="J438" s="41"/>
      <c r="K438" s="41"/>
      <c r="L438" s="91"/>
      <c r="M438" s="3"/>
      <c r="N438" s="41" t="s">
        <v>67</v>
      </c>
      <c r="O438" s="91">
        <v>0</v>
      </c>
      <c r="P438" s="3">
        <v>0.46589190000000003</v>
      </c>
      <c r="Q438" s="3">
        <v>-0.46589190000000003</v>
      </c>
      <c r="R438" s="3"/>
      <c r="S438" s="67"/>
      <c r="T438" s="3"/>
      <c r="U438" s="67">
        <f t="shared" si="43"/>
        <v>0.46589190000000003</v>
      </c>
      <c r="V438" s="79">
        <f t="shared" si="44"/>
        <v>-0.46589190000000003</v>
      </c>
      <c r="W438" s="91"/>
      <c r="X438" s="91"/>
      <c r="Y438" s="3"/>
      <c r="Z438" s="67">
        <f t="shared" si="45"/>
        <v>0.46589190000000003</v>
      </c>
      <c r="AA438" s="67">
        <f t="shared" si="46"/>
        <v>-0.46589190000000003</v>
      </c>
      <c r="AB438" s="91"/>
      <c r="AC438" s="91"/>
      <c r="AD438" s="3"/>
      <c r="AE438" s="67">
        <f t="shared" si="47"/>
        <v>0.46589190000000003</v>
      </c>
      <c r="AF438" s="67">
        <f t="shared" si="48"/>
        <v>-0.46589190000000003</v>
      </c>
    </row>
    <row r="439" spans="1:32" ht="31.2">
      <c r="A439" s="41">
        <f t="shared" si="49"/>
        <v>437</v>
      </c>
      <c r="B439" s="46"/>
      <c r="C439" s="46"/>
      <c r="D439" s="46" t="s">
        <v>1023</v>
      </c>
      <c r="E439" s="46" t="s">
        <v>30</v>
      </c>
      <c r="F439" s="43" t="s">
        <v>838</v>
      </c>
      <c r="G439" s="41"/>
      <c r="H439" s="41"/>
      <c r="I439" s="41"/>
      <c r="J439" s="41"/>
      <c r="K439" s="41"/>
      <c r="L439" s="91"/>
      <c r="M439" s="3"/>
      <c r="N439" s="41" t="s">
        <v>67</v>
      </c>
      <c r="O439" s="91">
        <v>0</v>
      </c>
      <c r="P439" s="3">
        <v>0.2486382</v>
      </c>
      <c r="Q439" s="3">
        <v>-0.2486382</v>
      </c>
      <c r="R439" s="3"/>
      <c r="S439" s="67">
        <v>0.39190230000000004</v>
      </c>
      <c r="T439" s="3"/>
      <c r="U439" s="67">
        <f t="shared" si="43"/>
        <v>0.64054050000000007</v>
      </c>
      <c r="V439" s="79">
        <f t="shared" si="44"/>
        <v>-0.64054050000000007</v>
      </c>
      <c r="W439" s="91"/>
      <c r="X439" s="91"/>
      <c r="Y439" s="3"/>
      <c r="Z439" s="67">
        <f t="shared" si="45"/>
        <v>0.64054050000000007</v>
      </c>
      <c r="AA439" s="67">
        <f t="shared" si="46"/>
        <v>-0.64054050000000007</v>
      </c>
      <c r="AB439" s="91"/>
      <c r="AC439" s="91"/>
      <c r="AD439" s="3"/>
      <c r="AE439" s="67">
        <f t="shared" si="47"/>
        <v>0.64054050000000007</v>
      </c>
      <c r="AF439" s="67">
        <f t="shared" si="48"/>
        <v>-0.64054050000000007</v>
      </c>
    </row>
    <row r="440" spans="1:32">
      <c r="A440" s="41">
        <f t="shared" si="49"/>
        <v>438</v>
      </c>
      <c r="B440" s="46"/>
      <c r="C440" s="46"/>
      <c r="D440" s="46" t="s">
        <v>1023</v>
      </c>
      <c r="E440" s="46" t="s">
        <v>30</v>
      </c>
      <c r="F440" s="43" t="s">
        <v>839</v>
      </c>
      <c r="G440" s="41"/>
      <c r="H440" s="41"/>
      <c r="I440" s="41"/>
      <c r="J440" s="41"/>
      <c r="K440" s="41"/>
      <c r="L440" s="91"/>
      <c r="M440" s="3"/>
      <c r="N440" s="41" t="s">
        <v>67</v>
      </c>
      <c r="O440" s="91">
        <v>0</v>
      </c>
      <c r="P440" s="3">
        <v>20.198847199999999</v>
      </c>
      <c r="Q440" s="3">
        <v>-20.198847199999999</v>
      </c>
      <c r="R440" s="3"/>
      <c r="S440" s="67"/>
      <c r="T440" s="3"/>
      <c r="U440" s="67">
        <f t="shared" si="43"/>
        <v>20.198847199999999</v>
      </c>
      <c r="V440" s="79">
        <f t="shared" si="44"/>
        <v>-20.198847199999999</v>
      </c>
      <c r="W440" s="91"/>
      <c r="X440" s="91"/>
      <c r="Y440" s="3"/>
      <c r="Z440" s="67">
        <f t="shared" si="45"/>
        <v>20.198847199999999</v>
      </c>
      <c r="AA440" s="67">
        <f t="shared" si="46"/>
        <v>-20.198847199999999</v>
      </c>
      <c r="AB440" s="91"/>
      <c r="AC440" s="91"/>
      <c r="AD440" s="3"/>
      <c r="AE440" s="67">
        <f t="shared" si="47"/>
        <v>20.198847199999999</v>
      </c>
      <c r="AF440" s="67">
        <f t="shared" si="48"/>
        <v>-20.198847199999999</v>
      </c>
    </row>
    <row r="441" spans="1:32">
      <c r="A441" s="41">
        <f t="shared" si="49"/>
        <v>439</v>
      </c>
      <c r="B441" s="46"/>
      <c r="C441" s="46"/>
      <c r="D441" s="46" t="s">
        <v>1023</v>
      </c>
      <c r="E441" s="46" t="s">
        <v>30</v>
      </c>
      <c r="F441" s="43" t="s">
        <v>840</v>
      </c>
      <c r="G441" s="41"/>
      <c r="H441" s="41"/>
      <c r="I441" s="41"/>
      <c r="J441" s="41"/>
      <c r="K441" s="41"/>
      <c r="L441" s="91"/>
      <c r="M441" s="3"/>
      <c r="N441" s="41" t="s">
        <v>67</v>
      </c>
      <c r="O441" s="91">
        <v>0</v>
      </c>
      <c r="P441" s="3">
        <v>0.3171428</v>
      </c>
      <c r="Q441" s="3">
        <v>-0.3171428</v>
      </c>
      <c r="R441" s="3"/>
      <c r="S441" s="67"/>
      <c r="T441" s="3"/>
      <c r="U441" s="67">
        <f t="shared" si="43"/>
        <v>0.3171428</v>
      </c>
      <c r="V441" s="79">
        <f t="shared" si="44"/>
        <v>-0.3171428</v>
      </c>
      <c r="W441" s="91"/>
      <c r="X441" s="91"/>
      <c r="Y441" s="3"/>
      <c r="Z441" s="67">
        <f t="shared" si="45"/>
        <v>0.3171428</v>
      </c>
      <c r="AA441" s="67">
        <f t="shared" si="46"/>
        <v>-0.3171428</v>
      </c>
      <c r="AB441" s="91"/>
      <c r="AC441" s="91"/>
      <c r="AD441" s="3"/>
      <c r="AE441" s="67">
        <f t="shared" si="47"/>
        <v>0.3171428</v>
      </c>
      <c r="AF441" s="67">
        <f t="shared" si="48"/>
        <v>-0.3171428</v>
      </c>
    </row>
    <row r="442" spans="1:32">
      <c r="A442" s="41">
        <f t="shared" si="49"/>
        <v>440</v>
      </c>
      <c r="B442" s="46"/>
      <c r="C442" s="46"/>
      <c r="D442" s="46" t="s">
        <v>1023</v>
      </c>
      <c r="E442" s="46" t="s">
        <v>30</v>
      </c>
      <c r="F442" s="43" t="s">
        <v>841</v>
      </c>
      <c r="G442" s="41"/>
      <c r="H442" s="41"/>
      <c r="I442" s="41"/>
      <c r="J442" s="41"/>
      <c r="K442" s="41"/>
      <c r="L442" s="91"/>
      <c r="M442" s="3"/>
      <c r="N442" s="41" t="s">
        <v>67</v>
      </c>
      <c r="O442" s="91">
        <v>0</v>
      </c>
      <c r="P442" s="3">
        <v>1.4787387999999999</v>
      </c>
      <c r="Q442" s="3">
        <v>-1.4787387999999999</v>
      </c>
      <c r="R442" s="3"/>
      <c r="S442" s="67">
        <v>1.6433567999999998</v>
      </c>
      <c r="T442" s="3"/>
      <c r="U442" s="67">
        <f t="shared" si="43"/>
        <v>3.1220955999999997</v>
      </c>
      <c r="V442" s="79">
        <f t="shared" si="44"/>
        <v>-3.1220955999999997</v>
      </c>
      <c r="W442" s="91"/>
      <c r="X442" s="91"/>
      <c r="Y442" s="3"/>
      <c r="Z442" s="67">
        <f t="shared" si="45"/>
        <v>3.1220955999999997</v>
      </c>
      <c r="AA442" s="67">
        <f t="shared" si="46"/>
        <v>-3.1220955999999997</v>
      </c>
      <c r="AB442" s="91"/>
      <c r="AC442" s="91"/>
      <c r="AD442" s="3"/>
      <c r="AE442" s="67">
        <f t="shared" si="47"/>
        <v>3.1220955999999997</v>
      </c>
      <c r="AF442" s="67">
        <f t="shared" si="48"/>
        <v>-3.1220955999999997</v>
      </c>
    </row>
    <row r="443" spans="1:32">
      <c r="A443" s="41">
        <f t="shared" si="49"/>
        <v>441</v>
      </c>
      <c r="B443" s="46"/>
      <c r="C443" s="46"/>
      <c r="D443" s="46" t="s">
        <v>1023</v>
      </c>
      <c r="E443" s="46" t="s">
        <v>30</v>
      </c>
      <c r="F443" s="43" t="s">
        <v>842</v>
      </c>
      <c r="G443" s="41"/>
      <c r="H443" s="41"/>
      <c r="I443" s="41"/>
      <c r="J443" s="41"/>
      <c r="K443" s="41"/>
      <c r="L443" s="91"/>
      <c r="M443" s="3"/>
      <c r="N443" s="41" t="s">
        <v>67</v>
      </c>
      <c r="O443" s="91">
        <v>0</v>
      </c>
      <c r="P443" s="3">
        <v>0.73679380000000005</v>
      </c>
      <c r="Q443" s="3">
        <v>-0.73679380000000005</v>
      </c>
      <c r="R443" s="3"/>
      <c r="S443" s="67">
        <f>0.2847645+0.1564449</f>
        <v>0.44120939999999997</v>
      </c>
      <c r="T443" s="3"/>
      <c r="U443" s="67">
        <f t="shared" si="43"/>
        <v>1.1780032</v>
      </c>
      <c r="V443" s="79">
        <f t="shared" si="44"/>
        <v>-1.1780032</v>
      </c>
      <c r="W443" s="91"/>
      <c r="X443" s="91"/>
      <c r="Y443" s="3"/>
      <c r="Z443" s="67">
        <f t="shared" si="45"/>
        <v>1.1780032</v>
      </c>
      <c r="AA443" s="67">
        <f t="shared" si="46"/>
        <v>-1.1780032</v>
      </c>
      <c r="AB443" s="91"/>
      <c r="AC443" s="91"/>
      <c r="AD443" s="3"/>
      <c r="AE443" s="67">
        <f t="shared" si="47"/>
        <v>1.1780032</v>
      </c>
      <c r="AF443" s="67">
        <f t="shared" si="48"/>
        <v>-1.1780032</v>
      </c>
    </row>
    <row r="444" spans="1:32">
      <c r="A444" s="41">
        <f t="shared" si="49"/>
        <v>442</v>
      </c>
      <c r="B444" s="46"/>
      <c r="C444" s="46"/>
      <c r="D444" s="46" t="s">
        <v>1023</v>
      </c>
      <c r="E444" s="46" t="s">
        <v>30</v>
      </c>
      <c r="F444" s="43" t="s">
        <v>843</v>
      </c>
      <c r="G444" s="41"/>
      <c r="H444" s="41"/>
      <c r="I444" s="41"/>
      <c r="J444" s="41"/>
      <c r="K444" s="41"/>
      <c r="L444" s="91"/>
      <c r="M444" s="3"/>
      <c r="N444" s="41" t="s">
        <v>67</v>
      </c>
      <c r="O444" s="91">
        <v>0</v>
      </c>
      <c r="P444" s="3">
        <v>2.2315021000000002</v>
      </c>
      <c r="Q444" s="3">
        <v>-2.2315021000000002</v>
      </c>
      <c r="R444" s="3"/>
      <c r="S444" s="67">
        <v>2.5141157859999992</v>
      </c>
      <c r="T444" s="3"/>
      <c r="U444" s="67">
        <f t="shared" si="43"/>
        <v>4.7456178859999998</v>
      </c>
      <c r="V444" s="79">
        <f t="shared" si="44"/>
        <v>-4.7456178859999998</v>
      </c>
      <c r="W444" s="91"/>
      <c r="X444" s="91"/>
      <c r="Y444" s="3"/>
      <c r="Z444" s="67">
        <f t="shared" si="45"/>
        <v>4.7456178859999998</v>
      </c>
      <c r="AA444" s="67">
        <f t="shared" si="46"/>
        <v>-4.7456178859999998</v>
      </c>
      <c r="AB444" s="91"/>
      <c r="AC444" s="91"/>
      <c r="AD444" s="3"/>
      <c r="AE444" s="67">
        <f t="shared" si="47"/>
        <v>4.7456178859999998</v>
      </c>
      <c r="AF444" s="67">
        <f t="shared" si="48"/>
        <v>-4.7456178859999998</v>
      </c>
    </row>
    <row r="445" spans="1:32" ht="46.8">
      <c r="A445" s="41">
        <f t="shared" si="49"/>
        <v>443</v>
      </c>
      <c r="B445" s="46"/>
      <c r="C445" s="46"/>
      <c r="D445" s="34" t="s">
        <v>1016</v>
      </c>
      <c r="E445" s="41" t="s">
        <v>1469</v>
      </c>
      <c r="F445" s="43" t="s">
        <v>99</v>
      </c>
      <c r="G445" s="41"/>
      <c r="H445" s="41"/>
      <c r="I445" s="41"/>
      <c r="J445" s="41"/>
      <c r="K445" s="41"/>
      <c r="L445" s="91"/>
      <c r="M445" s="3"/>
      <c r="N445" s="41" t="s">
        <v>844</v>
      </c>
      <c r="O445" s="91">
        <v>0</v>
      </c>
      <c r="P445" s="3">
        <v>16.879882141</v>
      </c>
      <c r="Q445" s="66">
        <v>-5.8998821409999991</v>
      </c>
      <c r="R445" s="3"/>
      <c r="S445" s="67">
        <v>0.27156780000000003</v>
      </c>
      <c r="T445" s="3"/>
      <c r="U445" s="67">
        <f t="shared" si="43"/>
        <v>17.151449940999999</v>
      </c>
      <c r="V445" s="79">
        <f t="shared" si="44"/>
        <v>-6.1714499409999988</v>
      </c>
      <c r="W445" s="91"/>
      <c r="X445" s="91"/>
      <c r="Y445" s="3"/>
      <c r="Z445" s="67">
        <f t="shared" si="45"/>
        <v>17.151449940999999</v>
      </c>
      <c r="AA445" s="67">
        <f t="shared" si="46"/>
        <v>-6.1714499409999988</v>
      </c>
      <c r="AB445" s="91"/>
      <c r="AC445" s="91"/>
      <c r="AD445" s="3"/>
      <c r="AE445" s="67">
        <f t="shared" si="47"/>
        <v>17.151449940999999</v>
      </c>
      <c r="AF445" s="67">
        <f t="shared" si="48"/>
        <v>-6.1714499409999988</v>
      </c>
    </row>
    <row r="446" spans="1:32" ht="46.8" hidden="1">
      <c r="A446" s="41">
        <f t="shared" si="49"/>
        <v>444</v>
      </c>
      <c r="B446" s="41" t="s">
        <v>30</v>
      </c>
      <c r="C446" s="41" t="s">
        <v>1002</v>
      </c>
      <c r="D446" s="41" t="s">
        <v>1019</v>
      </c>
      <c r="E446" s="41"/>
      <c r="F446" s="76" t="s">
        <v>862</v>
      </c>
      <c r="G446" s="41"/>
      <c r="H446" s="41"/>
      <c r="I446" s="41"/>
      <c r="J446" s="41"/>
      <c r="K446" s="41"/>
      <c r="L446" s="91"/>
      <c r="M446" s="3"/>
      <c r="N446" s="41" t="s">
        <v>32</v>
      </c>
      <c r="O446" s="91">
        <v>0</v>
      </c>
      <c r="P446" s="3">
        <v>0</v>
      </c>
      <c r="Q446" s="3">
        <v>0</v>
      </c>
      <c r="R446" s="3"/>
      <c r="S446" s="3"/>
      <c r="T446" s="3"/>
      <c r="U446" s="67">
        <f t="shared" si="43"/>
        <v>0</v>
      </c>
      <c r="V446" s="67">
        <f t="shared" si="44"/>
        <v>0</v>
      </c>
      <c r="W446" s="91"/>
      <c r="X446" s="91"/>
      <c r="Y446" s="3"/>
      <c r="Z446" s="67">
        <f t="shared" si="45"/>
        <v>0</v>
      </c>
      <c r="AA446" s="67">
        <f t="shared" si="46"/>
        <v>0</v>
      </c>
      <c r="AB446" s="91"/>
      <c r="AC446" s="91"/>
      <c r="AD446" s="3"/>
      <c r="AE446" s="67">
        <f t="shared" si="47"/>
        <v>0</v>
      </c>
      <c r="AF446" s="67">
        <f t="shared" si="48"/>
        <v>0</v>
      </c>
    </row>
    <row r="447" spans="1:32" ht="46.8">
      <c r="A447" s="41">
        <f t="shared" si="49"/>
        <v>445</v>
      </c>
      <c r="B447" s="41" t="s">
        <v>30</v>
      </c>
      <c r="C447" s="41" t="s">
        <v>876</v>
      </c>
      <c r="D447" s="41" t="s">
        <v>1019</v>
      </c>
      <c r="E447" s="41"/>
      <c r="F447" s="43" t="s">
        <v>863</v>
      </c>
      <c r="G447" s="41"/>
      <c r="H447" s="41"/>
      <c r="I447" s="41"/>
      <c r="J447" s="41"/>
      <c r="K447" s="41"/>
      <c r="L447" s="91">
        <v>85</v>
      </c>
      <c r="M447" s="3"/>
      <c r="N447" s="41" t="s">
        <v>32</v>
      </c>
      <c r="O447" s="91">
        <v>0</v>
      </c>
      <c r="P447" s="3">
        <v>0</v>
      </c>
      <c r="Q447" s="3">
        <v>0</v>
      </c>
      <c r="R447" s="3"/>
      <c r="S447" s="3"/>
      <c r="T447" s="3"/>
      <c r="U447" s="67">
        <f t="shared" si="43"/>
        <v>0</v>
      </c>
      <c r="V447" s="67">
        <f t="shared" si="44"/>
        <v>0</v>
      </c>
      <c r="W447" s="91"/>
      <c r="X447" s="91"/>
      <c r="Y447" s="3"/>
      <c r="Z447" s="67">
        <f t="shared" si="45"/>
        <v>0</v>
      </c>
      <c r="AA447" s="67">
        <f t="shared" si="46"/>
        <v>0</v>
      </c>
      <c r="AB447" s="91"/>
      <c r="AC447" s="91"/>
      <c r="AD447" s="3"/>
      <c r="AE447" s="67">
        <f t="shared" si="47"/>
        <v>0</v>
      </c>
      <c r="AF447" s="67">
        <f t="shared" si="48"/>
        <v>0</v>
      </c>
    </row>
    <row r="448" spans="1:32" ht="46.8">
      <c r="A448" s="41">
        <f t="shared" si="49"/>
        <v>446</v>
      </c>
      <c r="B448" s="41" t="s">
        <v>30</v>
      </c>
      <c r="C448" s="41" t="s">
        <v>876</v>
      </c>
      <c r="D448" s="41" t="s">
        <v>1019</v>
      </c>
      <c r="E448" s="41"/>
      <c r="F448" s="43" t="s">
        <v>864</v>
      </c>
      <c r="G448" s="41"/>
      <c r="H448" s="41"/>
      <c r="I448" s="41"/>
      <c r="J448" s="41"/>
      <c r="K448" s="41"/>
      <c r="L448" s="91">
        <v>50.5</v>
      </c>
      <c r="M448" s="3"/>
      <c r="N448" s="41" t="s">
        <v>32</v>
      </c>
      <c r="O448" s="91">
        <v>0</v>
      </c>
      <c r="P448" s="3">
        <v>0</v>
      </c>
      <c r="Q448" s="3">
        <v>0</v>
      </c>
      <c r="R448" s="3"/>
      <c r="S448" s="3"/>
      <c r="T448" s="3"/>
      <c r="U448" s="67">
        <f t="shared" si="43"/>
        <v>0</v>
      </c>
      <c r="V448" s="67">
        <f t="shared" si="44"/>
        <v>0</v>
      </c>
      <c r="W448" s="91"/>
      <c r="X448" s="91"/>
      <c r="Y448" s="3"/>
      <c r="Z448" s="67">
        <f t="shared" si="45"/>
        <v>0</v>
      </c>
      <c r="AA448" s="67">
        <f t="shared" si="46"/>
        <v>0</v>
      </c>
      <c r="AB448" s="91"/>
      <c r="AC448" s="91"/>
      <c r="AD448" s="3"/>
      <c r="AE448" s="67">
        <f t="shared" si="47"/>
        <v>0</v>
      </c>
      <c r="AF448" s="67">
        <f t="shared" si="48"/>
        <v>0</v>
      </c>
    </row>
    <row r="449" spans="1:32" s="138" customFormat="1" ht="46.8">
      <c r="A449" s="129">
        <f t="shared" si="49"/>
        <v>447</v>
      </c>
      <c r="B449" s="129" t="s">
        <v>865</v>
      </c>
      <c r="C449" s="129" t="s">
        <v>876</v>
      </c>
      <c r="D449" s="41" t="s">
        <v>1019</v>
      </c>
      <c r="E449" s="41" t="s">
        <v>1470</v>
      </c>
      <c r="F449" s="147" t="s">
        <v>866</v>
      </c>
      <c r="G449" s="129"/>
      <c r="H449" s="41"/>
      <c r="I449" s="143" t="s">
        <v>867</v>
      </c>
      <c r="J449" s="143" t="s">
        <v>867</v>
      </c>
      <c r="K449" s="143" t="s">
        <v>868</v>
      </c>
      <c r="L449" s="144">
        <v>75.69</v>
      </c>
      <c r="M449" s="134"/>
      <c r="N449" s="129" t="s">
        <v>29</v>
      </c>
      <c r="O449" s="134">
        <v>0</v>
      </c>
      <c r="P449" s="134">
        <v>0</v>
      </c>
      <c r="Q449" s="134">
        <v>0</v>
      </c>
      <c r="R449" s="136">
        <v>1.1275318999999999</v>
      </c>
      <c r="S449" s="134"/>
      <c r="T449" s="134"/>
      <c r="U449" s="137">
        <f t="shared" si="43"/>
        <v>0</v>
      </c>
      <c r="V449" s="137">
        <f t="shared" si="44"/>
        <v>1.1275318999999999</v>
      </c>
      <c r="W449" s="139">
        <f>0.2072887+0.9718428+1.9301861+0.0823404+7.3767218+20</f>
        <v>30.568379800000002</v>
      </c>
      <c r="X449" s="134"/>
      <c r="Y449" s="134"/>
      <c r="Z449" s="137">
        <f t="shared" si="45"/>
        <v>0</v>
      </c>
      <c r="AA449" s="137">
        <f t="shared" si="46"/>
        <v>31.695911700000003</v>
      </c>
      <c r="AB449" s="134">
        <f>L449-AA449</f>
        <v>43.994088299999994</v>
      </c>
      <c r="AC449" s="134">
        <f>AA449+AB449</f>
        <v>75.69</v>
      </c>
      <c r="AD449" s="134"/>
      <c r="AE449" s="137">
        <f t="shared" si="47"/>
        <v>75.69</v>
      </c>
      <c r="AF449" s="137">
        <f t="shared" si="48"/>
        <v>0</v>
      </c>
    </row>
    <row r="450" spans="1:32" ht="46.8" hidden="1">
      <c r="A450" s="41">
        <f t="shared" si="49"/>
        <v>448</v>
      </c>
      <c r="B450" s="41" t="s">
        <v>30</v>
      </c>
      <c r="C450" s="41" t="s">
        <v>886</v>
      </c>
      <c r="D450" s="46"/>
      <c r="E450" s="46" t="s">
        <v>30</v>
      </c>
      <c r="F450" s="43" t="s">
        <v>874</v>
      </c>
      <c r="G450" s="41"/>
      <c r="H450" s="41"/>
      <c r="I450" s="41"/>
      <c r="J450" s="41"/>
      <c r="K450" s="41"/>
      <c r="L450" s="3"/>
      <c r="M450" s="3"/>
      <c r="N450" s="41" t="s">
        <v>67</v>
      </c>
      <c r="O450" s="3">
        <v>0</v>
      </c>
      <c r="P450" s="3">
        <v>0</v>
      </c>
      <c r="Q450" s="3">
        <v>0.11056000000000001</v>
      </c>
      <c r="R450" s="67"/>
      <c r="S450" s="3"/>
      <c r="T450" s="3"/>
      <c r="U450" s="67">
        <f t="shared" si="43"/>
        <v>0</v>
      </c>
      <c r="V450" s="67">
        <f t="shared" si="44"/>
        <v>0.11056000000000001</v>
      </c>
      <c r="W450" s="3"/>
      <c r="X450" s="3"/>
      <c r="Y450" s="3"/>
      <c r="Z450" s="67">
        <f t="shared" si="45"/>
        <v>0</v>
      </c>
      <c r="AA450" s="67">
        <f t="shared" si="46"/>
        <v>0.11056000000000001</v>
      </c>
      <c r="AB450" s="3"/>
      <c r="AC450" s="3"/>
      <c r="AD450" s="3"/>
      <c r="AE450" s="67">
        <f t="shared" si="47"/>
        <v>0</v>
      </c>
      <c r="AF450" s="67">
        <f t="shared" si="48"/>
        <v>0.11056000000000001</v>
      </c>
    </row>
    <row r="451" spans="1:32" s="89" customFormat="1" ht="62.4" hidden="1">
      <c r="A451" s="80">
        <f t="shared" si="49"/>
        <v>449</v>
      </c>
      <c r="B451" s="80" t="s">
        <v>1540</v>
      </c>
      <c r="C451" s="81" t="s">
        <v>1002</v>
      </c>
      <c r="D451" s="34" t="s">
        <v>1019</v>
      </c>
      <c r="E451" s="41" t="s">
        <v>1471</v>
      </c>
      <c r="F451" s="120" t="s">
        <v>856</v>
      </c>
      <c r="G451" s="80"/>
      <c r="H451" s="41">
        <v>2</v>
      </c>
      <c r="I451" s="80" t="s">
        <v>857</v>
      </c>
      <c r="J451" s="80" t="s">
        <v>857</v>
      </c>
      <c r="K451" s="80" t="s">
        <v>858</v>
      </c>
      <c r="L451" s="85">
        <v>30.92</v>
      </c>
      <c r="M451" s="85">
        <v>0</v>
      </c>
      <c r="N451" s="80" t="s">
        <v>32</v>
      </c>
      <c r="O451" s="85">
        <v>30.92</v>
      </c>
      <c r="P451" s="85">
        <v>0</v>
      </c>
      <c r="Q451" s="85">
        <v>0</v>
      </c>
      <c r="R451" s="85"/>
      <c r="S451" s="85"/>
      <c r="T451" s="85"/>
      <c r="U451" s="88">
        <f t="shared" si="43"/>
        <v>0</v>
      </c>
      <c r="V451" s="88">
        <f t="shared" si="44"/>
        <v>0</v>
      </c>
      <c r="W451" s="112">
        <f>0.7775437+0.7474357</f>
        <v>1.5249793999999999</v>
      </c>
      <c r="X451" s="85"/>
      <c r="Y451" s="85"/>
      <c r="Z451" s="88">
        <f t="shared" si="45"/>
        <v>0</v>
      </c>
      <c r="AA451" s="88">
        <f t="shared" si="46"/>
        <v>1.5249793999999999</v>
      </c>
      <c r="AB451" s="88"/>
      <c r="AC451" s="88">
        <f>O451</f>
        <v>30.92</v>
      </c>
      <c r="AD451" s="85"/>
      <c r="AE451" s="88">
        <f t="shared" si="47"/>
        <v>30.92</v>
      </c>
      <c r="AF451" s="88">
        <f t="shared" si="48"/>
        <v>-29.395020600000002</v>
      </c>
    </row>
    <row r="452" spans="1:32" s="138" customFormat="1" ht="62.4">
      <c r="A452" s="129">
        <f t="shared" si="49"/>
        <v>450</v>
      </c>
      <c r="B452" s="143" t="s">
        <v>869</v>
      </c>
      <c r="C452" s="143" t="s">
        <v>876</v>
      </c>
      <c r="D452" s="34" t="s">
        <v>1019</v>
      </c>
      <c r="E452" s="41" t="s">
        <v>1472</v>
      </c>
      <c r="F452" s="131" t="s">
        <v>1041</v>
      </c>
      <c r="G452" s="143" t="s">
        <v>28</v>
      </c>
      <c r="H452" s="41"/>
      <c r="I452" s="143" t="s">
        <v>718</v>
      </c>
      <c r="J452" s="143" t="s">
        <v>718</v>
      </c>
      <c r="K452" s="143" t="s">
        <v>719</v>
      </c>
      <c r="L452" s="144">
        <v>141.87</v>
      </c>
      <c r="M452" s="134">
        <v>150.72</v>
      </c>
      <c r="N452" s="143" t="s">
        <v>1044</v>
      </c>
      <c r="O452" s="144">
        <v>141.87</v>
      </c>
      <c r="P452" s="134">
        <v>0</v>
      </c>
      <c r="Q452" s="134">
        <v>0</v>
      </c>
      <c r="R452" s="136">
        <f>0.6534323+3.9755572</f>
        <v>4.6289894999999994</v>
      </c>
      <c r="S452" s="134"/>
      <c r="T452" s="134"/>
      <c r="U452" s="137">
        <f t="shared" ref="U452:U459" si="50">P452+S452+T452</f>
        <v>0</v>
      </c>
      <c r="V452" s="137">
        <f t="shared" ref="V452:V459" si="51">Q452+R452-S452-T452</f>
        <v>4.6289894999999994</v>
      </c>
      <c r="W452" s="139">
        <f>1.2836949+0.7561141+1.7223954+1.6042889+55</f>
        <v>60.366493300000002</v>
      </c>
      <c r="X452" s="137"/>
      <c r="Y452" s="134"/>
      <c r="Z452" s="137">
        <f t="shared" ref="Z452:Z459" si="52">U452+X452+Y452</f>
        <v>0</v>
      </c>
      <c r="AA452" s="137">
        <f t="shared" ref="AA452:AA459" si="53">V452+W452-X452-Y452</f>
        <v>64.995482800000005</v>
      </c>
      <c r="AB452" s="134">
        <f>O452-AA452</f>
        <v>76.8745172</v>
      </c>
      <c r="AC452" s="134">
        <f>AA452+AB452</f>
        <v>141.87</v>
      </c>
      <c r="AD452" s="134"/>
      <c r="AE452" s="137">
        <f t="shared" ref="AE452:AE459" si="54">Z452+AC452+AD452</f>
        <v>141.87</v>
      </c>
      <c r="AF452" s="137">
        <f t="shared" ref="AF452:AF459" si="55">AA452+AB452-AC452-AD452</f>
        <v>0</v>
      </c>
    </row>
    <row r="453" spans="1:32" s="89" customFormat="1" ht="109.2" hidden="1">
      <c r="A453" s="80">
        <f t="shared" si="49"/>
        <v>451</v>
      </c>
      <c r="B453" s="121" t="s">
        <v>870</v>
      </c>
      <c r="C453" s="121" t="s">
        <v>1002</v>
      </c>
      <c r="D453" s="34" t="s">
        <v>1019</v>
      </c>
      <c r="E453" s="41" t="s">
        <v>1473</v>
      </c>
      <c r="F453" s="82" t="s">
        <v>1051</v>
      </c>
      <c r="G453" s="121"/>
      <c r="H453" s="41">
        <v>11</v>
      </c>
      <c r="I453" s="121" t="s">
        <v>871</v>
      </c>
      <c r="J453" s="121" t="s">
        <v>871</v>
      </c>
      <c r="K453" s="121" t="s">
        <v>872</v>
      </c>
      <c r="L453" s="122">
        <v>164.77</v>
      </c>
      <c r="M453" s="85"/>
      <c r="N453" s="121" t="s">
        <v>1044</v>
      </c>
      <c r="O453" s="122">
        <v>154.26</v>
      </c>
      <c r="P453" s="85">
        <v>0</v>
      </c>
      <c r="Q453" s="85">
        <v>0</v>
      </c>
      <c r="R453" s="87">
        <f>6.0724637+8.9447285</f>
        <v>15.0171922</v>
      </c>
      <c r="S453" s="85"/>
      <c r="T453" s="85"/>
      <c r="U453" s="88">
        <f t="shared" si="50"/>
        <v>0</v>
      </c>
      <c r="V453" s="88">
        <f t="shared" si="51"/>
        <v>15.0171922</v>
      </c>
      <c r="W453" s="111">
        <f>0.2036437+1.7543942+3.9670658+4.1785089+0.4285569+1.3606444+0.775712+0.7569804+1.2334763+3.088595+2.0585007+0.4160869+0.6261324+0.2207888</f>
        <v>21.0690864</v>
      </c>
      <c r="X453" s="88"/>
      <c r="Y453" s="85"/>
      <c r="Z453" s="88">
        <f t="shared" si="52"/>
        <v>0</v>
      </c>
      <c r="AA453" s="88">
        <f t="shared" si="53"/>
        <v>36.0862786</v>
      </c>
      <c r="AB453" s="85"/>
      <c r="AC453" s="85">
        <f>O453</f>
        <v>154.26</v>
      </c>
      <c r="AD453" s="85"/>
      <c r="AE453" s="88">
        <f t="shared" si="54"/>
        <v>154.26</v>
      </c>
      <c r="AF453" s="88">
        <f t="shared" si="55"/>
        <v>-118.17372139999999</v>
      </c>
    </row>
    <row r="454" spans="1:32" s="89" customFormat="1" ht="124.8" hidden="1">
      <c r="A454" s="80">
        <f t="shared" ref="A454:A455" si="56">A453+1</f>
        <v>452</v>
      </c>
      <c r="B454" s="80" t="s">
        <v>845</v>
      </c>
      <c r="C454" s="81" t="s">
        <v>1002</v>
      </c>
      <c r="D454" s="34" t="s">
        <v>1023</v>
      </c>
      <c r="E454" s="41" t="s">
        <v>1474</v>
      </c>
      <c r="F454" s="120" t="s">
        <v>846</v>
      </c>
      <c r="G454" s="80"/>
      <c r="H454" s="41">
        <v>5</v>
      </c>
      <c r="I454" s="80" t="s">
        <v>847</v>
      </c>
      <c r="J454" s="80" t="s">
        <v>847</v>
      </c>
      <c r="K454" s="80" t="s">
        <v>848</v>
      </c>
      <c r="L454" s="85">
        <v>9.89</v>
      </c>
      <c r="M454" s="85">
        <v>0</v>
      </c>
      <c r="N454" s="80" t="s">
        <v>67</v>
      </c>
      <c r="O454" s="85">
        <v>9.89</v>
      </c>
      <c r="P454" s="85">
        <v>0</v>
      </c>
      <c r="Q454" s="85">
        <v>0</v>
      </c>
      <c r="R454" s="85"/>
      <c r="S454" s="85"/>
      <c r="T454" s="85"/>
      <c r="U454" s="88">
        <f t="shared" si="50"/>
        <v>0</v>
      </c>
      <c r="V454" s="88">
        <f t="shared" si="51"/>
        <v>0</v>
      </c>
      <c r="W454" s="112"/>
      <c r="X454" s="88"/>
      <c r="Y454" s="85"/>
      <c r="Z454" s="88">
        <f t="shared" si="52"/>
        <v>0</v>
      </c>
      <c r="AA454" s="88">
        <f t="shared" si="53"/>
        <v>0</v>
      </c>
      <c r="AB454" s="88"/>
      <c r="AC454" s="88">
        <f>O454</f>
        <v>9.89</v>
      </c>
      <c r="AD454" s="85"/>
      <c r="AE454" s="88">
        <f t="shared" si="54"/>
        <v>9.89</v>
      </c>
      <c r="AF454" s="88">
        <f t="shared" si="55"/>
        <v>-9.89</v>
      </c>
    </row>
    <row r="455" spans="1:32" s="89" customFormat="1" ht="156" hidden="1">
      <c r="A455" s="80">
        <f t="shared" si="56"/>
        <v>453</v>
      </c>
      <c r="B455" s="80" t="s">
        <v>849</v>
      </c>
      <c r="C455" s="81" t="s">
        <v>1002</v>
      </c>
      <c r="D455" s="34" t="s">
        <v>1023</v>
      </c>
      <c r="E455" s="34" t="s">
        <v>30</v>
      </c>
      <c r="F455" s="120" t="s">
        <v>850</v>
      </c>
      <c r="G455" s="80"/>
      <c r="H455" s="41">
        <v>1</v>
      </c>
      <c r="I455" s="80"/>
      <c r="J455" s="80"/>
      <c r="K455" s="80" t="s">
        <v>851</v>
      </c>
      <c r="L455" s="85">
        <v>78.39</v>
      </c>
      <c r="M455" s="85">
        <v>0</v>
      </c>
      <c r="N455" s="80" t="s">
        <v>1045</v>
      </c>
      <c r="O455" s="85">
        <v>78.39</v>
      </c>
      <c r="P455" s="85">
        <v>0</v>
      </c>
      <c r="Q455" s="85">
        <v>0</v>
      </c>
      <c r="R455" s="85">
        <v>48.065877200000003</v>
      </c>
      <c r="S455" s="85"/>
      <c r="T455" s="85"/>
      <c r="U455" s="88">
        <f t="shared" si="50"/>
        <v>0</v>
      </c>
      <c r="V455" s="88">
        <f t="shared" si="51"/>
        <v>48.065877200000003</v>
      </c>
      <c r="W455" s="111">
        <f>0.9905206+0.7103846+1.0419485+0.1246788+0.5668095+0.8422723+1.0099399</f>
        <v>5.2865542000000003</v>
      </c>
      <c r="X455" s="88">
        <f>V455+W455</f>
        <v>53.3524314</v>
      </c>
      <c r="Y455" s="85"/>
      <c r="Z455" s="88">
        <f t="shared" si="52"/>
        <v>53.3524314</v>
      </c>
      <c r="AA455" s="88">
        <f t="shared" si="53"/>
        <v>0</v>
      </c>
      <c r="AB455" s="88"/>
      <c r="AC455" s="88"/>
      <c r="AD455" s="85"/>
      <c r="AE455" s="88">
        <f t="shared" si="54"/>
        <v>53.3524314</v>
      </c>
      <c r="AF455" s="88">
        <f t="shared" si="55"/>
        <v>0</v>
      </c>
    </row>
    <row r="456" spans="1:32" s="89" customFormat="1" ht="202.8" hidden="1">
      <c r="A456" s="80">
        <f t="shared" ref="A456:A459" si="57">A455+1</f>
        <v>454</v>
      </c>
      <c r="B456" s="80" t="s">
        <v>852</v>
      </c>
      <c r="C456" s="81" t="s">
        <v>1002</v>
      </c>
      <c r="D456" s="34" t="s">
        <v>1023</v>
      </c>
      <c r="E456" s="34" t="s">
        <v>30</v>
      </c>
      <c r="F456" s="120" t="s">
        <v>853</v>
      </c>
      <c r="G456" s="80"/>
      <c r="H456" s="41">
        <v>4</v>
      </c>
      <c r="I456" s="80" t="s">
        <v>854</v>
      </c>
      <c r="J456" s="80" t="s">
        <v>854</v>
      </c>
      <c r="K456" s="80" t="s">
        <v>855</v>
      </c>
      <c r="L456" s="85">
        <v>333.05</v>
      </c>
      <c r="M456" s="85">
        <v>0</v>
      </c>
      <c r="N456" s="80" t="s">
        <v>1045</v>
      </c>
      <c r="O456" s="85">
        <v>333.05</v>
      </c>
      <c r="P456" s="85">
        <v>0</v>
      </c>
      <c r="Q456" s="85">
        <v>0</v>
      </c>
      <c r="R456" s="85">
        <v>348.15271849999999</v>
      </c>
      <c r="S456" s="85">
        <f>20.1635557+2.7402822+0.8607832+54.8072863+32.6482006+16.0222241+12.6241276+0.203727+0.6669045+78.6796603+25.5743907+53.3051329+7.3379766+2.4779436+25.9339952</f>
        <v>334.04619049999997</v>
      </c>
      <c r="T456" s="85"/>
      <c r="U456" s="88">
        <f t="shared" si="50"/>
        <v>334.04619049999997</v>
      </c>
      <c r="V456" s="88">
        <f t="shared" si="51"/>
        <v>14.106528000000026</v>
      </c>
      <c r="W456" s="111">
        <f>1.1272143+3.8209274+1.0773768+0.8113309+0.9251353+0.8656224+0.1913446+1.0562489+0.00354+0.0334157+0.3066319</f>
        <v>10.218788199999999</v>
      </c>
      <c r="X456" s="88">
        <f>V456+W456</f>
        <v>24.325316200000024</v>
      </c>
      <c r="Y456" s="85"/>
      <c r="Z456" s="88">
        <f t="shared" si="52"/>
        <v>358.3715067</v>
      </c>
      <c r="AA456" s="88">
        <f t="shared" si="53"/>
        <v>0</v>
      </c>
      <c r="AB456" s="88"/>
      <c r="AC456" s="88"/>
      <c r="AD456" s="85"/>
      <c r="AE456" s="88">
        <f t="shared" si="54"/>
        <v>358.3715067</v>
      </c>
      <c r="AF456" s="88">
        <f t="shared" si="55"/>
        <v>0</v>
      </c>
    </row>
    <row r="457" spans="1:32" s="89" customFormat="1" ht="171.6" hidden="1">
      <c r="A457" s="80">
        <f t="shared" si="57"/>
        <v>455</v>
      </c>
      <c r="B457" s="80" t="s">
        <v>859</v>
      </c>
      <c r="C457" s="81" t="s">
        <v>1002</v>
      </c>
      <c r="D457" s="34" t="s">
        <v>1023</v>
      </c>
      <c r="E457" s="34" t="s">
        <v>30</v>
      </c>
      <c r="F457" s="120" t="s">
        <v>860</v>
      </c>
      <c r="G457" s="80"/>
      <c r="H457" s="41">
        <v>4</v>
      </c>
      <c r="I457" s="80" t="s">
        <v>861</v>
      </c>
      <c r="J457" s="80" t="s">
        <v>861</v>
      </c>
      <c r="K457" s="123">
        <v>44903</v>
      </c>
      <c r="L457" s="85">
        <v>6.74</v>
      </c>
      <c r="M457" s="85">
        <v>0</v>
      </c>
      <c r="N457" s="80" t="s">
        <v>516</v>
      </c>
      <c r="O457" s="85">
        <v>6.01</v>
      </c>
      <c r="P457" s="85">
        <v>0</v>
      </c>
      <c r="Q457" s="85">
        <v>0</v>
      </c>
      <c r="R457" s="85"/>
      <c r="S457" s="85"/>
      <c r="T457" s="85"/>
      <c r="U457" s="88">
        <f t="shared" si="50"/>
        <v>0</v>
      </c>
      <c r="V457" s="88">
        <f t="shared" si="51"/>
        <v>0</v>
      </c>
      <c r="W457" s="111">
        <f>1.4559326+1.2103065+1.0562988+0.6794699+0.4563075+0.1671572</f>
        <v>5.0254725000000002</v>
      </c>
      <c r="X457" s="88">
        <f>W457</f>
        <v>5.0254725000000002</v>
      </c>
      <c r="Y457" s="85"/>
      <c r="Z457" s="88">
        <f t="shared" si="52"/>
        <v>5.0254725000000002</v>
      </c>
      <c r="AA457" s="88">
        <f t="shared" si="53"/>
        <v>0</v>
      </c>
      <c r="AB457" s="85"/>
      <c r="AC457" s="85"/>
      <c r="AD457" s="85"/>
      <c r="AE457" s="88">
        <f t="shared" si="54"/>
        <v>5.0254725000000002</v>
      </c>
      <c r="AF457" s="88">
        <f t="shared" si="55"/>
        <v>0</v>
      </c>
    </row>
    <row r="458" spans="1:32" s="138" customFormat="1" ht="46.8">
      <c r="A458" s="129">
        <f t="shared" si="57"/>
        <v>456</v>
      </c>
      <c r="B458" s="129" t="s">
        <v>760</v>
      </c>
      <c r="C458" s="148" t="s">
        <v>876</v>
      </c>
      <c r="D458" s="34" t="s">
        <v>1023</v>
      </c>
      <c r="E458" s="34" t="s">
        <v>30</v>
      </c>
      <c r="F458" s="131" t="s">
        <v>1052</v>
      </c>
      <c r="G458" s="129"/>
      <c r="H458" s="41"/>
      <c r="I458" s="129"/>
      <c r="J458" s="129"/>
      <c r="K458" s="149"/>
      <c r="L458" s="134">
        <v>21.39</v>
      </c>
      <c r="M458" s="134"/>
      <c r="N458" s="150" t="s">
        <v>1054</v>
      </c>
      <c r="O458" s="134">
        <v>0</v>
      </c>
      <c r="P458" s="134">
        <v>0</v>
      </c>
      <c r="Q458" s="134">
        <v>0</v>
      </c>
      <c r="R458" s="134"/>
      <c r="S458" s="134"/>
      <c r="T458" s="134"/>
      <c r="U458" s="137">
        <f t="shared" si="50"/>
        <v>0</v>
      </c>
      <c r="V458" s="137">
        <f t="shared" si="51"/>
        <v>0</v>
      </c>
      <c r="W458" s="139">
        <f>0.0893163+1.1674896+0.1190284+0.8578721+0.3709419+1.2709128+1.7426523+5</f>
        <v>10.6182134</v>
      </c>
      <c r="X458" s="134"/>
      <c r="Y458" s="134"/>
      <c r="Z458" s="137">
        <f t="shared" si="52"/>
        <v>0</v>
      </c>
      <c r="AA458" s="137">
        <f t="shared" si="53"/>
        <v>10.6182134</v>
      </c>
      <c r="AB458" s="134">
        <f>L458-AA458</f>
        <v>10.7717866</v>
      </c>
      <c r="AC458" s="134">
        <f>AA458+AB458</f>
        <v>21.39</v>
      </c>
      <c r="AD458" s="134"/>
      <c r="AE458" s="137">
        <f t="shared" si="54"/>
        <v>21.39</v>
      </c>
      <c r="AF458" s="137">
        <f t="shared" si="55"/>
        <v>0</v>
      </c>
    </row>
    <row r="459" spans="1:32" s="138" customFormat="1" ht="46.8">
      <c r="A459" s="129">
        <f t="shared" si="57"/>
        <v>457</v>
      </c>
      <c r="B459" s="129" t="s">
        <v>991</v>
      </c>
      <c r="C459" s="148" t="s">
        <v>876</v>
      </c>
      <c r="D459" s="34" t="s">
        <v>1023</v>
      </c>
      <c r="E459" s="34" t="s">
        <v>30</v>
      </c>
      <c r="F459" s="131" t="s">
        <v>1053</v>
      </c>
      <c r="G459" s="129"/>
      <c r="H459" s="41"/>
      <c r="I459" s="129"/>
      <c r="J459" s="129"/>
      <c r="K459" s="149"/>
      <c r="L459" s="134">
        <v>36.28</v>
      </c>
      <c r="M459" s="134"/>
      <c r="N459" s="150" t="s">
        <v>32</v>
      </c>
      <c r="O459" s="134">
        <v>0</v>
      </c>
      <c r="P459" s="134">
        <v>0</v>
      </c>
      <c r="Q459" s="134">
        <v>0</v>
      </c>
      <c r="R459" s="134"/>
      <c r="S459" s="134"/>
      <c r="T459" s="134"/>
      <c r="U459" s="137">
        <f t="shared" si="50"/>
        <v>0</v>
      </c>
      <c r="V459" s="137">
        <f t="shared" si="51"/>
        <v>0</v>
      </c>
      <c r="W459" s="134">
        <f>0.6184695+1.0917226+0.2338787+0.0585289+0.290575+0.8131824+0.8228357+0.6641078+0.2623731+0.264733+0.1581332+0.1455037+0.0846639+0.1682953+15</f>
        <v>20.6770028</v>
      </c>
      <c r="X459" s="134"/>
      <c r="Y459" s="134"/>
      <c r="Z459" s="137">
        <f t="shared" si="52"/>
        <v>0</v>
      </c>
      <c r="AA459" s="137">
        <f t="shared" si="53"/>
        <v>20.6770028</v>
      </c>
      <c r="AB459" s="134">
        <f>L459-AA459</f>
        <v>15.602997200000001</v>
      </c>
      <c r="AC459" s="134">
        <f>AA459+AB459</f>
        <v>36.28</v>
      </c>
      <c r="AD459" s="134"/>
      <c r="AE459" s="137">
        <f t="shared" si="54"/>
        <v>36.28</v>
      </c>
      <c r="AF459" s="137">
        <f t="shared" si="55"/>
        <v>0</v>
      </c>
    </row>
    <row r="460" spans="1:32" s="138" customFormat="1" ht="62.4">
      <c r="A460" s="129">
        <f>A459+1</f>
        <v>458</v>
      </c>
      <c r="B460" s="151" t="s">
        <v>1040</v>
      </c>
      <c r="C460" s="143" t="s">
        <v>876</v>
      </c>
      <c r="D460" s="34" t="s">
        <v>1023</v>
      </c>
      <c r="E460" s="34" t="s">
        <v>30</v>
      </c>
      <c r="F460" s="131" t="s">
        <v>1042</v>
      </c>
      <c r="G460" s="143" t="s">
        <v>28</v>
      </c>
      <c r="H460" s="41"/>
      <c r="I460" s="143" t="s">
        <v>854</v>
      </c>
      <c r="J460" s="143" t="s">
        <v>854</v>
      </c>
      <c r="K460" s="143" t="s">
        <v>1043</v>
      </c>
      <c r="L460" s="144">
        <v>138.87</v>
      </c>
      <c r="M460" s="134" t="s">
        <v>30</v>
      </c>
      <c r="N460" s="143" t="s">
        <v>32</v>
      </c>
      <c r="O460" s="144">
        <v>138.87</v>
      </c>
      <c r="P460" s="134">
        <v>0</v>
      </c>
      <c r="Q460" s="134">
        <v>0</v>
      </c>
      <c r="R460" s="136">
        <v>127.9423049</v>
      </c>
      <c r="S460" s="134">
        <f>20.449342+0.2354134+32.4888722+25.9070633+1.859639+0.1883642</f>
        <v>81.128694100000004</v>
      </c>
      <c r="T460" s="134"/>
      <c r="U460" s="137">
        <f>P460+S460+T460</f>
        <v>81.128694100000004</v>
      </c>
      <c r="V460" s="137">
        <f>Q460+R460-S460-T460</f>
        <v>46.813610799999992</v>
      </c>
      <c r="W460" s="139">
        <f>7.0727152+0.9105389+1.2538468+1.3868539+0.3886667+0.7952484+2.2396954+0.6792283</f>
        <v>14.726793600000001</v>
      </c>
      <c r="X460" s="137">
        <f>V460+W460</f>
        <v>61.540404399999993</v>
      </c>
      <c r="Y460" s="134"/>
      <c r="Z460" s="137">
        <f>U460+X460+Y460</f>
        <v>142.66909849999999</v>
      </c>
      <c r="AA460" s="137">
        <f>V460+W460-X460-Y460</f>
        <v>0</v>
      </c>
      <c r="AB460" s="134"/>
      <c r="AC460" s="134"/>
      <c r="AD460" s="134"/>
      <c r="AE460" s="137">
        <f>Z460+AC460+AD460</f>
        <v>142.66909849999999</v>
      </c>
      <c r="AF460" s="137">
        <f>AA460+AB460-AC460-AD460</f>
        <v>0</v>
      </c>
    </row>
    <row r="461" spans="1:32">
      <c r="A461" s="41">
        <f t="shared" ref="A461:A491" si="58">A460+1</f>
        <v>459</v>
      </c>
      <c r="B461" s="34" t="s">
        <v>30</v>
      </c>
      <c r="C461" s="34" t="s">
        <v>30</v>
      </c>
      <c r="D461" s="34" t="s">
        <v>30</v>
      </c>
      <c r="E461" s="34" t="s">
        <v>30</v>
      </c>
      <c r="F461" s="43" t="s">
        <v>839</v>
      </c>
      <c r="G461" s="41"/>
      <c r="H461" s="41"/>
      <c r="I461" s="41"/>
      <c r="J461" s="41"/>
      <c r="K461" s="77"/>
      <c r="L461" s="91"/>
      <c r="M461" s="3"/>
      <c r="N461" s="36" t="s">
        <v>29</v>
      </c>
      <c r="O461" s="106">
        <v>0</v>
      </c>
      <c r="P461" s="3">
        <v>0</v>
      </c>
      <c r="Q461" s="3">
        <v>0</v>
      </c>
      <c r="R461" s="3">
        <v>0</v>
      </c>
      <c r="S461" s="3">
        <v>10.4767826</v>
      </c>
      <c r="T461" s="3">
        <v>0</v>
      </c>
      <c r="U461" s="67">
        <f>P461+S461+T461</f>
        <v>10.4767826</v>
      </c>
      <c r="V461" s="79">
        <f>Q461+R461-S461-T461</f>
        <v>-10.4767826</v>
      </c>
      <c r="W461" s="91"/>
      <c r="X461" s="91"/>
      <c r="Y461" s="3"/>
      <c r="Z461" s="67">
        <f t="shared" ref="Z461:Z485" si="59">U461+X461+Y461</f>
        <v>10.4767826</v>
      </c>
      <c r="AA461" s="67">
        <f t="shared" ref="AA461:AA485" si="60">V461+W461-X461-Y461</f>
        <v>-10.4767826</v>
      </c>
      <c r="AB461" s="91"/>
      <c r="AC461" s="91"/>
      <c r="AD461" s="3"/>
      <c r="AE461" s="67">
        <f>Z461+AC461+AD461</f>
        <v>10.4767826</v>
      </c>
      <c r="AF461" s="67">
        <f>AA461+AB461-AC461-AD461</f>
        <v>-10.4767826</v>
      </c>
    </row>
    <row r="462" spans="1:32">
      <c r="A462" s="41">
        <f t="shared" si="58"/>
        <v>460</v>
      </c>
      <c r="B462" s="34" t="s">
        <v>30</v>
      </c>
      <c r="C462" s="34" t="s">
        <v>30</v>
      </c>
      <c r="D462" s="34" t="s">
        <v>30</v>
      </c>
      <c r="E462" s="34" t="s">
        <v>30</v>
      </c>
      <c r="F462" s="43" t="s">
        <v>1483</v>
      </c>
      <c r="G462" s="41"/>
      <c r="H462" s="41"/>
      <c r="I462" s="41"/>
      <c r="J462" s="41"/>
      <c r="K462" s="77"/>
      <c r="L462" s="91"/>
      <c r="M462" s="3"/>
      <c r="N462" s="36" t="s">
        <v>67</v>
      </c>
      <c r="O462" s="106">
        <v>0</v>
      </c>
      <c r="P462" s="3">
        <v>0</v>
      </c>
      <c r="Q462" s="3">
        <v>0</v>
      </c>
      <c r="R462" s="3">
        <v>0</v>
      </c>
      <c r="S462" s="3">
        <v>0.5032991</v>
      </c>
      <c r="T462" s="3">
        <v>0</v>
      </c>
      <c r="U462" s="67">
        <f t="shared" ref="U462:U466" si="61">P462+S462+T462</f>
        <v>0.5032991</v>
      </c>
      <c r="V462" s="79">
        <f t="shared" ref="V462:V466" si="62">Q462+R462-S462-T462</f>
        <v>-0.5032991</v>
      </c>
      <c r="W462" s="91"/>
      <c r="X462" s="91"/>
      <c r="Y462" s="3"/>
      <c r="Z462" s="67">
        <f t="shared" si="59"/>
        <v>0.5032991</v>
      </c>
      <c r="AA462" s="67">
        <f t="shared" si="60"/>
        <v>-0.5032991</v>
      </c>
      <c r="AB462" s="91"/>
      <c r="AC462" s="91"/>
      <c r="AD462" s="3"/>
      <c r="AE462" s="67">
        <f t="shared" ref="AE462:AE485" si="63">Z462+AC462+AD462</f>
        <v>0.5032991</v>
      </c>
      <c r="AF462" s="67">
        <f t="shared" ref="AF462:AF485" si="64">AA462+AB462-AC462-AD462</f>
        <v>-0.5032991</v>
      </c>
    </row>
    <row r="463" spans="1:32">
      <c r="A463" s="41">
        <f t="shared" si="58"/>
        <v>461</v>
      </c>
      <c r="B463" s="34" t="s">
        <v>30</v>
      </c>
      <c r="C463" s="34" t="s">
        <v>30</v>
      </c>
      <c r="D463" s="34" t="s">
        <v>30</v>
      </c>
      <c r="E463" s="34" t="s">
        <v>30</v>
      </c>
      <c r="F463" s="43" t="s">
        <v>1484</v>
      </c>
      <c r="G463" s="41"/>
      <c r="H463" s="41"/>
      <c r="I463" s="41"/>
      <c r="J463" s="41"/>
      <c r="K463" s="77"/>
      <c r="L463" s="91"/>
      <c r="M463" s="3"/>
      <c r="N463" s="36" t="s">
        <v>67</v>
      </c>
      <c r="O463" s="106">
        <v>0</v>
      </c>
      <c r="P463" s="3">
        <v>0</v>
      </c>
      <c r="Q463" s="3">
        <v>0</v>
      </c>
      <c r="R463" s="3">
        <v>0</v>
      </c>
      <c r="S463" s="3">
        <f>1.351966951+0.7274786</f>
        <v>2.0794455510000001</v>
      </c>
      <c r="T463" s="3">
        <v>0</v>
      </c>
      <c r="U463" s="67">
        <f t="shared" si="61"/>
        <v>2.0794455510000001</v>
      </c>
      <c r="V463" s="79">
        <f t="shared" si="62"/>
        <v>-2.0794455510000001</v>
      </c>
      <c r="W463" s="91"/>
      <c r="X463" s="91"/>
      <c r="Y463" s="3"/>
      <c r="Z463" s="67">
        <f t="shared" si="59"/>
        <v>2.0794455510000001</v>
      </c>
      <c r="AA463" s="67">
        <f t="shared" si="60"/>
        <v>-2.0794455510000001</v>
      </c>
      <c r="AB463" s="91"/>
      <c r="AC463" s="91"/>
      <c r="AD463" s="3"/>
      <c r="AE463" s="67">
        <f t="shared" si="63"/>
        <v>2.0794455510000001</v>
      </c>
      <c r="AF463" s="67">
        <f t="shared" si="64"/>
        <v>-2.0794455510000001</v>
      </c>
    </row>
    <row r="464" spans="1:32">
      <c r="A464" s="41">
        <f t="shared" si="58"/>
        <v>462</v>
      </c>
      <c r="B464" s="34" t="s">
        <v>30</v>
      </c>
      <c r="C464" s="34" t="s">
        <v>30</v>
      </c>
      <c r="D464" s="34" t="s">
        <v>30</v>
      </c>
      <c r="E464" s="34" t="s">
        <v>30</v>
      </c>
      <c r="F464" s="43" t="s">
        <v>308</v>
      </c>
      <c r="G464" s="41"/>
      <c r="H464" s="41"/>
      <c r="I464" s="41"/>
      <c r="J464" s="41"/>
      <c r="K464" s="77"/>
      <c r="L464" s="91"/>
      <c r="M464" s="3"/>
      <c r="N464" s="36" t="s">
        <v>67</v>
      </c>
      <c r="O464" s="106">
        <v>0</v>
      </c>
      <c r="P464" s="3">
        <v>0</v>
      </c>
      <c r="Q464" s="3">
        <v>0</v>
      </c>
      <c r="R464" s="3">
        <v>0</v>
      </c>
      <c r="S464" s="3">
        <v>3.1800288000000005</v>
      </c>
      <c r="T464" s="3">
        <v>0</v>
      </c>
      <c r="U464" s="67">
        <f t="shared" si="61"/>
        <v>3.1800288000000005</v>
      </c>
      <c r="V464" s="79">
        <f t="shared" si="62"/>
        <v>-3.1800288000000005</v>
      </c>
      <c r="W464" s="91"/>
      <c r="X464" s="91"/>
      <c r="Y464" s="3"/>
      <c r="Z464" s="67">
        <f t="shared" si="59"/>
        <v>3.1800288000000005</v>
      </c>
      <c r="AA464" s="67">
        <f t="shared" si="60"/>
        <v>-3.1800288000000005</v>
      </c>
      <c r="AB464" s="91"/>
      <c r="AC464" s="91"/>
      <c r="AD464" s="3"/>
      <c r="AE464" s="67">
        <f t="shared" si="63"/>
        <v>3.1800288000000005</v>
      </c>
      <c r="AF464" s="67">
        <f t="shared" si="64"/>
        <v>-3.1800288000000005</v>
      </c>
    </row>
    <row r="465" spans="1:32" ht="31.2">
      <c r="A465" s="41">
        <f t="shared" si="58"/>
        <v>463</v>
      </c>
      <c r="B465" s="32" t="s">
        <v>1485</v>
      </c>
      <c r="C465" s="33"/>
      <c r="D465" s="34"/>
      <c r="E465" s="34" t="s">
        <v>1509</v>
      </c>
      <c r="F465" s="32" t="s">
        <v>1486</v>
      </c>
      <c r="G465" s="41"/>
      <c r="H465" s="41"/>
      <c r="I465" s="41"/>
      <c r="J465" s="41"/>
      <c r="K465" s="77"/>
      <c r="L465" s="91"/>
      <c r="M465" s="3"/>
      <c r="N465" s="36" t="s">
        <v>516</v>
      </c>
      <c r="O465" s="106">
        <v>0</v>
      </c>
      <c r="P465" s="3">
        <v>0</v>
      </c>
      <c r="Q465" s="3">
        <v>0</v>
      </c>
      <c r="R465" s="25">
        <v>1.8116881</v>
      </c>
      <c r="S465" s="3">
        <v>35.450123900000001</v>
      </c>
      <c r="T465" s="3">
        <v>0</v>
      </c>
      <c r="U465" s="67">
        <f t="shared" si="61"/>
        <v>35.450123900000001</v>
      </c>
      <c r="V465" s="79">
        <f t="shared" si="62"/>
        <v>-33.638435800000003</v>
      </c>
      <c r="W465" s="91"/>
      <c r="X465" s="91"/>
      <c r="Y465" s="3"/>
      <c r="Z465" s="67">
        <f t="shared" si="59"/>
        <v>35.450123900000001</v>
      </c>
      <c r="AA465" s="67">
        <f t="shared" si="60"/>
        <v>-33.638435800000003</v>
      </c>
      <c r="AB465" s="91"/>
      <c r="AC465" s="91"/>
      <c r="AD465" s="3"/>
      <c r="AE465" s="67">
        <f t="shared" si="63"/>
        <v>35.450123900000001</v>
      </c>
      <c r="AF465" s="67">
        <f>AA465+AB465-AC465-AD465</f>
        <v>-33.638435800000003</v>
      </c>
    </row>
    <row r="466" spans="1:32" s="138" customFormat="1" ht="46.8">
      <c r="A466" s="129">
        <f t="shared" si="58"/>
        <v>464</v>
      </c>
      <c r="B466" s="129" t="s">
        <v>1488</v>
      </c>
      <c r="C466" s="148" t="s">
        <v>876</v>
      </c>
      <c r="D466" s="34"/>
      <c r="E466" s="34" t="s">
        <v>1509</v>
      </c>
      <c r="F466" s="152" t="s">
        <v>1487</v>
      </c>
      <c r="G466" s="129"/>
      <c r="H466" s="41"/>
      <c r="I466" s="129"/>
      <c r="J466" s="129"/>
      <c r="K466" s="149"/>
      <c r="L466" s="134"/>
      <c r="M466" s="134"/>
      <c r="N466" s="150" t="s">
        <v>82</v>
      </c>
      <c r="O466" s="144">
        <v>0</v>
      </c>
      <c r="P466" s="134">
        <v>0</v>
      </c>
      <c r="Q466" s="134">
        <v>0</v>
      </c>
      <c r="R466" s="136">
        <v>0.7079685</v>
      </c>
      <c r="S466" s="134">
        <v>0.1025277</v>
      </c>
      <c r="T466" s="134">
        <v>0</v>
      </c>
      <c r="U466" s="137">
        <f t="shared" si="61"/>
        <v>0.1025277</v>
      </c>
      <c r="V466" s="137">
        <f t="shared" si="62"/>
        <v>0.6054408</v>
      </c>
      <c r="W466" s="134">
        <f>V466</f>
        <v>0.6054408</v>
      </c>
      <c r="X466" s="134"/>
      <c r="Y466" s="134"/>
      <c r="Z466" s="137">
        <f t="shared" ref="Z466" si="65">U466+X466+Y466</f>
        <v>0.1025277</v>
      </c>
      <c r="AA466" s="137">
        <f t="shared" ref="AA466" si="66">V466+W466-X466-Y466</f>
        <v>1.2108816</v>
      </c>
      <c r="AB466" s="134"/>
      <c r="AC466" s="134"/>
      <c r="AD466" s="134"/>
      <c r="AE466" s="137">
        <f t="shared" ref="AE466" si="67">Z466+AC466+AD466</f>
        <v>0.1025277</v>
      </c>
      <c r="AF466" s="137">
        <f t="shared" ref="AF466" si="68">AA466+AB466-AC466-AD466</f>
        <v>1.2108816</v>
      </c>
    </row>
    <row r="467" spans="1:32" ht="124.8" hidden="1">
      <c r="A467" s="41">
        <f t="shared" si="58"/>
        <v>465</v>
      </c>
      <c r="B467" s="32" t="s">
        <v>845</v>
      </c>
      <c r="C467" s="36" t="s">
        <v>1002</v>
      </c>
      <c r="D467" s="34" t="s">
        <v>1023</v>
      </c>
      <c r="E467" s="34" t="s">
        <v>1509</v>
      </c>
      <c r="F467" s="32" t="s">
        <v>846</v>
      </c>
      <c r="G467" s="29" t="s">
        <v>1541</v>
      </c>
      <c r="H467" s="41"/>
      <c r="I467" s="41"/>
      <c r="J467" s="41"/>
      <c r="K467" s="77"/>
      <c r="L467" s="91"/>
      <c r="M467" s="3">
        <v>9.89</v>
      </c>
      <c r="N467" s="36" t="s">
        <v>67</v>
      </c>
      <c r="O467" s="91">
        <v>0</v>
      </c>
      <c r="P467" s="3">
        <v>0</v>
      </c>
      <c r="Q467" s="3">
        <v>0</v>
      </c>
      <c r="R467" s="25"/>
      <c r="S467" s="3"/>
      <c r="T467" s="3"/>
      <c r="U467" s="67">
        <f t="shared" ref="U467:U485" si="69">P467+S467+T467</f>
        <v>0</v>
      </c>
      <c r="V467" s="67">
        <f t="shared" ref="V467:V485" si="70">Q467+R467-S467-T467</f>
        <v>0</v>
      </c>
      <c r="W467" s="91"/>
      <c r="X467" s="91"/>
      <c r="Y467" s="3"/>
      <c r="Z467" s="67">
        <f t="shared" si="59"/>
        <v>0</v>
      </c>
      <c r="AA467" s="67">
        <f t="shared" si="60"/>
        <v>0</v>
      </c>
      <c r="AB467" s="91"/>
      <c r="AC467" s="91"/>
      <c r="AD467" s="3"/>
      <c r="AE467" s="67">
        <f t="shared" si="63"/>
        <v>0</v>
      </c>
      <c r="AF467" s="67">
        <f t="shared" si="64"/>
        <v>0</v>
      </c>
    </row>
    <row r="468" spans="1:32" ht="156" hidden="1">
      <c r="A468" s="41">
        <f t="shared" si="58"/>
        <v>466</v>
      </c>
      <c r="B468" s="32" t="s">
        <v>849</v>
      </c>
      <c r="C468" s="36" t="s">
        <v>1002</v>
      </c>
      <c r="D468" s="34" t="s">
        <v>1023</v>
      </c>
      <c r="E468" s="34" t="s">
        <v>1509</v>
      </c>
      <c r="F468" s="32" t="s">
        <v>1489</v>
      </c>
      <c r="G468" s="29" t="s">
        <v>1541</v>
      </c>
      <c r="H468" s="41"/>
      <c r="I468" s="41"/>
      <c r="J468" s="41"/>
      <c r="K468" s="77"/>
      <c r="L468" s="91"/>
      <c r="M468" s="3">
        <v>78.39</v>
      </c>
      <c r="N468" s="36" t="s">
        <v>1045</v>
      </c>
      <c r="O468" s="91">
        <v>0</v>
      </c>
      <c r="P468" s="3">
        <v>0</v>
      </c>
      <c r="Q468" s="3">
        <v>0</v>
      </c>
      <c r="R468" s="25"/>
      <c r="S468" s="3"/>
      <c r="T468" s="3"/>
      <c r="U468" s="67">
        <f t="shared" si="69"/>
        <v>0</v>
      </c>
      <c r="V468" s="67">
        <f t="shared" si="70"/>
        <v>0</v>
      </c>
      <c r="W468" s="91"/>
      <c r="X468" s="91"/>
      <c r="Y468" s="3"/>
      <c r="Z468" s="67">
        <f t="shared" si="59"/>
        <v>0</v>
      </c>
      <c r="AA468" s="67">
        <f t="shared" si="60"/>
        <v>0</v>
      </c>
      <c r="AB468" s="91"/>
      <c r="AC468" s="91"/>
      <c r="AD468" s="3"/>
      <c r="AE468" s="67">
        <f t="shared" si="63"/>
        <v>0</v>
      </c>
      <c r="AF468" s="67">
        <f t="shared" si="64"/>
        <v>0</v>
      </c>
    </row>
    <row r="469" spans="1:32" ht="202.8">
      <c r="A469" s="41">
        <f t="shared" si="58"/>
        <v>467</v>
      </c>
      <c r="B469" s="32" t="s">
        <v>1510</v>
      </c>
      <c r="C469" s="36" t="s">
        <v>876</v>
      </c>
      <c r="D469" s="34" t="s">
        <v>1023</v>
      </c>
      <c r="E469" s="34" t="s">
        <v>1509</v>
      </c>
      <c r="F469" s="32" t="s">
        <v>1490</v>
      </c>
      <c r="G469" s="41"/>
      <c r="H469" s="41"/>
      <c r="I469" s="41"/>
      <c r="J469" s="41"/>
      <c r="K469" s="77"/>
      <c r="L469" s="91"/>
      <c r="M469" s="3">
        <v>333.05</v>
      </c>
      <c r="N469" s="36" t="s">
        <v>1045</v>
      </c>
      <c r="O469" s="91">
        <v>0</v>
      </c>
      <c r="P469" s="3">
        <v>0</v>
      </c>
      <c r="Q469" s="3">
        <v>0</v>
      </c>
      <c r="R469" s="25"/>
      <c r="S469" s="3"/>
      <c r="T469" s="3"/>
      <c r="U469" s="67">
        <f t="shared" si="69"/>
        <v>0</v>
      </c>
      <c r="V469" s="67">
        <f t="shared" si="70"/>
        <v>0</v>
      </c>
      <c r="W469" s="91"/>
      <c r="X469" s="91"/>
      <c r="Y469" s="3"/>
      <c r="Z469" s="67">
        <f t="shared" si="59"/>
        <v>0</v>
      </c>
      <c r="AA469" s="67">
        <f t="shared" si="60"/>
        <v>0</v>
      </c>
      <c r="AB469" s="91"/>
      <c r="AC469" s="91"/>
      <c r="AD469" s="3"/>
      <c r="AE469" s="67">
        <f t="shared" si="63"/>
        <v>0</v>
      </c>
      <c r="AF469" s="67">
        <f t="shared" si="64"/>
        <v>0</v>
      </c>
    </row>
    <row r="470" spans="1:32" ht="171.6" hidden="1">
      <c r="A470" s="41">
        <f t="shared" si="58"/>
        <v>468</v>
      </c>
      <c r="B470" s="32" t="s">
        <v>859</v>
      </c>
      <c r="C470" s="36" t="s">
        <v>1002</v>
      </c>
      <c r="D470" s="34" t="s">
        <v>1023</v>
      </c>
      <c r="E470" s="34" t="s">
        <v>1509</v>
      </c>
      <c r="F470" s="32" t="s">
        <v>1491</v>
      </c>
      <c r="G470" s="29" t="s">
        <v>1541</v>
      </c>
      <c r="H470" s="41"/>
      <c r="I470" s="41"/>
      <c r="J470" s="41"/>
      <c r="K470" s="77"/>
      <c r="L470" s="91"/>
      <c r="M470" s="3">
        <v>6.01</v>
      </c>
      <c r="N470" s="36" t="s">
        <v>516</v>
      </c>
      <c r="O470" s="91">
        <v>0</v>
      </c>
      <c r="P470" s="3">
        <v>0</v>
      </c>
      <c r="Q470" s="3">
        <v>0</v>
      </c>
      <c r="R470" s="25"/>
      <c r="S470" s="3"/>
      <c r="T470" s="3"/>
      <c r="U470" s="67">
        <f t="shared" si="69"/>
        <v>0</v>
      </c>
      <c r="V470" s="67">
        <f t="shared" si="70"/>
        <v>0</v>
      </c>
      <c r="W470" s="91"/>
      <c r="X470" s="91"/>
      <c r="Y470" s="3"/>
      <c r="Z470" s="67">
        <f t="shared" si="59"/>
        <v>0</v>
      </c>
      <c r="AA470" s="67">
        <f t="shared" si="60"/>
        <v>0</v>
      </c>
      <c r="AB470" s="91"/>
      <c r="AC470" s="91"/>
      <c r="AD470" s="3"/>
      <c r="AE470" s="67">
        <f t="shared" si="63"/>
        <v>0</v>
      </c>
      <c r="AF470" s="67">
        <f t="shared" si="64"/>
        <v>0</v>
      </c>
    </row>
    <row r="471" spans="1:32" ht="62.4" hidden="1">
      <c r="A471" s="41" t="e">
        <f>#REF!+1</f>
        <v>#REF!</v>
      </c>
      <c r="B471" s="32" t="s">
        <v>1511</v>
      </c>
      <c r="C471" s="36" t="s">
        <v>1002</v>
      </c>
      <c r="D471" s="34" t="s">
        <v>1023</v>
      </c>
      <c r="E471" s="34" t="s">
        <v>1509</v>
      </c>
      <c r="F471" s="32" t="s">
        <v>1492</v>
      </c>
      <c r="G471" s="41"/>
      <c r="H471" s="41"/>
      <c r="I471" s="41"/>
      <c r="J471" s="41"/>
      <c r="K471" s="77"/>
      <c r="L471" s="91"/>
      <c r="M471" s="3">
        <v>60.81</v>
      </c>
      <c r="N471" s="36" t="s">
        <v>32</v>
      </c>
      <c r="O471" s="91">
        <v>0</v>
      </c>
      <c r="P471" s="3">
        <v>0</v>
      </c>
      <c r="Q471" s="3">
        <v>0</v>
      </c>
      <c r="R471" s="25"/>
      <c r="S471" s="3"/>
      <c r="T471" s="3"/>
      <c r="U471" s="67">
        <f t="shared" si="69"/>
        <v>0</v>
      </c>
      <c r="V471" s="67">
        <f t="shared" si="70"/>
        <v>0</v>
      </c>
      <c r="W471" s="91"/>
      <c r="X471" s="91"/>
      <c r="Y471" s="3"/>
      <c r="Z471" s="67">
        <f t="shared" si="59"/>
        <v>0</v>
      </c>
      <c r="AA471" s="67">
        <f t="shared" si="60"/>
        <v>0</v>
      </c>
      <c r="AB471" s="91"/>
      <c r="AC471" s="91"/>
      <c r="AD471" s="3"/>
      <c r="AE471" s="67">
        <f t="shared" si="63"/>
        <v>0</v>
      </c>
      <c r="AF471" s="67">
        <f t="shared" si="64"/>
        <v>0</v>
      </c>
    </row>
    <row r="472" spans="1:32" ht="124.8" hidden="1">
      <c r="A472" s="41" t="e">
        <f t="shared" si="58"/>
        <v>#REF!</v>
      </c>
      <c r="B472" s="32" t="s">
        <v>1512</v>
      </c>
      <c r="C472" s="36" t="s">
        <v>1002</v>
      </c>
      <c r="D472" s="34" t="s">
        <v>1023</v>
      </c>
      <c r="E472" s="34" t="s">
        <v>1509</v>
      </c>
      <c r="F472" s="32" t="s">
        <v>1493</v>
      </c>
      <c r="G472" s="41"/>
      <c r="H472" s="41"/>
      <c r="I472" s="41"/>
      <c r="J472" s="41"/>
      <c r="K472" s="77"/>
      <c r="L472" s="91"/>
      <c r="M472" s="3">
        <v>82.73</v>
      </c>
      <c r="N472" s="36" t="s">
        <v>1045</v>
      </c>
      <c r="O472" s="91">
        <v>0</v>
      </c>
      <c r="P472" s="3">
        <v>0</v>
      </c>
      <c r="Q472" s="3">
        <v>0</v>
      </c>
      <c r="R472" s="25"/>
      <c r="S472" s="3"/>
      <c r="T472" s="3"/>
      <c r="U472" s="67">
        <f t="shared" ref="U472:U478" si="71">P472+S472+T472</f>
        <v>0</v>
      </c>
      <c r="V472" s="67">
        <f t="shared" ref="V472:V478" si="72">Q472+R472-S472-T472</f>
        <v>0</v>
      </c>
      <c r="W472" s="91"/>
      <c r="X472" s="91"/>
      <c r="Y472" s="3"/>
      <c r="Z472" s="67">
        <f t="shared" ref="Z472:Z478" si="73">U472+X472+Y472</f>
        <v>0</v>
      </c>
      <c r="AA472" s="67">
        <f t="shared" ref="AA472:AA478" si="74">V472+W472-X472-Y472</f>
        <v>0</v>
      </c>
      <c r="AB472" s="91"/>
      <c r="AC472" s="91"/>
      <c r="AD472" s="3"/>
      <c r="AE472" s="67">
        <f t="shared" ref="AE472:AE478" si="75">Z472+AC472+AD472</f>
        <v>0</v>
      </c>
      <c r="AF472" s="67">
        <f t="shared" ref="AF472:AF478" si="76">AA472+AB472-AC472-AD472</f>
        <v>0</v>
      </c>
    </row>
    <row r="473" spans="1:32" s="89" customFormat="1" ht="62.4" hidden="1">
      <c r="A473" s="80" t="e">
        <f t="shared" si="58"/>
        <v>#REF!</v>
      </c>
      <c r="B473" s="124" t="s">
        <v>1513</v>
      </c>
      <c r="C473" s="125" t="s">
        <v>1002</v>
      </c>
      <c r="D473" s="34" t="s">
        <v>1023</v>
      </c>
      <c r="E473" s="34" t="s">
        <v>1509</v>
      </c>
      <c r="F473" s="124" t="s">
        <v>1494</v>
      </c>
      <c r="G473" s="80"/>
      <c r="H473" s="41"/>
      <c r="I473" s="80"/>
      <c r="J473" s="80"/>
      <c r="K473" s="123"/>
      <c r="L473" s="85"/>
      <c r="M473" s="85">
        <v>55.2</v>
      </c>
      <c r="N473" s="125" t="s">
        <v>32</v>
      </c>
      <c r="O473" s="85">
        <v>0</v>
      </c>
      <c r="P473" s="85">
        <v>0</v>
      </c>
      <c r="Q473" s="85">
        <v>0</v>
      </c>
      <c r="R473" s="87"/>
      <c r="S473" s="85"/>
      <c r="T473" s="85"/>
      <c r="U473" s="88">
        <f t="shared" si="71"/>
        <v>0</v>
      </c>
      <c r="V473" s="88">
        <f t="shared" si="72"/>
        <v>0</v>
      </c>
      <c r="W473" s="111">
        <f>0.71685+1.0874405</f>
        <v>1.8042905</v>
      </c>
      <c r="X473" s="85"/>
      <c r="Y473" s="85"/>
      <c r="Z473" s="88">
        <f t="shared" si="73"/>
        <v>0</v>
      </c>
      <c r="AA473" s="88">
        <f t="shared" si="74"/>
        <v>1.8042905</v>
      </c>
      <c r="AB473" s="85"/>
      <c r="AC473" s="85">
        <f>M473</f>
        <v>55.2</v>
      </c>
      <c r="AD473" s="85"/>
      <c r="AE473" s="88">
        <f t="shared" si="75"/>
        <v>55.2</v>
      </c>
      <c r="AF473" s="88">
        <f t="shared" si="76"/>
        <v>-53.395709500000002</v>
      </c>
    </row>
    <row r="474" spans="1:32" s="89" customFormat="1" ht="78" hidden="1">
      <c r="A474" s="80" t="e">
        <f t="shared" si="58"/>
        <v>#REF!</v>
      </c>
      <c r="B474" s="124" t="s">
        <v>1514</v>
      </c>
      <c r="C474" s="125" t="s">
        <v>1002</v>
      </c>
      <c r="D474" s="34" t="s">
        <v>1023</v>
      </c>
      <c r="E474" s="34" t="s">
        <v>1509</v>
      </c>
      <c r="F474" s="124" t="s">
        <v>1495</v>
      </c>
      <c r="G474" s="80"/>
      <c r="H474" s="41"/>
      <c r="I474" s="80"/>
      <c r="J474" s="80"/>
      <c r="K474" s="123"/>
      <c r="L474" s="85"/>
      <c r="M474" s="85">
        <v>98.34</v>
      </c>
      <c r="N474" s="125" t="s">
        <v>1045</v>
      </c>
      <c r="O474" s="85">
        <v>0</v>
      </c>
      <c r="P474" s="85">
        <v>0</v>
      </c>
      <c r="Q474" s="85">
        <v>0</v>
      </c>
      <c r="R474" s="87"/>
      <c r="S474" s="85"/>
      <c r="T474" s="85"/>
      <c r="U474" s="88">
        <f t="shared" si="71"/>
        <v>0</v>
      </c>
      <c r="V474" s="88">
        <f t="shared" si="72"/>
        <v>0</v>
      </c>
      <c r="W474" s="111">
        <f>4.32529+4.32529</f>
        <v>8.6505799999999997</v>
      </c>
      <c r="X474" s="85"/>
      <c r="Y474" s="85"/>
      <c r="Z474" s="88">
        <f t="shared" si="73"/>
        <v>0</v>
      </c>
      <c r="AA474" s="88">
        <f t="shared" si="74"/>
        <v>8.6505799999999997</v>
      </c>
      <c r="AB474" s="85"/>
      <c r="AC474" s="85">
        <f>M474</f>
        <v>98.34</v>
      </c>
      <c r="AD474" s="85"/>
      <c r="AE474" s="88">
        <f t="shared" si="75"/>
        <v>98.34</v>
      </c>
      <c r="AF474" s="88">
        <f t="shared" si="76"/>
        <v>-89.689419999999998</v>
      </c>
    </row>
    <row r="475" spans="1:32" ht="93.6" hidden="1">
      <c r="A475" s="41" t="e">
        <f t="shared" si="58"/>
        <v>#REF!</v>
      </c>
      <c r="B475" s="32" t="s">
        <v>1519</v>
      </c>
      <c r="C475" s="36" t="s">
        <v>1002</v>
      </c>
      <c r="D475" s="34" t="s">
        <v>1023</v>
      </c>
      <c r="E475" s="34" t="s">
        <v>1509</v>
      </c>
      <c r="F475" s="32" t="s">
        <v>1496</v>
      </c>
      <c r="G475" s="41"/>
      <c r="H475" s="41"/>
      <c r="I475" s="41"/>
      <c r="J475" s="41"/>
      <c r="K475" s="77"/>
      <c r="L475" s="91"/>
      <c r="M475" s="3">
        <v>17.57</v>
      </c>
      <c r="N475" s="36" t="s">
        <v>1505</v>
      </c>
      <c r="O475" s="91">
        <v>0</v>
      </c>
      <c r="P475" s="3">
        <v>0</v>
      </c>
      <c r="Q475" s="3">
        <v>0</v>
      </c>
      <c r="R475" s="25"/>
      <c r="S475" s="3"/>
      <c r="T475" s="3"/>
      <c r="U475" s="67">
        <f t="shared" si="71"/>
        <v>0</v>
      </c>
      <c r="V475" s="67">
        <f t="shared" si="72"/>
        <v>0</v>
      </c>
      <c r="W475" s="91"/>
      <c r="X475" s="91"/>
      <c r="Y475" s="3"/>
      <c r="Z475" s="67">
        <f t="shared" si="73"/>
        <v>0</v>
      </c>
      <c r="AA475" s="67">
        <f t="shared" si="74"/>
        <v>0</v>
      </c>
      <c r="AB475" s="91"/>
      <c r="AC475" s="91"/>
      <c r="AD475" s="3"/>
      <c r="AE475" s="67">
        <f t="shared" si="75"/>
        <v>0</v>
      </c>
      <c r="AF475" s="67">
        <f t="shared" si="76"/>
        <v>0</v>
      </c>
    </row>
    <row r="476" spans="1:32" s="89" customFormat="1" ht="62.4" hidden="1">
      <c r="A476" s="80" t="e">
        <f t="shared" si="58"/>
        <v>#REF!</v>
      </c>
      <c r="B476" s="124" t="s">
        <v>1515</v>
      </c>
      <c r="C476" s="125" t="s">
        <v>1002</v>
      </c>
      <c r="D476" s="34" t="s">
        <v>1023</v>
      </c>
      <c r="E476" s="34" t="s">
        <v>1509</v>
      </c>
      <c r="F476" s="124" t="s">
        <v>1497</v>
      </c>
      <c r="G476" s="80"/>
      <c r="H476" s="41"/>
      <c r="I476" s="80"/>
      <c r="J476" s="80"/>
      <c r="K476" s="123"/>
      <c r="L476" s="85"/>
      <c r="M476" s="85">
        <v>9.6</v>
      </c>
      <c r="N476" s="125" t="s">
        <v>1506</v>
      </c>
      <c r="O476" s="85">
        <v>0</v>
      </c>
      <c r="P476" s="85">
        <v>0</v>
      </c>
      <c r="Q476" s="85">
        <v>0</v>
      </c>
      <c r="R476" s="87"/>
      <c r="S476" s="85"/>
      <c r="T476" s="85"/>
      <c r="U476" s="88">
        <f t="shared" si="71"/>
        <v>0</v>
      </c>
      <c r="V476" s="88">
        <f t="shared" si="72"/>
        <v>0</v>
      </c>
      <c r="W476" s="85"/>
      <c r="X476" s="85"/>
      <c r="Y476" s="85"/>
      <c r="Z476" s="88">
        <f t="shared" si="73"/>
        <v>0</v>
      </c>
      <c r="AA476" s="88">
        <f t="shared" si="74"/>
        <v>0</v>
      </c>
      <c r="AB476" s="85"/>
      <c r="AC476" s="85">
        <f>M476</f>
        <v>9.6</v>
      </c>
      <c r="AD476" s="85"/>
      <c r="AE476" s="88">
        <f t="shared" si="75"/>
        <v>9.6</v>
      </c>
      <c r="AF476" s="88">
        <f t="shared" si="76"/>
        <v>-9.6</v>
      </c>
    </row>
    <row r="477" spans="1:32" s="89" customFormat="1" ht="109.2" hidden="1">
      <c r="A477" s="80" t="e">
        <f t="shared" si="58"/>
        <v>#REF!</v>
      </c>
      <c r="B477" s="124" t="s">
        <v>1516</v>
      </c>
      <c r="C477" s="125" t="s">
        <v>1002</v>
      </c>
      <c r="D477" s="34" t="s">
        <v>1023</v>
      </c>
      <c r="E477" s="34" t="s">
        <v>1509</v>
      </c>
      <c r="F477" s="124" t="s">
        <v>1498</v>
      </c>
      <c r="G477" s="80"/>
      <c r="H477" s="41"/>
      <c r="I477" s="80"/>
      <c r="J477" s="80"/>
      <c r="K477" s="123"/>
      <c r="L477" s="85"/>
      <c r="M477" s="85">
        <v>123.83</v>
      </c>
      <c r="N477" s="125" t="s">
        <v>32</v>
      </c>
      <c r="O477" s="85">
        <v>0</v>
      </c>
      <c r="P477" s="85">
        <v>0</v>
      </c>
      <c r="Q477" s="85">
        <v>0</v>
      </c>
      <c r="R477" s="87"/>
      <c r="S477" s="85"/>
      <c r="T477" s="85"/>
      <c r="U477" s="88">
        <f t="shared" si="71"/>
        <v>0</v>
      </c>
      <c r="V477" s="88">
        <f t="shared" si="72"/>
        <v>0</v>
      </c>
      <c r="W477" s="85"/>
      <c r="X477" s="85"/>
      <c r="Y477" s="85"/>
      <c r="Z477" s="88">
        <f t="shared" si="73"/>
        <v>0</v>
      </c>
      <c r="AA477" s="88">
        <f t="shared" si="74"/>
        <v>0</v>
      </c>
      <c r="AB477" s="85"/>
      <c r="AC477" s="85">
        <f>M477</f>
        <v>123.83</v>
      </c>
      <c r="AD477" s="85"/>
      <c r="AE477" s="88">
        <f t="shared" si="75"/>
        <v>123.83</v>
      </c>
      <c r="AF477" s="88">
        <f t="shared" si="76"/>
        <v>-123.83</v>
      </c>
    </row>
    <row r="478" spans="1:32" s="89" customFormat="1" ht="124.8" hidden="1">
      <c r="A478" s="80" t="e">
        <f t="shared" si="58"/>
        <v>#REF!</v>
      </c>
      <c r="B478" s="124" t="s">
        <v>1517</v>
      </c>
      <c r="C478" s="125" t="s">
        <v>1002</v>
      </c>
      <c r="D478" s="34" t="s">
        <v>1023</v>
      </c>
      <c r="E478" s="34" t="s">
        <v>1509</v>
      </c>
      <c r="F478" s="124" t="s">
        <v>1499</v>
      </c>
      <c r="G478" s="80"/>
      <c r="H478" s="41"/>
      <c r="I478" s="80"/>
      <c r="J478" s="80"/>
      <c r="K478" s="123"/>
      <c r="L478" s="85"/>
      <c r="M478" s="85">
        <v>18.2</v>
      </c>
      <c r="N478" s="125" t="s">
        <v>67</v>
      </c>
      <c r="O478" s="85">
        <v>0</v>
      </c>
      <c r="P478" s="85">
        <v>0</v>
      </c>
      <c r="Q478" s="85">
        <v>0</v>
      </c>
      <c r="R478" s="87"/>
      <c r="S478" s="85"/>
      <c r="T478" s="85"/>
      <c r="U478" s="88">
        <f t="shared" si="71"/>
        <v>0</v>
      </c>
      <c r="V478" s="88">
        <f t="shared" si="72"/>
        <v>0</v>
      </c>
      <c r="W478" s="85"/>
      <c r="X478" s="85"/>
      <c r="Y478" s="85"/>
      <c r="Z478" s="88">
        <f t="shared" si="73"/>
        <v>0</v>
      </c>
      <c r="AA478" s="88">
        <f t="shared" si="74"/>
        <v>0</v>
      </c>
      <c r="AB478" s="85"/>
      <c r="AC478" s="85">
        <f>M478</f>
        <v>18.2</v>
      </c>
      <c r="AD478" s="85"/>
      <c r="AE478" s="88">
        <f t="shared" si="75"/>
        <v>18.2</v>
      </c>
      <c r="AF478" s="88">
        <f t="shared" si="76"/>
        <v>-18.2</v>
      </c>
    </row>
    <row r="479" spans="1:32" ht="62.4" hidden="1">
      <c r="A479" s="41" t="e">
        <f t="shared" si="58"/>
        <v>#REF!</v>
      </c>
      <c r="B479" s="32" t="s">
        <v>1542</v>
      </c>
      <c r="C479" s="36" t="s">
        <v>1002</v>
      </c>
      <c r="D479" s="34" t="s">
        <v>1023</v>
      </c>
      <c r="E479" s="34" t="s">
        <v>1509</v>
      </c>
      <c r="F479" s="32" t="s">
        <v>1500</v>
      </c>
      <c r="G479" s="41"/>
      <c r="H479" s="41"/>
      <c r="I479" s="41"/>
      <c r="J479" s="41"/>
      <c r="K479" s="77"/>
      <c r="L479" s="91"/>
      <c r="M479" s="3">
        <v>998.39</v>
      </c>
      <c r="N479" s="36" t="s">
        <v>32</v>
      </c>
      <c r="O479" s="91">
        <v>0</v>
      </c>
      <c r="P479" s="3">
        <v>0</v>
      </c>
      <c r="Q479" s="3">
        <v>0</v>
      </c>
      <c r="R479" s="25"/>
      <c r="S479" s="3"/>
      <c r="T479" s="3"/>
      <c r="U479" s="67">
        <f t="shared" si="69"/>
        <v>0</v>
      </c>
      <c r="V479" s="67">
        <f t="shared" si="70"/>
        <v>0</v>
      </c>
      <c r="W479" s="91"/>
      <c r="X479" s="91"/>
      <c r="Y479" s="3"/>
      <c r="Z479" s="67">
        <f t="shared" si="59"/>
        <v>0</v>
      </c>
      <c r="AA479" s="67">
        <f t="shared" si="60"/>
        <v>0</v>
      </c>
      <c r="AB479" s="91"/>
      <c r="AC479" s="91"/>
      <c r="AD479" s="3"/>
      <c r="AE479" s="67">
        <f t="shared" si="63"/>
        <v>0</v>
      </c>
      <c r="AF479" s="67">
        <f t="shared" si="64"/>
        <v>0</v>
      </c>
    </row>
    <row r="480" spans="1:32" ht="109.2">
      <c r="A480" s="41" t="e">
        <f t="shared" si="58"/>
        <v>#REF!</v>
      </c>
      <c r="B480" s="32" t="s">
        <v>1543</v>
      </c>
      <c r="C480" s="36" t="s">
        <v>876</v>
      </c>
      <c r="D480" s="34" t="s">
        <v>1023</v>
      </c>
      <c r="E480" s="34" t="s">
        <v>1509</v>
      </c>
      <c r="F480" s="32" t="s">
        <v>1501</v>
      </c>
      <c r="G480" s="41"/>
      <c r="H480" s="41"/>
      <c r="I480" s="41"/>
      <c r="J480" s="41"/>
      <c r="K480" s="77"/>
      <c r="L480" s="91"/>
      <c r="M480" s="3">
        <v>129.75</v>
      </c>
      <c r="N480" s="36" t="s">
        <v>32</v>
      </c>
      <c r="O480" s="91">
        <v>0</v>
      </c>
      <c r="P480" s="3">
        <v>0</v>
      </c>
      <c r="Q480" s="3">
        <v>0</v>
      </c>
      <c r="R480" s="25"/>
      <c r="S480" s="3"/>
      <c r="T480" s="3"/>
      <c r="U480" s="67">
        <f t="shared" si="69"/>
        <v>0</v>
      </c>
      <c r="V480" s="67">
        <f t="shared" si="70"/>
        <v>0</v>
      </c>
      <c r="W480" s="91"/>
      <c r="X480" s="91"/>
      <c r="Y480" s="3"/>
      <c r="Z480" s="67">
        <f t="shared" si="59"/>
        <v>0</v>
      </c>
      <c r="AA480" s="67">
        <f t="shared" si="60"/>
        <v>0</v>
      </c>
      <c r="AB480" s="91"/>
      <c r="AC480" s="91"/>
      <c r="AD480" s="3"/>
      <c r="AE480" s="67">
        <f t="shared" si="63"/>
        <v>0</v>
      </c>
      <c r="AF480" s="67">
        <f t="shared" si="64"/>
        <v>0</v>
      </c>
    </row>
    <row r="481" spans="1:32" s="138" customFormat="1" ht="109.2">
      <c r="A481" s="129" t="e">
        <f t="shared" si="58"/>
        <v>#REF!</v>
      </c>
      <c r="B481" s="152" t="s">
        <v>1518</v>
      </c>
      <c r="C481" s="150" t="s">
        <v>876</v>
      </c>
      <c r="D481" s="34" t="s">
        <v>1023</v>
      </c>
      <c r="E481" s="34" t="s">
        <v>1509</v>
      </c>
      <c r="F481" s="152" t="s">
        <v>1502</v>
      </c>
      <c r="G481" s="129"/>
      <c r="H481" s="41"/>
      <c r="I481" s="129"/>
      <c r="J481" s="129"/>
      <c r="K481" s="149"/>
      <c r="L481" s="134"/>
      <c r="M481" s="134">
        <v>99.61</v>
      </c>
      <c r="N481" s="150" t="s">
        <v>1545</v>
      </c>
      <c r="O481" s="134">
        <v>0</v>
      </c>
      <c r="P481" s="134">
        <v>0</v>
      </c>
      <c r="Q481" s="134">
        <v>0</v>
      </c>
      <c r="R481" s="136"/>
      <c r="S481" s="134"/>
      <c r="T481" s="134"/>
      <c r="U481" s="137">
        <f t="shared" si="69"/>
        <v>0</v>
      </c>
      <c r="V481" s="137">
        <f t="shared" si="70"/>
        <v>0</v>
      </c>
      <c r="W481" s="134">
        <f>M481-7.73</f>
        <v>91.88</v>
      </c>
      <c r="X481" s="134"/>
      <c r="Y481" s="134"/>
      <c r="Z481" s="137">
        <f t="shared" si="59"/>
        <v>0</v>
      </c>
      <c r="AA481" s="137">
        <f t="shared" si="60"/>
        <v>91.88</v>
      </c>
      <c r="AB481" s="134">
        <f>M481-AA481</f>
        <v>7.730000000000004</v>
      </c>
      <c r="AC481" s="134">
        <f>AA481+AB481</f>
        <v>99.61</v>
      </c>
      <c r="AD481" s="134"/>
      <c r="AE481" s="137">
        <f t="shared" si="63"/>
        <v>99.61</v>
      </c>
      <c r="AF481" s="137">
        <f t="shared" si="64"/>
        <v>0</v>
      </c>
    </row>
    <row r="482" spans="1:32" ht="109.2">
      <c r="A482" s="41" t="e">
        <f t="shared" si="58"/>
        <v>#REF!</v>
      </c>
      <c r="B482" s="32" t="s">
        <v>1544</v>
      </c>
      <c r="C482" s="36" t="s">
        <v>876</v>
      </c>
      <c r="D482" s="34" t="s">
        <v>1023</v>
      </c>
      <c r="E482" s="34" t="s">
        <v>1509</v>
      </c>
      <c r="F482" s="32" t="s">
        <v>1503</v>
      </c>
      <c r="G482" s="41"/>
      <c r="H482" s="41"/>
      <c r="I482" s="41"/>
      <c r="J482" s="41"/>
      <c r="K482" s="77"/>
      <c r="L482" s="91"/>
      <c r="M482" s="3">
        <v>255.9</v>
      </c>
      <c r="N482" s="36" t="s">
        <v>1507</v>
      </c>
      <c r="O482" s="91">
        <v>0</v>
      </c>
      <c r="P482" s="3">
        <v>0</v>
      </c>
      <c r="Q482" s="3">
        <v>0</v>
      </c>
      <c r="R482" s="25"/>
      <c r="S482" s="3"/>
      <c r="T482" s="3"/>
      <c r="U482" s="67">
        <f t="shared" si="69"/>
        <v>0</v>
      </c>
      <c r="V482" s="67">
        <f t="shared" si="70"/>
        <v>0</v>
      </c>
      <c r="W482" s="91"/>
      <c r="X482" s="91"/>
      <c r="Y482" s="3"/>
      <c r="Z482" s="67">
        <f t="shared" si="59"/>
        <v>0</v>
      </c>
      <c r="AA482" s="67">
        <f t="shared" si="60"/>
        <v>0</v>
      </c>
      <c r="AB482" s="91"/>
      <c r="AC482" s="91"/>
      <c r="AD482" s="3"/>
      <c r="AE482" s="67">
        <f t="shared" si="63"/>
        <v>0</v>
      </c>
      <c r="AF482" s="67">
        <f t="shared" si="64"/>
        <v>0</v>
      </c>
    </row>
    <row r="483" spans="1:32" s="138" customFormat="1" ht="78">
      <c r="A483" s="129" t="e">
        <f t="shared" si="58"/>
        <v>#REF!</v>
      </c>
      <c r="B483" s="152" t="s">
        <v>1520</v>
      </c>
      <c r="C483" s="150" t="s">
        <v>876</v>
      </c>
      <c r="D483" s="34" t="s">
        <v>1023</v>
      </c>
      <c r="E483" s="34" t="s">
        <v>1509</v>
      </c>
      <c r="F483" s="152" t="s">
        <v>1504</v>
      </c>
      <c r="G483" s="129"/>
      <c r="H483" s="41"/>
      <c r="I483" s="129"/>
      <c r="J483" s="129"/>
      <c r="K483" s="149"/>
      <c r="L483" s="134"/>
      <c r="M483" s="134">
        <v>4.8499999999999996</v>
      </c>
      <c r="N483" s="150" t="s">
        <v>1508</v>
      </c>
      <c r="O483" s="134">
        <v>0</v>
      </c>
      <c r="P483" s="134">
        <v>0</v>
      </c>
      <c r="Q483" s="134">
        <v>0</v>
      </c>
      <c r="R483" s="136"/>
      <c r="S483" s="134"/>
      <c r="T483" s="134"/>
      <c r="U483" s="137">
        <f t="shared" si="69"/>
        <v>0</v>
      </c>
      <c r="V483" s="137">
        <f t="shared" si="70"/>
        <v>0</v>
      </c>
      <c r="W483" s="134">
        <f>M483</f>
        <v>4.8499999999999996</v>
      </c>
      <c r="X483" s="134">
        <f>W483</f>
        <v>4.8499999999999996</v>
      </c>
      <c r="Y483" s="134"/>
      <c r="Z483" s="137">
        <f t="shared" si="59"/>
        <v>4.8499999999999996</v>
      </c>
      <c r="AA483" s="137">
        <f t="shared" si="60"/>
        <v>0</v>
      </c>
      <c r="AB483" s="134"/>
      <c r="AC483" s="134"/>
      <c r="AD483" s="134"/>
      <c r="AE483" s="137">
        <f t="shared" si="63"/>
        <v>4.8499999999999996</v>
      </c>
      <c r="AF483" s="137">
        <f t="shared" si="64"/>
        <v>0</v>
      </c>
    </row>
    <row r="484" spans="1:32" s="138" customFormat="1" ht="62.4">
      <c r="A484" s="129" t="e">
        <f t="shared" si="58"/>
        <v>#REF!</v>
      </c>
      <c r="B484" s="152" t="s">
        <v>1523</v>
      </c>
      <c r="C484" s="148" t="s">
        <v>876</v>
      </c>
      <c r="D484" s="34"/>
      <c r="E484" s="34"/>
      <c r="F484" s="153" t="s">
        <v>1537</v>
      </c>
      <c r="G484" s="129"/>
      <c r="H484" s="41"/>
      <c r="I484" s="129"/>
      <c r="J484" s="129"/>
      <c r="K484" s="149"/>
      <c r="L484" s="134"/>
      <c r="M484" s="134">
        <v>3.25</v>
      </c>
      <c r="N484" s="150"/>
      <c r="O484" s="134">
        <v>0</v>
      </c>
      <c r="P484" s="134">
        <v>0</v>
      </c>
      <c r="Q484" s="134">
        <v>0</v>
      </c>
      <c r="R484" s="136">
        <v>2.1269228999999998</v>
      </c>
      <c r="S484" s="134"/>
      <c r="T484" s="134"/>
      <c r="U484" s="137">
        <f t="shared" si="69"/>
        <v>0</v>
      </c>
      <c r="V484" s="137">
        <f t="shared" si="70"/>
        <v>2.1269228999999998</v>
      </c>
      <c r="W484" s="134"/>
      <c r="X484" s="134">
        <f>V484</f>
        <v>2.1269228999999998</v>
      </c>
      <c r="Y484" s="134"/>
      <c r="Z484" s="137">
        <f t="shared" si="59"/>
        <v>2.1269228999999998</v>
      </c>
      <c r="AA484" s="137">
        <f t="shared" si="60"/>
        <v>0</v>
      </c>
      <c r="AB484" s="134"/>
      <c r="AC484" s="134"/>
      <c r="AD484" s="134"/>
      <c r="AE484" s="137">
        <f t="shared" si="63"/>
        <v>2.1269228999999998</v>
      </c>
      <c r="AF484" s="137">
        <f t="shared" si="64"/>
        <v>0</v>
      </c>
    </row>
    <row r="485" spans="1:32" s="138" customFormat="1" ht="62.4">
      <c r="A485" s="129" t="e">
        <f t="shared" si="58"/>
        <v>#REF!</v>
      </c>
      <c r="B485" s="152" t="s">
        <v>1524</v>
      </c>
      <c r="C485" s="148" t="s">
        <v>876</v>
      </c>
      <c r="D485" s="34"/>
      <c r="E485" s="34" t="s">
        <v>1521</v>
      </c>
      <c r="F485" s="153" t="s">
        <v>1538</v>
      </c>
      <c r="G485" s="129"/>
      <c r="H485" s="41"/>
      <c r="I485" s="129"/>
      <c r="J485" s="129"/>
      <c r="K485" s="149"/>
      <c r="L485" s="134"/>
      <c r="M485" s="134"/>
      <c r="N485" s="150"/>
      <c r="O485" s="134">
        <v>0</v>
      </c>
      <c r="P485" s="134">
        <v>0</v>
      </c>
      <c r="Q485" s="134">
        <v>0</v>
      </c>
      <c r="R485" s="136">
        <v>1.5247842</v>
      </c>
      <c r="S485" s="134"/>
      <c r="T485" s="134"/>
      <c r="U485" s="137">
        <f t="shared" si="69"/>
        <v>0</v>
      </c>
      <c r="V485" s="137">
        <f t="shared" si="70"/>
        <v>1.5247842</v>
      </c>
      <c r="W485" s="134"/>
      <c r="X485" s="134">
        <f>V485</f>
        <v>1.5247842</v>
      </c>
      <c r="Y485" s="134"/>
      <c r="Z485" s="137">
        <f t="shared" si="59"/>
        <v>1.5247842</v>
      </c>
      <c r="AA485" s="137">
        <f t="shared" si="60"/>
        <v>0</v>
      </c>
      <c r="AB485" s="134"/>
      <c r="AC485" s="134"/>
      <c r="AD485" s="134"/>
      <c r="AE485" s="137">
        <f t="shared" si="63"/>
        <v>1.5247842</v>
      </c>
      <c r="AF485" s="137">
        <f t="shared" si="64"/>
        <v>0</v>
      </c>
    </row>
    <row r="486" spans="1:32" s="27" customFormat="1" ht="46.8">
      <c r="A486" s="29" t="e">
        <f t="shared" si="58"/>
        <v>#REF!</v>
      </c>
      <c r="B486" s="23" t="s">
        <v>1525</v>
      </c>
      <c r="C486" s="39"/>
      <c r="D486" s="40"/>
      <c r="E486" s="40"/>
      <c r="F486" s="37" t="s">
        <v>1535</v>
      </c>
      <c r="G486" s="29"/>
      <c r="H486" s="29"/>
      <c r="I486" s="29"/>
      <c r="J486" s="29"/>
      <c r="K486" s="78"/>
      <c r="L486" s="91"/>
      <c r="M486" s="28"/>
      <c r="N486" s="35"/>
      <c r="O486" s="91">
        <v>0</v>
      </c>
      <c r="P486" s="28">
        <v>0</v>
      </c>
      <c r="Q486" s="28">
        <v>0</v>
      </c>
      <c r="R486" s="26">
        <v>0.336011</v>
      </c>
      <c r="S486" s="28"/>
      <c r="T486" s="28"/>
      <c r="U486" s="79">
        <f t="shared" ref="U486:U491" si="77">P486+S486+T486</f>
        <v>0</v>
      </c>
      <c r="V486" s="79">
        <f t="shared" ref="V486:V491" si="78">Q486+R486-S486-T486</f>
        <v>0.336011</v>
      </c>
      <c r="W486" s="91"/>
      <c r="X486" s="91"/>
      <c r="Y486" s="28"/>
      <c r="Z486" s="79">
        <f t="shared" ref="Z486:Z491" si="79">U486+X486+Y486</f>
        <v>0</v>
      </c>
      <c r="AA486" s="79">
        <f t="shared" ref="AA486:AA491" si="80">V486+W486-X486-Y486</f>
        <v>0.336011</v>
      </c>
      <c r="AB486" s="91"/>
      <c r="AC486" s="91"/>
      <c r="AD486" s="28"/>
      <c r="AE486" s="79">
        <f t="shared" ref="AE486:AE491" si="81">Z486+AC486+AD486</f>
        <v>0</v>
      </c>
      <c r="AF486" s="79">
        <f t="shared" ref="AF486:AF491" si="82">AA486+AB486-AC486-AD486</f>
        <v>0.336011</v>
      </c>
    </row>
    <row r="487" spans="1:32" s="138" customFormat="1" ht="62.4">
      <c r="A487" s="129" t="e">
        <f t="shared" si="58"/>
        <v>#REF!</v>
      </c>
      <c r="B487" s="152" t="s">
        <v>1527</v>
      </c>
      <c r="C487" s="148"/>
      <c r="D487" s="34"/>
      <c r="E487" s="34"/>
      <c r="F487" s="153" t="s">
        <v>1536</v>
      </c>
      <c r="G487" s="129"/>
      <c r="H487" s="41"/>
      <c r="I487" s="129"/>
      <c r="J487" s="129"/>
      <c r="K487" s="149"/>
      <c r="L487" s="134"/>
      <c r="M487" s="134"/>
      <c r="N487" s="150"/>
      <c r="O487" s="134">
        <v>0</v>
      </c>
      <c r="P487" s="134">
        <v>0</v>
      </c>
      <c r="Q487" s="134">
        <v>0</v>
      </c>
      <c r="R487" s="136">
        <v>1.3376047</v>
      </c>
      <c r="S487" s="134"/>
      <c r="T487" s="134"/>
      <c r="U487" s="137">
        <f t="shared" si="77"/>
        <v>0</v>
      </c>
      <c r="V487" s="137">
        <f t="shared" si="78"/>
        <v>1.3376047</v>
      </c>
      <c r="W487" s="134"/>
      <c r="X487" s="134">
        <f>V487</f>
        <v>1.3376047</v>
      </c>
      <c r="Y487" s="134"/>
      <c r="Z487" s="137">
        <f t="shared" si="79"/>
        <v>1.3376047</v>
      </c>
      <c r="AA487" s="137">
        <f t="shared" si="80"/>
        <v>0</v>
      </c>
      <c r="AB487" s="134"/>
      <c r="AC487" s="134"/>
      <c r="AD487" s="134"/>
      <c r="AE487" s="137">
        <f t="shared" si="81"/>
        <v>1.3376047</v>
      </c>
      <c r="AF487" s="137">
        <f t="shared" si="82"/>
        <v>0</v>
      </c>
    </row>
    <row r="488" spans="1:32" ht="31.2">
      <c r="A488" s="41" t="e">
        <f t="shared" si="58"/>
        <v>#REF!</v>
      </c>
      <c r="B488" s="32" t="s">
        <v>1528</v>
      </c>
      <c r="C488" s="33"/>
      <c r="D488" s="34"/>
      <c r="E488" s="34"/>
      <c r="F488" s="38" t="s">
        <v>1534</v>
      </c>
      <c r="G488" s="41"/>
      <c r="H488" s="41"/>
      <c r="I488" s="41"/>
      <c r="J488" s="41"/>
      <c r="K488" s="77"/>
      <c r="L488" s="91"/>
      <c r="M488" s="3"/>
      <c r="N488" s="36"/>
      <c r="O488" s="91">
        <v>0</v>
      </c>
      <c r="P488" s="3">
        <v>0</v>
      </c>
      <c r="Q488" s="3">
        <v>0</v>
      </c>
      <c r="R488" s="25">
        <v>0.44060719999999998</v>
      </c>
      <c r="S488" s="3"/>
      <c r="T488" s="3"/>
      <c r="U488" s="67">
        <f t="shared" si="77"/>
        <v>0</v>
      </c>
      <c r="V488" s="67">
        <f t="shared" si="78"/>
        <v>0.44060719999999998</v>
      </c>
      <c r="W488" s="91"/>
      <c r="X488" s="91"/>
      <c r="Y488" s="3"/>
      <c r="Z488" s="67">
        <f t="shared" si="79"/>
        <v>0</v>
      </c>
      <c r="AA488" s="67">
        <f t="shared" si="80"/>
        <v>0.44060719999999998</v>
      </c>
      <c r="AB488" s="91"/>
      <c r="AC488" s="91"/>
      <c r="AD488" s="3"/>
      <c r="AE488" s="67">
        <f t="shared" si="81"/>
        <v>0</v>
      </c>
      <c r="AF488" s="67">
        <f t="shared" si="82"/>
        <v>0.44060719999999998</v>
      </c>
    </row>
    <row r="489" spans="1:32" ht="46.8">
      <c r="A489" s="41" t="e">
        <f t="shared" si="58"/>
        <v>#REF!</v>
      </c>
      <c r="B489" s="32" t="s">
        <v>1526</v>
      </c>
      <c r="C489" s="33"/>
      <c r="D489" s="34"/>
      <c r="E489" s="34"/>
      <c r="F489" s="38" t="s">
        <v>1533</v>
      </c>
      <c r="G489" s="41"/>
      <c r="H489" s="41"/>
      <c r="I489" s="41"/>
      <c r="J489" s="41"/>
      <c r="K489" s="77"/>
      <c r="L489" s="91"/>
      <c r="M489" s="3"/>
      <c r="N489" s="36"/>
      <c r="O489" s="91">
        <v>0</v>
      </c>
      <c r="P489" s="3">
        <v>0</v>
      </c>
      <c r="Q489" s="3">
        <v>0</v>
      </c>
      <c r="R489" s="25">
        <v>0.1564449</v>
      </c>
      <c r="S489" s="3"/>
      <c r="T489" s="3"/>
      <c r="U489" s="67">
        <f t="shared" si="77"/>
        <v>0</v>
      </c>
      <c r="V489" s="67">
        <f t="shared" si="78"/>
        <v>0.1564449</v>
      </c>
      <c r="W489" s="91"/>
      <c r="X489" s="91"/>
      <c r="Y489" s="3"/>
      <c r="Z489" s="67">
        <f t="shared" si="79"/>
        <v>0</v>
      </c>
      <c r="AA489" s="67">
        <f t="shared" si="80"/>
        <v>0.1564449</v>
      </c>
      <c r="AB489" s="91"/>
      <c r="AC489" s="91"/>
      <c r="AD489" s="3"/>
      <c r="AE489" s="67">
        <f t="shared" si="81"/>
        <v>0</v>
      </c>
      <c r="AF489" s="67">
        <f t="shared" si="82"/>
        <v>0.1564449</v>
      </c>
    </row>
    <row r="490" spans="1:32" ht="31.2">
      <c r="A490" s="41" t="e">
        <f t="shared" si="58"/>
        <v>#REF!</v>
      </c>
      <c r="B490" s="32" t="s">
        <v>1529</v>
      </c>
      <c r="C490" s="33"/>
      <c r="D490" s="34"/>
      <c r="E490" s="34"/>
      <c r="F490" s="38" t="s">
        <v>1532</v>
      </c>
      <c r="G490" s="41"/>
      <c r="H490" s="41"/>
      <c r="I490" s="41"/>
      <c r="J490" s="41"/>
      <c r="K490" s="77"/>
      <c r="L490" s="91"/>
      <c r="M490" s="3"/>
      <c r="N490" s="36"/>
      <c r="O490" s="91">
        <v>0</v>
      </c>
      <c r="P490" s="3">
        <v>0</v>
      </c>
      <c r="Q490" s="3">
        <v>0</v>
      </c>
      <c r="R490" s="25">
        <v>1.0995197999999999</v>
      </c>
      <c r="S490" s="3"/>
      <c r="T490" s="3"/>
      <c r="U490" s="67">
        <f>P490+S490+T490</f>
        <v>0</v>
      </c>
      <c r="V490" s="67">
        <f t="shared" si="78"/>
        <v>1.0995197999999999</v>
      </c>
      <c r="W490" s="92">
        <v>0.57793329999999998</v>
      </c>
      <c r="X490" s="91"/>
      <c r="Y490" s="3"/>
      <c r="Z490" s="67">
        <f t="shared" si="79"/>
        <v>0</v>
      </c>
      <c r="AA490" s="67">
        <f t="shared" si="80"/>
        <v>1.6774530999999999</v>
      </c>
      <c r="AB490" s="91"/>
      <c r="AC490" s="91"/>
      <c r="AD490" s="3"/>
      <c r="AE490" s="67">
        <f t="shared" si="81"/>
        <v>0</v>
      </c>
      <c r="AF490" s="67">
        <f t="shared" si="82"/>
        <v>1.6774530999999999</v>
      </c>
    </row>
    <row r="491" spans="1:32" s="138" customFormat="1" ht="46.8">
      <c r="A491" s="129" t="e">
        <f t="shared" si="58"/>
        <v>#REF!</v>
      </c>
      <c r="B491" s="152" t="s">
        <v>1530</v>
      </c>
      <c r="C491" s="148" t="s">
        <v>876</v>
      </c>
      <c r="D491" s="34"/>
      <c r="E491" s="34" t="s">
        <v>1522</v>
      </c>
      <c r="F491" s="153" t="s">
        <v>1531</v>
      </c>
      <c r="G491" s="129"/>
      <c r="H491" s="41"/>
      <c r="I491" s="129"/>
      <c r="J491" s="129"/>
      <c r="K491" s="149"/>
      <c r="L491" s="134">
        <v>136.13</v>
      </c>
      <c r="M491" s="134"/>
      <c r="N491" s="150"/>
      <c r="O491" s="134">
        <v>0</v>
      </c>
      <c r="P491" s="134">
        <v>0</v>
      </c>
      <c r="Q491" s="134">
        <v>0</v>
      </c>
      <c r="R491" s="136">
        <v>96.072838000000004</v>
      </c>
      <c r="S491" s="134"/>
      <c r="T491" s="134"/>
      <c r="U491" s="137">
        <f t="shared" si="77"/>
        <v>0</v>
      </c>
      <c r="V491" s="137">
        <f t="shared" si="78"/>
        <v>96.072838000000004</v>
      </c>
      <c r="W491" s="139">
        <f>L491-V491</f>
        <v>40.057161999999991</v>
      </c>
      <c r="X491" s="134">
        <f>V491+W491</f>
        <v>136.13</v>
      </c>
      <c r="Y491" s="134"/>
      <c r="Z491" s="137">
        <f t="shared" si="79"/>
        <v>136.13</v>
      </c>
      <c r="AA491" s="137">
        <f t="shared" si="80"/>
        <v>0</v>
      </c>
      <c r="AB491" s="134"/>
      <c r="AC491" s="134"/>
      <c r="AD491" s="134"/>
      <c r="AE491" s="137">
        <f t="shared" si="81"/>
        <v>136.13</v>
      </c>
      <c r="AF491" s="137">
        <f t="shared" si="82"/>
        <v>0</v>
      </c>
    </row>
    <row r="492" spans="1:32">
      <c r="B492" s="56"/>
      <c r="C492" s="56"/>
      <c r="D492" s="56"/>
      <c r="E492" s="56"/>
      <c r="F492" s="57"/>
    </row>
    <row r="493" spans="1:32">
      <c r="B493" s="56"/>
      <c r="C493" s="56"/>
      <c r="D493" s="56"/>
      <c r="E493" s="56"/>
      <c r="F493" s="57"/>
    </row>
    <row r="494" spans="1:32">
      <c r="B494" s="56"/>
      <c r="C494" s="56"/>
      <c r="D494" s="56"/>
      <c r="E494" s="56"/>
      <c r="F494" s="57"/>
    </row>
    <row r="495" spans="1:32">
      <c r="B495" s="56"/>
      <c r="C495" s="56"/>
      <c r="D495" s="56"/>
      <c r="E495" s="56"/>
      <c r="F495" s="57"/>
    </row>
    <row r="496" spans="1:32">
      <c r="B496" s="56"/>
      <c r="C496" s="56"/>
      <c r="D496" s="56"/>
      <c r="E496" s="56"/>
      <c r="F496" s="57"/>
    </row>
    <row r="497" spans="2:32">
      <c r="B497" s="56"/>
      <c r="C497" s="56"/>
      <c r="D497" s="56"/>
      <c r="E497" s="56"/>
      <c r="F497" s="57"/>
      <c r="N497" s="58"/>
      <c r="P497" s="6">
        <f t="shared" ref="P497:AF497" si="83">SUM(P3:P492)</f>
        <v>5928.5454609469998</v>
      </c>
      <c r="Q497" s="6">
        <f t="shared" si="83"/>
        <v>2981.6383833530003</v>
      </c>
      <c r="R497" s="6">
        <f t="shared" si="83"/>
        <v>1557.2182424000002</v>
      </c>
      <c r="S497" s="6">
        <f t="shared" si="83"/>
        <v>1318.3101509619391</v>
      </c>
      <c r="T497" s="6">
        <f t="shared" si="83"/>
        <v>0</v>
      </c>
      <c r="U497" s="6">
        <f t="shared" si="83"/>
        <v>7246.8556119089362</v>
      </c>
      <c r="V497" s="6">
        <f t="shared" si="83"/>
        <v>3220.5464747910592</v>
      </c>
      <c r="W497" s="96">
        <f t="shared" si="83"/>
        <v>795.71894403857345</v>
      </c>
      <c r="X497" s="96">
        <f t="shared" si="83"/>
        <v>2694.4566828459378</v>
      </c>
      <c r="Y497" s="6">
        <f t="shared" si="83"/>
        <v>0</v>
      </c>
      <c r="Z497" s="6">
        <f t="shared" si="83"/>
        <v>9941.3122947548782</v>
      </c>
      <c r="AA497" s="6">
        <f t="shared" si="83"/>
        <v>1321.808735983697</v>
      </c>
      <c r="AB497" s="96">
        <f t="shared" si="83"/>
        <v>194.73894200000001</v>
      </c>
      <c r="AC497" s="96">
        <f t="shared" si="83"/>
        <v>1369.1590390999997</v>
      </c>
      <c r="AD497" s="6">
        <f t="shared" si="83"/>
        <v>0</v>
      </c>
      <c r="AE497" s="6">
        <f t="shared" si="83"/>
        <v>11310.471333854881</v>
      </c>
      <c r="AF497" s="6">
        <f t="shared" si="83"/>
        <v>147.38863888369616</v>
      </c>
    </row>
    <row r="498" spans="2:32">
      <c r="B498" s="56"/>
      <c r="C498" s="56"/>
      <c r="D498" s="56"/>
      <c r="E498" s="56"/>
      <c r="F498" s="59"/>
      <c r="P498" s="60">
        <v>5928.5454609469998</v>
      </c>
      <c r="Q498" s="60">
        <v>2981.6383833530003</v>
      </c>
      <c r="R498" s="60">
        <v>1557.2182424</v>
      </c>
      <c r="S498" s="60">
        <f>13183101509.6194/10^7</f>
        <v>1318.3101509619401</v>
      </c>
      <c r="T498" s="60">
        <v>0</v>
      </c>
      <c r="U498" s="60">
        <v>7246.8556119089362</v>
      </c>
      <c r="V498" s="60">
        <v>3220.5464747910592</v>
      </c>
      <c r="W498" s="97">
        <v>400.66916653857379</v>
      </c>
      <c r="X498" s="97">
        <v>1021.677109845938</v>
      </c>
      <c r="Y498" s="60">
        <v>0</v>
      </c>
      <c r="Z498" s="60">
        <v>8268.5327217548784</v>
      </c>
      <c r="AA498" s="60">
        <v>2599.538531483699</v>
      </c>
      <c r="AB498" s="97">
        <v>12.155841400000003</v>
      </c>
      <c r="AC498" s="97">
        <v>858.50903910000011</v>
      </c>
      <c r="AD498" s="60">
        <v>0</v>
      </c>
      <c r="AE498" s="60">
        <v>9127.041760854876</v>
      </c>
      <c r="AF498" s="60">
        <v>1753.1853337836985</v>
      </c>
    </row>
    <row r="499" spans="2:32">
      <c r="B499" s="56"/>
      <c r="C499" s="56"/>
      <c r="D499" s="56"/>
      <c r="E499" s="56"/>
      <c r="F499" s="57"/>
      <c r="P499" s="6">
        <f t="shared" ref="P499:Q499" si="84">P497-P498</f>
        <v>0</v>
      </c>
      <c r="Q499" s="6">
        <f t="shared" si="84"/>
        <v>0</v>
      </c>
      <c r="R499" s="6">
        <f>R497-R498</f>
        <v>0</v>
      </c>
      <c r="S499" s="6">
        <f t="shared" ref="S499" si="85">S497-S498</f>
        <v>0</v>
      </c>
      <c r="T499" s="6">
        <f t="shared" ref="T499:U499" si="86">T497-T498</f>
        <v>0</v>
      </c>
      <c r="U499" s="6">
        <f t="shared" si="86"/>
        <v>0</v>
      </c>
      <c r="V499" s="6">
        <f t="shared" ref="V499" si="87">V497-V498</f>
        <v>0</v>
      </c>
      <c r="W499" s="96">
        <f t="shared" ref="W499" si="88">W497-W498</f>
        <v>395.04977749999966</v>
      </c>
      <c r="X499" s="96">
        <f>X497-X498</f>
        <v>1672.7795729999998</v>
      </c>
      <c r="Y499" s="6">
        <f t="shared" ref="Y499" si="89">Y497-Y498</f>
        <v>0</v>
      </c>
      <c r="Z499" s="6">
        <f t="shared" ref="Z499" si="90">Z497-Z498</f>
        <v>1672.7795729999998</v>
      </c>
      <c r="AA499" s="6">
        <f t="shared" ref="AA499" si="91">AA497-AA498</f>
        <v>-1277.729795500002</v>
      </c>
      <c r="AB499" s="96">
        <f>AB497-AB498</f>
        <v>182.58310059999999</v>
      </c>
      <c r="AC499" s="96">
        <f t="shared" ref="AC499" si="92">AC497-AC498</f>
        <v>510.64999999999964</v>
      </c>
      <c r="AD499" s="6">
        <f t="shared" ref="AD499" si="93">AD497-AD498</f>
        <v>0</v>
      </c>
      <c r="AE499" s="6">
        <f t="shared" ref="AE499" si="94">AE497-AE498</f>
        <v>2183.4295730000049</v>
      </c>
      <c r="AF499" s="6">
        <f t="shared" ref="AF499" si="95">AF497-AF498</f>
        <v>-1605.7966949000024</v>
      </c>
    </row>
    <row r="500" spans="2:32">
      <c r="B500" s="56"/>
      <c r="C500" s="56"/>
      <c r="D500" s="56"/>
      <c r="E500" s="56"/>
      <c r="F500" s="57"/>
      <c r="N500" s="58"/>
      <c r="V500" s="6">
        <f>3357.35</f>
        <v>3357.35</v>
      </c>
    </row>
    <row r="501" spans="2:32">
      <c r="B501" s="56"/>
      <c r="C501" s="56"/>
      <c r="D501" s="56"/>
      <c r="E501" s="56"/>
      <c r="F501" s="57"/>
      <c r="R501" s="5"/>
      <c r="S501" s="5"/>
      <c r="T501" s="5"/>
      <c r="U501" s="5"/>
      <c r="V501" s="5">
        <f>V500-V497</f>
        <v>136.80352520894075</v>
      </c>
      <c r="W501" s="98"/>
      <c r="X501" s="99"/>
      <c r="Y501" s="4"/>
      <c r="Z501" s="4"/>
      <c r="AA501" s="4"/>
      <c r="AB501" s="99"/>
      <c r="AC501" s="99"/>
      <c r="AD501" s="4"/>
      <c r="AE501" s="5"/>
      <c r="AF501" s="5"/>
    </row>
    <row r="502" spans="2:32">
      <c r="B502" s="56"/>
      <c r="C502" s="56"/>
      <c r="D502" s="56"/>
      <c r="E502" s="56"/>
      <c r="F502" s="57"/>
      <c r="R502" s="5"/>
      <c r="S502" s="5"/>
      <c r="T502" s="5"/>
      <c r="U502" s="5"/>
      <c r="V502" s="5"/>
      <c r="W502" s="100"/>
      <c r="X502" s="100"/>
      <c r="Y502" s="5"/>
      <c r="Z502" s="5"/>
      <c r="AA502" s="5"/>
      <c r="AB502" s="100"/>
      <c r="AC502" s="100"/>
      <c r="AD502" s="5"/>
      <c r="AE502" s="5"/>
      <c r="AF502" s="5"/>
    </row>
    <row r="503" spans="2:32">
      <c r="B503" s="56"/>
      <c r="C503" s="56"/>
      <c r="D503" s="56"/>
      <c r="E503" s="56"/>
      <c r="F503" s="57"/>
      <c r="N503" s="58"/>
    </row>
    <row r="504" spans="2:32" s="55" customFormat="1">
      <c r="B504" s="56"/>
      <c r="C504" s="56"/>
      <c r="D504" s="56"/>
      <c r="E504" s="56"/>
      <c r="F504" s="57"/>
      <c r="L504" s="100"/>
      <c r="M504" s="5"/>
      <c r="O504" s="100"/>
      <c r="P504" s="5"/>
      <c r="Q504" s="5"/>
      <c r="R504" s="6"/>
      <c r="S504" s="6"/>
      <c r="T504" s="6"/>
      <c r="U504" s="6"/>
      <c r="V504" s="6"/>
      <c r="W504" s="96"/>
      <c r="X504" s="96"/>
      <c r="Y504" s="6"/>
      <c r="Z504" s="6"/>
      <c r="AA504" s="6"/>
      <c r="AB504" s="96"/>
      <c r="AC504" s="96"/>
      <c r="AD504" s="6"/>
      <c r="AE504" s="6"/>
      <c r="AF504" s="6"/>
    </row>
    <row r="505" spans="2:32" s="55" customFormat="1" ht="28.8">
      <c r="B505" s="56"/>
      <c r="C505" s="56"/>
      <c r="D505" s="56"/>
      <c r="E505" s="56"/>
      <c r="F505" s="57"/>
      <c r="L505" s="100"/>
      <c r="M505" s="5"/>
      <c r="N505" s="58"/>
      <c r="O505" s="100"/>
      <c r="P505" s="5"/>
      <c r="Q505" s="5"/>
      <c r="R505" s="6"/>
      <c r="S505" s="24"/>
      <c r="T505" s="6"/>
      <c r="U505" s="6"/>
      <c r="V505" s="21" t="s">
        <v>1047</v>
      </c>
      <c r="W505" s="101"/>
      <c r="X505" s="101"/>
      <c r="Y505" s="21"/>
      <c r="Z505" s="21"/>
      <c r="AA505" s="21" t="s">
        <v>1048</v>
      </c>
      <c r="AB505" s="96"/>
      <c r="AC505" s="96"/>
      <c r="AD505" s="6"/>
      <c r="AE505" s="6"/>
      <c r="AF505" s="6"/>
    </row>
    <row r="506" spans="2:32" s="55" customFormat="1" ht="28.8">
      <c r="B506" s="56"/>
      <c r="C506" s="56"/>
      <c r="D506" s="56"/>
      <c r="E506" s="56"/>
      <c r="F506" s="57"/>
      <c r="L506" s="100"/>
      <c r="M506" s="5"/>
      <c r="O506" s="100"/>
      <c r="P506" s="5"/>
      <c r="Q506" s="5"/>
      <c r="R506" s="6"/>
      <c r="S506" s="24"/>
      <c r="T506" s="6"/>
      <c r="U506" s="6"/>
      <c r="V506" s="21" t="s">
        <v>1050</v>
      </c>
      <c r="W506" s="101"/>
      <c r="X506" s="101"/>
      <c r="Y506" s="21"/>
      <c r="Z506" s="21"/>
      <c r="AA506" s="21" t="s">
        <v>1049</v>
      </c>
      <c r="AB506" s="96"/>
      <c r="AC506" s="96"/>
      <c r="AD506" s="6"/>
      <c r="AE506" s="6"/>
      <c r="AF506" s="6"/>
    </row>
    <row r="507" spans="2:32" s="55" customFormat="1">
      <c r="B507" s="56"/>
      <c r="C507" s="56"/>
      <c r="D507" s="56"/>
      <c r="E507" s="56"/>
      <c r="F507" s="57"/>
      <c r="L507" s="100"/>
      <c r="M507" s="5"/>
      <c r="O507" s="100"/>
      <c r="P507" s="5"/>
      <c r="Q507" s="5"/>
      <c r="R507" s="6"/>
      <c r="S507" s="6"/>
      <c r="T507" s="6"/>
      <c r="U507" s="6"/>
      <c r="V507" s="19"/>
      <c r="W507" s="102"/>
      <c r="X507" s="102"/>
      <c r="Y507" s="20"/>
      <c r="Z507" s="20"/>
      <c r="AA507" s="19"/>
      <c r="AB507" s="96"/>
      <c r="AC507" s="96"/>
      <c r="AD507" s="6"/>
      <c r="AE507" s="6"/>
      <c r="AF507" s="6"/>
    </row>
    <row r="508" spans="2:32" s="55" customFormat="1">
      <c r="B508" s="56"/>
      <c r="C508" s="56"/>
      <c r="D508" s="56"/>
      <c r="E508" s="56"/>
      <c r="F508" s="57"/>
      <c r="L508" s="100"/>
      <c r="M508" s="5"/>
      <c r="O508" s="100"/>
      <c r="P508" s="5"/>
      <c r="Q508" s="5"/>
      <c r="R508" s="6"/>
      <c r="S508" s="6"/>
      <c r="T508" s="6"/>
      <c r="U508" s="6"/>
      <c r="V508" s="6"/>
      <c r="W508" s="96"/>
      <c r="X508" s="96"/>
      <c r="Y508" s="6"/>
      <c r="Z508" s="6"/>
      <c r="AA508" s="6"/>
      <c r="AB508" s="96"/>
      <c r="AC508" s="96"/>
      <c r="AD508" s="6"/>
      <c r="AE508" s="6"/>
      <c r="AF508" s="6"/>
    </row>
    <row r="509" spans="2:32" s="55" customFormat="1">
      <c r="B509" s="56"/>
      <c r="C509" s="56"/>
      <c r="D509" s="56"/>
      <c r="E509" s="56"/>
      <c r="F509" s="57"/>
      <c r="L509" s="100"/>
      <c r="M509" s="5"/>
      <c r="O509" s="100"/>
      <c r="P509" s="5"/>
      <c r="Q509" s="5"/>
      <c r="R509" s="6"/>
      <c r="S509" s="6"/>
      <c r="T509" s="6"/>
      <c r="U509" s="6"/>
      <c r="V509" s="6"/>
      <c r="W509" s="96"/>
      <c r="X509" s="96"/>
      <c r="Y509" s="6"/>
      <c r="Z509" s="6"/>
      <c r="AA509" s="6"/>
      <c r="AB509" s="96"/>
      <c r="AC509" s="96"/>
      <c r="AD509" s="6"/>
      <c r="AE509" s="6"/>
      <c r="AF509" s="6"/>
    </row>
    <row r="510" spans="2:32" s="55" customFormat="1">
      <c r="B510" s="56"/>
      <c r="C510" s="56"/>
      <c r="D510" s="56"/>
      <c r="E510" s="56"/>
      <c r="F510" s="57"/>
      <c r="L510" s="100"/>
      <c r="M510" s="5"/>
      <c r="O510" s="100"/>
      <c r="P510" s="5"/>
      <c r="Q510" s="5"/>
      <c r="R510" s="6"/>
      <c r="S510" s="6"/>
      <c r="T510" s="6"/>
      <c r="U510" s="6"/>
      <c r="V510" s="6"/>
      <c r="W510" s="96"/>
      <c r="X510" s="96"/>
      <c r="Y510" s="6"/>
      <c r="Z510" s="6"/>
      <c r="AA510" s="6"/>
      <c r="AB510" s="96"/>
      <c r="AC510" s="96"/>
      <c r="AD510" s="6"/>
      <c r="AE510" s="6"/>
      <c r="AF510" s="6"/>
    </row>
    <row r="511" spans="2:32" s="55" customFormat="1">
      <c r="B511" s="56"/>
      <c r="C511" s="56"/>
      <c r="D511" s="56"/>
      <c r="E511" s="56"/>
      <c r="F511" s="57"/>
      <c r="L511" s="100"/>
      <c r="M511" s="5"/>
      <c r="O511" s="100"/>
      <c r="P511" s="5"/>
      <c r="Q511" s="5"/>
      <c r="R511" s="6"/>
      <c r="S511" s="6"/>
      <c r="T511" s="6"/>
      <c r="U511" s="6"/>
      <c r="V511" s="6"/>
      <c r="W511" s="96"/>
      <c r="X511" s="96"/>
      <c r="Y511" s="6"/>
      <c r="Z511" s="6"/>
      <c r="AA511" s="6"/>
      <c r="AB511" s="96"/>
      <c r="AC511" s="96"/>
      <c r="AD511" s="6"/>
      <c r="AE511" s="6"/>
      <c r="AF511" s="6"/>
    </row>
  </sheetData>
  <autoFilter ref="A2:AF491" xr:uid="{34D823DB-D417-4BE4-A97A-5F38DEF56512}">
    <filterColumn colId="2">
      <filters blank="1">
        <filter val="-"/>
        <filter val="P2"/>
      </filters>
    </filterColumn>
  </autoFilter>
  <mergeCells count="96">
    <mergeCell ref="I195:M195"/>
    <mergeCell ref="A1:P1"/>
    <mergeCell ref="Q1:V1"/>
    <mergeCell ref="W1:AA1"/>
    <mergeCell ref="AB1:AF1"/>
    <mergeCell ref="I83:M83"/>
    <mergeCell ref="I189:M189"/>
    <mergeCell ref="I190:M190"/>
    <mergeCell ref="I191:M191"/>
    <mergeCell ref="I192:M192"/>
    <mergeCell ref="I193:M193"/>
    <mergeCell ref="I194:M194"/>
    <mergeCell ref="I207:M207"/>
    <mergeCell ref="I196:M196"/>
    <mergeCell ref="I197:M197"/>
    <mergeCell ref="I198:M198"/>
    <mergeCell ref="I199:M199"/>
    <mergeCell ref="I200:M200"/>
    <mergeCell ref="I201:M201"/>
    <mergeCell ref="I202:M202"/>
    <mergeCell ref="I203:M203"/>
    <mergeCell ref="I204:M204"/>
    <mergeCell ref="I205:M205"/>
    <mergeCell ref="I206:M206"/>
    <mergeCell ref="I219:M219"/>
    <mergeCell ref="I208:M208"/>
    <mergeCell ref="I209:M209"/>
    <mergeCell ref="I210:M210"/>
    <mergeCell ref="I211:M211"/>
    <mergeCell ref="I212:M212"/>
    <mergeCell ref="I213:M213"/>
    <mergeCell ref="I214:M214"/>
    <mergeCell ref="I215:M215"/>
    <mergeCell ref="I216:M216"/>
    <mergeCell ref="I217:M217"/>
    <mergeCell ref="I218:M218"/>
    <mergeCell ref="I231:M231"/>
    <mergeCell ref="I220:M220"/>
    <mergeCell ref="I221:M221"/>
    <mergeCell ref="I222:M222"/>
    <mergeCell ref="I223:M223"/>
    <mergeCell ref="I224:M224"/>
    <mergeCell ref="I225:M225"/>
    <mergeCell ref="I226:M226"/>
    <mergeCell ref="I227:M227"/>
    <mergeCell ref="I228:M228"/>
    <mergeCell ref="I229:M229"/>
    <mergeCell ref="I230:M230"/>
    <mergeCell ref="I243:M243"/>
    <mergeCell ref="I232:M232"/>
    <mergeCell ref="I233:M233"/>
    <mergeCell ref="I234:M234"/>
    <mergeCell ref="I235:M235"/>
    <mergeCell ref="I236:M236"/>
    <mergeCell ref="I237:M237"/>
    <mergeCell ref="I238:M238"/>
    <mergeCell ref="I239:M239"/>
    <mergeCell ref="I240:M240"/>
    <mergeCell ref="I241:M241"/>
    <mergeCell ref="I242:M242"/>
    <mergeCell ref="I255:M255"/>
    <mergeCell ref="I244:M244"/>
    <mergeCell ref="I245:M245"/>
    <mergeCell ref="I246:M246"/>
    <mergeCell ref="I247:M247"/>
    <mergeCell ref="I248:M248"/>
    <mergeCell ref="I249:M249"/>
    <mergeCell ref="I250:M250"/>
    <mergeCell ref="I251:M251"/>
    <mergeCell ref="I252:M252"/>
    <mergeCell ref="I253:M253"/>
    <mergeCell ref="I254:M254"/>
    <mergeCell ref="I267:M267"/>
    <mergeCell ref="I256:M256"/>
    <mergeCell ref="I257:M257"/>
    <mergeCell ref="I258:M258"/>
    <mergeCell ref="I259:M259"/>
    <mergeCell ref="I260:M260"/>
    <mergeCell ref="I261:M261"/>
    <mergeCell ref="I262:M262"/>
    <mergeCell ref="I263:M263"/>
    <mergeCell ref="I264:M264"/>
    <mergeCell ref="I265:M265"/>
    <mergeCell ref="I266:M266"/>
    <mergeCell ref="I396:M396"/>
    <mergeCell ref="I268:M268"/>
    <mergeCell ref="I269:M269"/>
    <mergeCell ref="I270:M270"/>
    <mergeCell ref="I271:M271"/>
    <mergeCell ref="I272:M272"/>
    <mergeCell ref="I273:M273"/>
    <mergeCell ref="I274:M274"/>
    <mergeCell ref="I275:M275"/>
    <mergeCell ref="I276:M276"/>
    <mergeCell ref="I277:M277"/>
    <mergeCell ref="I278:M278"/>
  </mergeCells>
  <printOptions horizontalCentered="1"/>
  <pageMargins left="0.19685039370078741" right="0.19685039370078741" top="0.19685039370078741" bottom="0.19685039370078741" header="0" footer="0"/>
  <pageSetup paperSize="5"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BDDB-49FF-4261-8EC6-6102652393D0}">
  <dimension ref="A1:F13"/>
  <sheetViews>
    <sheetView zoomScaleNormal="100" workbookViewId="0">
      <selection activeCell="C6" sqref="C6"/>
    </sheetView>
  </sheetViews>
  <sheetFormatPr defaultColWidth="8.88671875" defaultRowHeight="15.6"/>
  <cols>
    <col min="1" max="1" width="4.6640625" style="8" bestFit="1" customWidth="1"/>
    <col min="2" max="2" width="55.88671875" style="7" customWidth="1"/>
    <col min="3" max="6" width="17.88671875" style="7" customWidth="1"/>
    <col min="7" max="16384" width="8.88671875" style="7"/>
  </cols>
  <sheetData>
    <row r="1" spans="1:6" ht="18">
      <c r="A1" s="178" t="s">
        <v>1011</v>
      </c>
      <c r="B1" s="178"/>
      <c r="C1" s="178"/>
      <c r="D1" s="178"/>
      <c r="E1" s="178"/>
      <c r="F1" s="178"/>
    </row>
    <row r="3" spans="1:6" s="10" customFormat="1" ht="31.2">
      <c r="A3" s="11" t="s">
        <v>3</v>
      </c>
      <c r="B3" s="12" t="s">
        <v>1012</v>
      </c>
      <c r="C3" s="179" t="s">
        <v>2</v>
      </c>
      <c r="D3" s="179"/>
      <c r="E3" s="179" t="s">
        <v>1475</v>
      </c>
      <c r="F3" s="179"/>
    </row>
    <row r="4" spans="1:6" s="10" customFormat="1">
      <c r="A4" s="11"/>
      <c r="B4" s="12"/>
      <c r="C4" s="1" t="s">
        <v>1547</v>
      </c>
      <c r="D4" s="1" t="s">
        <v>1548</v>
      </c>
      <c r="E4" s="1" t="s">
        <v>1547</v>
      </c>
      <c r="F4" s="1" t="s">
        <v>1548</v>
      </c>
    </row>
    <row r="5" spans="1:6">
      <c r="A5" s="13">
        <v>1</v>
      </c>
      <c r="B5" s="14" t="s">
        <v>1014</v>
      </c>
      <c r="C5" s="18">
        <f>'Capex &amp; Capitalization_P1'!W59</f>
        <v>689.99500237500001</v>
      </c>
      <c r="D5" s="18">
        <f>'Capex &amp; Capitalization_P1'!X59</f>
        <v>1391.7675514459381</v>
      </c>
      <c r="E5" s="18">
        <f>'Capex &amp; Capitalization_P1'!AB59</f>
        <v>406.99869082499998</v>
      </c>
      <c r="F5" s="16">
        <f>'Capex &amp; Capitalization_P1'!AC59</f>
        <v>902.82698379900012</v>
      </c>
    </row>
    <row r="6" spans="1:6">
      <c r="A6" s="13">
        <f>A5+1</f>
        <v>2</v>
      </c>
      <c r="B6" s="14" t="s">
        <v>1015</v>
      </c>
      <c r="C6" s="16">
        <f>'Capex &amp; Capitalization_P2'!W55</f>
        <v>557.69327199999998</v>
      </c>
      <c r="D6" s="16">
        <f>'Capex &amp; Capitalization_P2'!X55</f>
        <v>1678.7498326741279</v>
      </c>
      <c r="E6" s="16">
        <f>'Capex &amp; Capitalization_P2'!AB55</f>
        <v>238.1731006</v>
      </c>
      <c r="F6" s="16">
        <f>'Capex &amp; Capitalization_P2'!AC55</f>
        <v>510.65</v>
      </c>
    </row>
    <row r="7" spans="1:6" s="9" customFormat="1">
      <c r="A7" s="12">
        <f>A6+1</f>
        <v>3</v>
      </c>
      <c r="B7" s="15" t="s">
        <v>1013</v>
      </c>
      <c r="C7" s="17">
        <f>SUM(C5:C6)</f>
        <v>1247.688274375</v>
      </c>
      <c r="D7" s="17">
        <f t="shared" ref="D7:F7" si="0">SUM(D5:D6)</f>
        <v>3070.5173841200658</v>
      </c>
      <c r="E7" s="17">
        <f t="shared" si="0"/>
        <v>645.17179142500004</v>
      </c>
      <c r="F7" s="17">
        <f t="shared" si="0"/>
        <v>1413.4769837990002</v>
      </c>
    </row>
    <row r="9" spans="1:6">
      <c r="C9" s="166">
        <f>'Capex &amp; Capitalization_Final'!W494</f>
        <v>1247.688274375</v>
      </c>
      <c r="D9" s="166">
        <f>'Capex &amp; Capitalization_Final'!X494</f>
        <v>3070.5173841200658</v>
      </c>
      <c r="E9" s="166">
        <f>'Capex &amp; Capitalization_Final'!AB494</f>
        <v>645.17179142500015</v>
      </c>
      <c r="F9" s="166">
        <f>'Capex &amp; Capitalization_Final'!AC494</f>
        <v>1413.4769837989998</v>
      </c>
    </row>
    <row r="10" spans="1:6">
      <c r="C10" s="166">
        <f t="shared" ref="C10:E10" si="1">C7-C9</f>
        <v>0</v>
      </c>
      <c r="D10" s="166">
        <f t="shared" si="1"/>
        <v>0</v>
      </c>
      <c r="E10" s="166">
        <f t="shared" si="1"/>
        <v>0</v>
      </c>
      <c r="F10" s="166">
        <f>F7-F9</f>
        <v>0</v>
      </c>
    </row>
    <row r="13" spans="1:6">
      <c r="D13" s="166"/>
    </row>
  </sheetData>
  <mergeCells count="3">
    <mergeCell ref="A1:F1"/>
    <mergeCell ref="C3:D3"/>
    <mergeCell ref="E3:F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1079-F333-4004-B06E-F0ECA2F22A8D}">
  <dimension ref="A1:AF73"/>
  <sheetViews>
    <sheetView view="pageBreakPreview" zoomScale="90" zoomScaleNormal="80" zoomScaleSheetLayoutView="90" workbookViewId="0">
      <pane ySplit="2" topLeftCell="A15" activePane="bottomLeft" state="frozen"/>
      <selection activeCell="Q3" sqref="Q3"/>
      <selection pane="bottomLeft" activeCell="C17" sqref="C17"/>
    </sheetView>
  </sheetViews>
  <sheetFormatPr defaultColWidth="8.88671875" defaultRowHeight="15.6"/>
  <cols>
    <col min="1" max="1" width="9.109375" style="55" customWidth="1"/>
    <col min="2" max="2" width="21.6640625" style="55" customWidth="1"/>
    <col min="3" max="3" width="13.109375" style="55" customWidth="1"/>
    <col min="4" max="4" width="14" style="55" customWidth="1"/>
    <col min="5" max="5" width="17" style="55" customWidth="1"/>
    <col min="6" max="6" width="55.5546875" style="61" customWidth="1"/>
    <col min="7" max="7" width="22.44140625" style="55" customWidth="1"/>
    <col min="8" max="8" width="12.6640625" style="55" customWidth="1"/>
    <col min="9" max="9" width="12.5546875" style="55" customWidth="1"/>
    <col min="10" max="10" width="12.33203125" style="55" customWidth="1"/>
    <col min="11" max="11" width="15" style="55" customWidth="1"/>
    <col min="12" max="12" width="11.44140625" style="5" customWidth="1"/>
    <col min="13" max="13" width="12.109375" style="5" customWidth="1"/>
    <col min="14" max="14" width="13" style="55" customWidth="1"/>
    <col min="15" max="15" width="12.88671875" style="5" customWidth="1"/>
    <col min="16" max="16" width="13" style="5" customWidth="1"/>
    <col min="17" max="17" width="13.44140625" style="5" customWidth="1"/>
    <col min="18" max="32" width="13.44140625" style="6" customWidth="1"/>
    <col min="33" max="16384" width="8.88671875" style="30"/>
  </cols>
  <sheetData>
    <row r="1" spans="1:32" s="47" customFormat="1" ht="18">
      <c r="A1" s="168" t="s">
        <v>0</v>
      </c>
      <c r="B1" s="169"/>
      <c r="C1" s="169"/>
      <c r="D1" s="169"/>
      <c r="E1" s="169"/>
      <c r="F1" s="169"/>
      <c r="G1" s="169"/>
      <c r="H1" s="169"/>
      <c r="I1" s="169"/>
      <c r="J1" s="169"/>
      <c r="K1" s="169"/>
      <c r="L1" s="169"/>
      <c r="M1" s="169"/>
      <c r="N1" s="169"/>
      <c r="O1" s="169"/>
      <c r="P1" s="170"/>
      <c r="Q1" s="171" t="s">
        <v>1</v>
      </c>
      <c r="R1" s="172"/>
      <c r="S1" s="172"/>
      <c r="T1" s="172"/>
      <c r="U1" s="172"/>
      <c r="V1" s="172"/>
      <c r="W1" s="171" t="s">
        <v>2</v>
      </c>
      <c r="X1" s="172"/>
      <c r="Y1" s="172"/>
      <c r="Z1" s="172"/>
      <c r="AA1" s="172"/>
      <c r="AB1" s="171" t="s">
        <v>1475</v>
      </c>
      <c r="AC1" s="172"/>
      <c r="AD1" s="172"/>
      <c r="AE1" s="172"/>
      <c r="AF1" s="172"/>
    </row>
    <row r="2" spans="1:32" s="49" customFormat="1" ht="62.4">
      <c r="A2" s="48" t="s">
        <v>3</v>
      </c>
      <c r="B2" s="48" t="s">
        <v>4</v>
      </c>
      <c r="C2" s="48" t="s">
        <v>1476</v>
      </c>
      <c r="D2" s="48" t="s">
        <v>875</v>
      </c>
      <c r="E2" s="48" t="s">
        <v>1055</v>
      </c>
      <c r="F2" s="62" t="s">
        <v>5</v>
      </c>
      <c r="G2" s="48" t="s">
        <v>6</v>
      </c>
      <c r="H2" s="48" t="s">
        <v>7</v>
      </c>
      <c r="I2" s="48" t="s">
        <v>8</v>
      </c>
      <c r="J2" s="48" t="s">
        <v>9</v>
      </c>
      <c r="K2" s="48" t="s">
        <v>10</v>
      </c>
      <c r="L2" s="2" t="s">
        <v>11</v>
      </c>
      <c r="M2" s="2" t="s">
        <v>12</v>
      </c>
      <c r="N2" s="48" t="s">
        <v>13</v>
      </c>
      <c r="O2" s="2" t="s">
        <v>14</v>
      </c>
      <c r="P2" s="2" t="s">
        <v>15</v>
      </c>
      <c r="Q2" s="2" t="s">
        <v>1546</v>
      </c>
      <c r="R2" s="2" t="s">
        <v>16</v>
      </c>
      <c r="S2" s="2" t="s">
        <v>17</v>
      </c>
      <c r="T2" s="2" t="s">
        <v>18</v>
      </c>
      <c r="U2" s="2" t="s">
        <v>19</v>
      </c>
      <c r="V2" s="2" t="s">
        <v>20</v>
      </c>
      <c r="W2" s="2" t="s">
        <v>21</v>
      </c>
      <c r="X2" s="2" t="s">
        <v>22</v>
      </c>
      <c r="Y2" s="2" t="s">
        <v>23</v>
      </c>
      <c r="Z2" s="2" t="s">
        <v>24</v>
      </c>
      <c r="AA2" s="2" t="s">
        <v>25</v>
      </c>
      <c r="AB2" s="2" t="s">
        <v>1478</v>
      </c>
      <c r="AC2" s="2" t="s">
        <v>1479</v>
      </c>
      <c r="AD2" s="2" t="s">
        <v>1480</v>
      </c>
      <c r="AE2" s="2" t="s">
        <v>1481</v>
      </c>
      <c r="AF2" s="2" t="s">
        <v>1482</v>
      </c>
    </row>
    <row r="3" spans="1:32" ht="46.8">
      <c r="A3" s="41">
        <v>1</v>
      </c>
      <c r="B3" s="42" t="s">
        <v>156</v>
      </c>
      <c r="C3" s="42" t="s">
        <v>1002</v>
      </c>
      <c r="D3" s="34" t="s">
        <v>1017</v>
      </c>
      <c r="E3" s="41" t="s">
        <v>1126</v>
      </c>
      <c r="F3" s="43" t="s">
        <v>157</v>
      </c>
      <c r="G3" s="41" t="s">
        <v>28</v>
      </c>
      <c r="H3" s="41"/>
      <c r="I3" s="41"/>
      <c r="J3" s="41"/>
      <c r="K3" s="41"/>
      <c r="L3" s="41"/>
      <c r="M3" s="71">
        <v>1370.02</v>
      </c>
      <c r="N3" s="41" t="s">
        <v>29</v>
      </c>
      <c r="O3" s="65">
        <v>9.84</v>
      </c>
      <c r="P3" s="66">
        <v>10.4</v>
      </c>
      <c r="Q3" s="3">
        <v>0</v>
      </c>
      <c r="R3" s="3"/>
      <c r="S3" s="3"/>
      <c r="T3" s="3"/>
      <c r="U3" s="67">
        <f t="shared" ref="U3:U4" si="0">P3+S3+T3</f>
        <v>10.4</v>
      </c>
      <c r="V3" s="67">
        <f t="shared" ref="V3:V4" si="1">Q3+R3-S3-T3</f>
        <v>0</v>
      </c>
      <c r="W3" s="154">
        <v>0.2395398</v>
      </c>
      <c r="X3" s="3"/>
      <c r="Y3" s="3"/>
      <c r="Z3" s="67">
        <f t="shared" ref="Z3:Z4" si="2">U3+X3+Y3</f>
        <v>10.4</v>
      </c>
      <c r="AA3" s="67">
        <f t="shared" ref="AA3:AA4" si="3">V3+W3-X3-Y3</f>
        <v>0.2395398</v>
      </c>
      <c r="AB3" s="3"/>
      <c r="AC3" s="3"/>
      <c r="AD3" s="3"/>
      <c r="AE3" s="67">
        <f t="shared" ref="AE3:AE4" si="4">Z3+AC3+AD3</f>
        <v>10.4</v>
      </c>
      <c r="AF3" s="67">
        <f t="shared" ref="AF3:AF4" si="5">AA3+AB3-AC3-AD3</f>
        <v>0.2395398</v>
      </c>
    </row>
    <row r="4" spans="1:32" ht="46.8">
      <c r="A4" s="41">
        <f>A3+1</f>
        <v>2</v>
      </c>
      <c r="B4" s="42" t="s">
        <v>200</v>
      </c>
      <c r="C4" s="42" t="s">
        <v>1002</v>
      </c>
      <c r="D4" s="42" t="s">
        <v>1017</v>
      </c>
      <c r="E4" s="41" t="s">
        <v>1150</v>
      </c>
      <c r="F4" s="43" t="s">
        <v>201</v>
      </c>
      <c r="G4" s="41" t="s">
        <v>28</v>
      </c>
      <c r="H4" s="41">
        <v>2</v>
      </c>
      <c r="I4" s="41" t="s">
        <v>202</v>
      </c>
      <c r="J4" s="41" t="s">
        <v>202</v>
      </c>
      <c r="K4" s="41" t="s">
        <v>203</v>
      </c>
      <c r="L4" s="41">
        <v>33.49</v>
      </c>
      <c r="M4" s="41"/>
      <c r="N4" s="41" t="s">
        <v>29</v>
      </c>
      <c r="O4" s="65">
        <v>35.369999999999997</v>
      </c>
      <c r="P4" s="3">
        <v>0</v>
      </c>
      <c r="Q4" s="66">
        <v>36.49</v>
      </c>
      <c r="R4" s="3"/>
      <c r="S4" s="3"/>
      <c r="T4" s="3"/>
      <c r="U4" s="67">
        <f t="shared" si="0"/>
        <v>0</v>
      </c>
      <c r="V4" s="67">
        <f t="shared" si="1"/>
        <v>36.49</v>
      </c>
      <c r="W4" s="154">
        <f>0.1433447+0.0623836+0.0381047+0.1245718</f>
        <v>0.36840479999999998</v>
      </c>
      <c r="X4" s="3"/>
      <c r="Y4" s="3"/>
      <c r="Z4" s="67">
        <f t="shared" si="2"/>
        <v>0</v>
      </c>
      <c r="AA4" s="67">
        <f t="shared" si="3"/>
        <v>36.858404800000002</v>
      </c>
      <c r="AB4" s="3"/>
      <c r="AC4" s="3"/>
      <c r="AD4" s="3"/>
      <c r="AE4" s="67">
        <f t="shared" si="4"/>
        <v>0</v>
      </c>
      <c r="AF4" s="67">
        <f t="shared" si="5"/>
        <v>36.858404800000002</v>
      </c>
    </row>
    <row r="5" spans="1:32" ht="46.8">
      <c r="A5" s="41">
        <f t="shared" ref="A5:A53" si="6">A4+1</f>
        <v>3</v>
      </c>
      <c r="B5" s="34" t="s">
        <v>786</v>
      </c>
      <c r="C5" s="34" t="s">
        <v>1002</v>
      </c>
      <c r="D5" s="34" t="s">
        <v>1019</v>
      </c>
      <c r="E5" s="41" t="s">
        <v>1328</v>
      </c>
      <c r="F5" s="43" t="s">
        <v>441</v>
      </c>
      <c r="G5" s="41" t="s">
        <v>28</v>
      </c>
      <c r="H5" s="41">
        <v>18</v>
      </c>
      <c r="I5" s="64">
        <v>43486</v>
      </c>
      <c r="J5" s="64">
        <v>43486</v>
      </c>
      <c r="K5" s="41" t="s">
        <v>440</v>
      </c>
      <c r="L5" s="65">
        <v>84.23</v>
      </c>
      <c r="M5" s="65">
        <v>93.49</v>
      </c>
      <c r="N5" s="41" t="s">
        <v>32</v>
      </c>
      <c r="O5" s="65">
        <v>83.69</v>
      </c>
      <c r="P5" s="3">
        <v>0</v>
      </c>
      <c r="Q5" s="66">
        <v>54.008905099999993</v>
      </c>
      <c r="R5" s="25">
        <v>18.217919200000001</v>
      </c>
      <c r="S5" s="3"/>
      <c r="T5" s="3"/>
      <c r="U5" s="67">
        <f t="shared" ref="U5:U24" si="7">P5+S5+T5</f>
        <v>0</v>
      </c>
      <c r="V5" s="67">
        <f t="shared" ref="V5:V24" si="8">Q5+R5-S5-T5</f>
        <v>72.22682429999999</v>
      </c>
      <c r="W5" s="154">
        <f>0.7219351+0.4114009+0.1211017+0.3740235+1.0688602+(O5-V5)</f>
        <v>14.160497100000008</v>
      </c>
      <c r="X5" s="3">
        <f>V5+W5</f>
        <v>86.38732139999999</v>
      </c>
      <c r="Y5" s="3"/>
      <c r="Z5" s="67">
        <f t="shared" ref="Z5:Z24" si="9">U5+X5+Y5</f>
        <v>86.38732139999999</v>
      </c>
      <c r="AA5" s="67">
        <f t="shared" ref="AA5:AA24" si="10">V5+W5-X5-Y5</f>
        <v>0</v>
      </c>
      <c r="AB5" s="3"/>
      <c r="AC5" s="3"/>
      <c r="AD5" s="3"/>
      <c r="AE5" s="67">
        <f t="shared" ref="AE5:AE24" si="11">Z5+AC5+AD5</f>
        <v>86.38732139999999</v>
      </c>
      <c r="AF5" s="67">
        <f t="shared" ref="AF5:AF24" si="12">AA5+AB5-AC5-AD5</f>
        <v>0</v>
      </c>
    </row>
    <row r="6" spans="1:32" ht="62.4">
      <c r="A6" s="41">
        <f t="shared" si="6"/>
        <v>4</v>
      </c>
      <c r="B6" s="34" t="s">
        <v>805</v>
      </c>
      <c r="C6" s="34" t="s">
        <v>1002</v>
      </c>
      <c r="D6" s="34" t="s">
        <v>1019</v>
      </c>
      <c r="E6" s="41" t="s">
        <v>1336</v>
      </c>
      <c r="F6" s="43" t="s">
        <v>449</v>
      </c>
      <c r="G6" s="41" t="s">
        <v>28</v>
      </c>
      <c r="H6" s="41">
        <v>6</v>
      </c>
      <c r="I6" s="64" t="s">
        <v>450</v>
      </c>
      <c r="J6" s="64" t="s">
        <v>450</v>
      </c>
      <c r="K6" s="41" t="s">
        <v>451</v>
      </c>
      <c r="L6" s="65">
        <v>15.6</v>
      </c>
      <c r="M6" s="65">
        <v>17.93</v>
      </c>
      <c r="N6" s="41" t="s">
        <v>32</v>
      </c>
      <c r="O6" s="65">
        <v>6.72</v>
      </c>
      <c r="P6" s="3">
        <v>0</v>
      </c>
      <c r="Q6" s="66">
        <v>3.1800405999999999</v>
      </c>
      <c r="R6" s="25">
        <v>0.35268060000000001</v>
      </c>
      <c r="S6" s="3"/>
      <c r="T6" s="3"/>
      <c r="U6" s="67">
        <f t="shared" si="7"/>
        <v>0</v>
      </c>
      <c r="V6" s="67">
        <f t="shared" si="8"/>
        <v>3.5327212000000001</v>
      </c>
      <c r="W6" s="3">
        <f>O6-V6</f>
        <v>3.1872787999999996</v>
      </c>
      <c r="X6" s="3">
        <f>V6+W6</f>
        <v>6.72</v>
      </c>
      <c r="Y6" s="3"/>
      <c r="Z6" s="67">
        <f t="shared" si="9"/>
        <v>6.72</v>
      </c>
      <c r="AA6" s="67">
        <f t="shared" si="10"/>
        <v>0</v>
      </c>
      <c r="AB6" s="3"/>
      <c r="AC6" s="3"/>
      <c r="AD6" s="3"/>
      <c r="AE6" s="67">
        <f t="shared" si="11"/>
        <v>6.72</v>
      </c>
      <c r="AF6" s="67">
        <f t="shared" si="12"/>
        <v>0</v>
      </c>
    </row>
    <row r="7" spans="1:32" ht="78">
      <c r="A7" s="41">
        <f t="shared" si="6"/>
        <v>5</v>
      </c>
      <c r="B7" s="34" t="s">
        <v>802</v>
      </c>
      <c r="C7" s="34" t="s">
        <v>1002</v>
      </c>
      <c r="D7" s="34" t="s">
        <v>1019</v>
      </c>
      <c r="E7" s="41" t="s">
        <v>1338</v>
      </c>
      <c r="F7" s="43" t="s">
        <v>453</v>
      </c>
      <c r="G7" s="41" t="s">
        <v>28</v>
      </c>
      <c r="H7" s="41"/>
      <c r="I7" s="64">
        <v>43486</v>
      </c>
      <c r="J7" s="64">
        <v>43486</v>
      </c>
      <c r="K7" s="41" t="s">
        <v>454</v>
      </c>
      <c r="L7" s="65">
        <v>87.63</v>
      </c>
      <c r="M7" s="65">
        <v>103.6</v>
      </c>
      <c r="N7" s="41" t="s">
        <v>32</v>
      </c>
      <c r="O7" s="65">
        <v>75.760000000000005</v>
      </c>
      <c r="P7" s="3">
        <v>0</v>
      </c>
      <c r="Q7" s="66">
        <v>65.503926300000003</v>
      </c>
      <c r="R7" s="25">
        <v>3.1727332000000001</v>
      </c>
      <c r="S7" s="3"/>
      <c r="T7" s="3"/>
      <c r="U7" s="67">
        <f t="shared" si="7"/>
        <v>0</v>
      </c>
      <c r="V7" s="67">
        <f t="shared" si="8"/>
        <v>68.6766595</v>
      </c>
      <c r="W7" s="154">
        <v>18.953340499999996</v>
      </c>
      <c r="X7" s="3">
        <f>V7+W7</f>
        <v>87.63</v>
      </c>
      <c r="Y7" s="3"/>
      <c r="Z7" s="67">
        <f t="shared" si="9"/>
        <v>87.63</v>
      </c>
      <c r="AA7" s="67">
        <f t="shared" si="10"/>
        <v>0</v>
      </c>
      <c r="AB7" s="3"/>
      <c r="AC7" s="3"/>
      <c r="AD7" s="3"/>
      <c r="AE7" s="67">
        <f t="shared" si="11"/>
        <v>87.63</v>
      </c>
      <c r="AF7" s="67">
        <f t="shared" si="12"/>
        <v>0</v>
      </c>
    </row>
    <row r="8" spans="1:32" ht="187.2">
      <c r="A8" s="41">
        <f t="shared" si="6"/>
        <v>6</v>
      </c>
      <c r="B8" s="34" t="s">
        <v>790</v>
      </c>
      <c r="C8" s="34" t="s">
        <v>1002</v>
      </c>
      <c r="D8" s="41" t="s">
        <v>1019</v>
      </c>
      <c r="E8" s="41" t="s">
        <v>1339</v>
      </c>
      <c r="F8" s="43" t="s">
        <v>455</v>
      </c>
      <c r="G8" s="41" t="s">
        <v>28</v>
      </c>
      <c r="H8" s="41"/>
      <c r="I8" s="64">
        <v>43486</v>
      </c>
      <c r="J8" s="64">
        <v>43486</v>
      </c>
      <c r="K8" s="41" t="s">
        <v>456</v>
      </c>
      <c r="L8" s="65">
        <v>103.14</v>
      </c>
      <c r="M8" s="65">
        <v>103.14</v>
      </c>
      <c r="N8" s="41" t="s">
        <v>32</v>
      </c>
      <c r="O8" s="65">
        <v>79.28</v>
      </c>
      <c r="P8" s="3">
        <v>0</v>
      </c>
      <c r="Q8" s="66">
        <v>77.438562300000001</v>
      </c>
      <c r="R8" s="25">
        <v>0.43812649999999997</v>
      </c>
      <c r="S8" s="3">
        <f>13.8124093+43.8371056+0.0911362+0.3469903+7.99149843215205</f>
        <v>66.079139832152052</v>
      </c>
      <c r="T8" s="3"/>
      <c r="U8" s="67">
        <f t="shared" si="7"/>
        <v>66.079139832152052</v>
      </c>
      <c r="V8" s="67">
        <f t="shared" si="8"/>
        <v>11.797548967847945</v>
      </c>
      <c r="W8" s="154">
        <f>O8-U8-V8</f>
        <v>1.4033112000000045</v>
      </c>
      <c r="X8" s="3">
        <f t="shared" ref="X8:X12" si="13">V8+W8</f>
        <v>13.200860167847949</v>
      </c>
      <c r="Y8" s="3"/>
      <c r="Z8" s="67">
        <f t="shared" si="9"/>
        <v>79.28</v>
      </c>
      <c r="AA8" s="67">
        <f t="shared" si="10"/>
        <v>0</v>
      </c>
      <c r="AB8" s="3"/>
      <c r="AC8" s="3"/>
      <c r="AD8" s="3"/>
      <c r="AE8" s="67">
        <f t="shared" si="11"/>
        <v>79.28</v>
      </c>
      <c r="AF8" s="67">
        <f t="shared" si="12"/>
        <v>0</v>
      </c>
    </row>
    <row r="9" spans="1:32" ht="93.6">
      <c r="A9" s="41">
        <f t="shared" si="6"/>
        <v>7</v>
      </c>
      <c r="B9" s="34" t="s">
        <v>780</v>
      </c>
      <c r="C9" s="34" t="s">
        <v>1002</v>
      </c>
      <c r="D9" s="34" t="s">
        <v>1017</v>
      </c>
      <c r="E9" s="41" t="s">
        <v>1340</v>
      </c>
      <c r="F9" s="43" t="s">
        <v>457</v>
      </c>
      <c r="G9" s="41" t="s">
        <v>28</v>
      </c>
      <c r="H9" s="41">
        <v>1</v>
      </c>
      <c r="I9" s="64" t="s">
        <v>458</v>
      </c>
      <c r="J9" s="64" t="s">
        <v>458</v>
      </c>
      <c r="K9" s="64" t="s">
        <v>459</v>
      </c>
      <c r="L9" s="65">
        <v>68.11</v>
      </c>
      <c r="M9" s="65">
        <v>81.349999999999994</v>
      </c>
      <c r="N9" s="41" t="s">
        <v>32</v>
      </c>
      <c r="O9" s="65">
        <v>68.11</v>
      </c>
      <c r="P9" s="66">
        <v>0.37</v>
      </c>
      <c r="Q9" s="66">
        <v>55.869424799999997</v>
      </c>
      <c r="R9" s="69"/>
      <c r="S9" s="3"/>
      <c r="T9" s="3"/>
      <c r="U9" s="67">
        <f t="shared" si="7"/>
        <v>0.37</v>
      </c>
      <c r="V9" s="67">
        <f t="shared" si="8"/>
        <v>55.869424799999997</v>
      </c>
      <c r="W9" s="3">
        <f>O9-V9-U9</f>
        <v>11.870575200000003</v>
      </c>
      <c r="X9" s="3">
        <f t="shared" si="13"/>
        <v>67.739999999999995</v>
      </c>
      <c r="Y9" s="3"/>
      <c r="Z9" s="67">
        <f t="shared" si="9"/>
        <v>68.11</v>
      </c>
      <c r="AA9" s="67">
        <f t="shared" si="10"/>
        <v>0</v>
      </c>
      <c r="AB9" s="3"/>
      <c r="AC9" s="3"/>
      <c r="AD9" s="3"/>
      <c r="AE9" s="67">
        <f t="shared" si="11"/>
        <v>68.11</v>
      </c>
      <c r="AF9" s="67">
        <f t="shared" si="12"/>
        <v>0</v>
      </c>
    </row>
    <row r="10" spans="1:32" ht="62.4">
      <c r="A10" s="41">
        <f t="shared" si="6"/>
        <v>8</v>
      </c>
      <c r="B10" s="34" t="s">
        <v>791</v>
      </c>
      <c r="C10" s="34" t="s">
        <v>1002</v>
      </c>
      <c r="D10" s="34" t="s">
        <v>1019</v>
      </c>
      <c r="E10" s="41" t="s">
        <v>1341</v>
      </c>
      <c r="F10" s="43" t="s">
        <v>460</v>
      </c>
      <c r="G10" s="41" t="s">
        <v>28</v>
      </c>
      <c r="H10" s="41">
        <v>7</v>
      </c>
      <c r="I10" s="64">
        <v>43486</v>
      </c>
      <c r="J10" s="64">
        <v>43486</v>
      </c>
      <c r="K10" s="41" t="s">
        <v>454</v>
      </c>
      <c r="L10" s="65">
        <v>85.43</v>
      </c>
      <c r="M10" s="65">
        <v>84.93</v>
      </c>
      <c r="N10" s="41" t="s">
        <v>32</v>
      </c>
      <c r="O10" s="65">
        <v>101.56</v>
      </c>
      <c r="P10" s="3">
        <v>0</v>
      </c>
      <c r="Q10" s="66">
        <v>95.195323099999996</v>
      </c>
      <c r="R10" s="25">
        <v>6.3411413000000003</v>
      </c>
      <c r="S10" s="3">
        <f>8.2807689+17.3675714+21.9305955+5.02818078148375</f>
        <v>52.607116581483744</v>
      </c>
      <c r="T10" s="3"/>
      <c r="U10" s="67">
        <f t="shared" si="7"/>
        <v>52.607116581483744</v>
      </c>
      <c r="V10" s="67">
        <f t="shared" si="8"/>
        <v>48.929347818516256</v>
      </c>
      <c r="W10" s="3">
        <f>0.0085724+0.7969538</f>
        <v>0.80552620000000008</v>
      </c>
      <c r="X10" s="3">
        <f t="shared" si="13"/>
        <v>49.734874018516258</v>
      </c>
      <c r="Y10" s="3"/>
      <c r="Z10" s="67">
        <f t="shared" si="9"/>
        <v>102.3419906</v>
      </c>
      <c r="AA10" s="67">
        <f t="shared" si="10"/>
        <v>0</v>
      </c>
      <c r="AB10" s="3"/>
      <c r="AC10" s="3"/>
      <c r="AD10" s="3"/>
      <c r="AE10" s="67">
        <f t="shared" si="11"/>
        <v>102.3419906</v>
      </c>
      <c r="AF10" s="67">
        <f t="shared" si="12"/>
        <v>0</v>
      </c>
    </row>
    <row r="11" spans="1:32" ht="93.6">
      <c r="A11" s="41">
        <f t="shared" si="6"/>
        <v>9</v>
      </c>
      <c r="B11" s="34" t="s">
        <v>793</v>
      </c>
      <c r="C11" s="34" t="s">
        <v>1002</v>
      </c>
      <c r="D11" s="41" t="s">
        <v>1019</v>
      </c>
      <c r="E11" s="41" t="s">
        <v>1342</v>
      </c>
      <c r="F11" s="43" t="s">
        <v>461</v>
      </c>
      <c r="G11" s="41" t="s">
        <v>28</v>
      </c>
      <c r="H11" s="41">
        <v>6</v>
      </c>
      <c r="I11" s="64">
        <v>43486</v>
      </c>
      <c r="J11" s="64">
        <v>43486</v>
      </c>
      <c r="K11" s="64" t="s">
        <v>462</v>
      </c>
      <c r="L11" s="65">
        <v>49.57</v>
      </c>
      <c r="M11" s="65">
        <v>54.07</v>
      </c>
      <c r="N11" s="41" t="s">
        <v>32</v>
      </c>
      <c r="O11" s="65">
        <v>47.48</v>
      </c>
      <c r="P11" s="3">
        <v>0</v>
      </c>
      <c r="Q11" s="66">
        <v>40.31</v>
      </c>
      <c r="R11" s="3"/>
      <c r="S11" s="3"/>
      <c r="T11" s="3"/>
      <c r="U11" s="67">
        <f t="shared" si="7"/>
        <v>0</v>
      </c>
      <c r="V11" s="67">
        <f t="shared" si="8"/>
        <v>40.31</v>
      </c>
      <c r="W11" s="3">
        <f>O11-V11</f>
        <v>7.1699999999999946</v>
      </c>
      <c r="X11" s="3">
        <f t="shared" si="13"/>
        <v>47.48</v>
      </c>
      <c r="Y11" s="3"/>
      <c r="Z11" s="67">
        <f t="shared" si="9"/>
        <v>47.48</v>
      </c>
      <c r="AA11" s="67">
        <f t="shared" si="10"/>
        <v>0</v>
      </c>
      <c r="AB11" s="3"/>
      <c r="AC11" s="3"/>
      <c r="AD11" s="3"/>
      <c r="AE11" s="67">
        <f t="shared" si="11"/>
        <v>47.48</v>
      </c>
      <c r="AF11" s="67">
        <f t="shared" si="12"/>
        <v>0</v>
      </c>
    </row>
    <row r="12" spans="1:32" ht="78">
      <c r="A12" s="41">
        <f t="shared" si="6"/>
        <v>10</v>
      </c>
      <c r="B12" s="34" t="s">
        <v>794</v>
      </c>
      <c r="C12" s="34" t="s">
        <v>1002</v>
      </c>
      <c r="D12" s="34" t="s">
        <v>1019</v>
      </c>
      <c r="E12" s="41" t="s">
        <v>1343</v>
      </c>
      <c r="F12" s="43" t="s">
        <v>463</v>
      </c>
      <c r="G12" s="41" t="s">
        <v>28</v>
      </c>
      <c r="H12" s="70">
        <v>6</v>
      </c>
      <c r="I12" s="70" t="s">
        <v>464</v>
      </c>
      <c r="J12" s="70" t="s">
        <v>464</v>
      </c>
      <c r="K12" s="70" t="s">
        <v>454</v>
      </c>
      <c r="L12" s="70">
        <v>132.38999999999999</v>
      </c>
      <c r="M12" s="65">
        <v>165.64</v>
      </c>
      <c r="N12" s="41" t="s">
        <v>32</v>
      </c>
      <c r="O12" s="65">
        <v>130.56</v>
      </c>
      <c r="P12" s="3">
        <v>0</v>
      </c>
      <c r="Q12" s="66">
        <v>127.01676</v>
      </c>
      <c r="R12" s="25">
        <v>2.9918746000000001</v>
      </c>
      <c r="S12" s="3"/>
      <c r="T12" s="3"/>
      <c r="U12" s="67">
        <f t="shared" si="7"/>
        <v>0</v>
      </c>
      <c r="V12" s="67">
        <f t="shared" si="8"/>
        <v>130.00863459999999</v>
      </c>
      <c r="W12" s="69">
        <v>0.551365400000009</v>
      </c>
      <c r="X12" s="67">
        <f t="shared" si="13"/>
        <v>130.56</v>
      </c>
      <c r="Y12" s="3"/>
      <c r="Z12" s="67">
        <f t="shared" si="9"/>
        <v>130.56</v>
      </c>
      <c r="AA12" s="67">
        <f t="shared" si="10"/>
        <v>0</v>
      </c>
      <c r="AB12" s="3"/>
      <c r="AC12" s="3"/>
      <c r="AD12" s="3"/>
      <c r="AE12" s="67">
        <f t="shared" si="11"/>
        <v>130.56</v>
      </c>
      <c r="AF12" s="67">
        <f t="shared" si="12"/>
        <v>0</v>
      </c>
    </row>
    <row r="13" spans="1:32" ht="46.8">
      <c r="A13" s="41">
        <f t="shared" si="6"/>
        <v>11</v>
      </c>
      <c r="B13" s="34" t="s">
        <v>799</v>
      </c>
      <c r="C13" s="34" t="s">
        <v>1002</v>
      </c>
      <c r="D13" s="34" t="s">
        <v>1019</v>
      </c>
      <c r="E13" s="41" t="s">
        <v>1345</v>
      </c>
      <c r="F13" s="43" t="s">
        <v>467</v>
      </c>
      <c r="G13" s="41" t="s">
        <v>28</v>
      </c>
      <c r="H13" s="41"/>
      <c r="I13" s="64">
        <v>43480</v>
      </c>
      <c r="J13" s="64">
        <v>43480</v>
      </c>
      <c r="K13" s="41"/>
      <c r="L13" s="65">
        <v>6.99</v>
      </c>
      <c r="M13" s="65">
        <v>9.1</v>
      </c>
      <c r="N13" s="41" t="s">
        <v>32</v>
      </c>
      <c r="O13" s="65">
        <v>6.99</v>
      </c>
      <c r="P13" s="3">
        <v>0</v>
      </c>
      <c r="Q13" s="66">
        <v>1.7280023</v>
      </c>
      <c r="R13" s="25">
        <v>0.27133220000000002</v>
      </c>
      <c r="S13" s="3"/>
      <c r="T13" s="3"/>
      <c r="U13" s="67">
        <f t="shared" si="7"/>
        <v>0</v>
      </c>
      <c r="V13" s="67">
        <f t="shared" si="8"/>
        <v>1.9993345</v>
      </c>
      <c r="W13" s="3">
        <f>O13-V13-1</f>
        <v>3.9906655000000004</v>
      </c>
      <c r="X13" s="3"/>
      <c r="Y13" s="3"/>
      <c r="Z13" s="67">
        <f t="shared" si="9"/>
        <v>0</v>
      </c>
      <c r="AA13" s="67">
        <f t="shared" si="10"/>
        <v>5.99</v>
      </c>
      <c r="AB13" s="3">
        <f>O13-AA13</f>
        <v>1</v>
      </c>
      <c r="AC13" s="3">
        <f>AA13+AB13</f>
        <v>6.99</v>
      </c>
      <c r="AD13" s="3"/>
      <c r="AE13" s="67">
        <f t="shared" si="11"/>
        <v>6.99</v>
      </c>
      <c r="AF13" s="67">
        <f t="shared" si="12"/>
        <v>0</v>
      </c>
    </row>
    <row r="14" spans="1:32" ht="46.8">
      <c r="A14" s="41">
        <f t="shared" si="6"/>
        <v>12</v>
      </c>
      <c r="B14" s="34" t="s">
        <v>801</v>
      </c>
      <c r="C14" s="34" t="s">
        <v>1002</v>
      </c>
      <c r="D14" s="34" t="s">
        <v>1019</v>
      </c>
      <c r="E14" s="41" t="s">
        <v>1346</v>
      </c>
      <c r="F14" s="43" t="s">
        <v>468</v>
      </c>
      <c r="G14" s="41" t="s">
        <v>28</v>
      </c>
      <c r="H14" s="41">
        <v>4</v>
      </c>
      <c r="I14" s="64">
        <v>43479</v>
      </c>
      <c r="J14" s="64">
        <v>43479</v>
      </c>
      <c r="K14" s="41" t="s">
        <v>469</v>
      </c>
      <c r="L14" s="65">
        <v>7.04</v>
      </c>
      <c r="M14" s="65">
        <v>9.32</v>
      </c>
      <c r="N14" s="41" t="s">
        <v>32</v>
      </c>
      <c r="O14" s="65">
        <v>7.04</v>
      </c>
      <c r="P14" s="3">
        <v>0</v>
      </c>
      <c r="Q14" s="66">
        <v>3.1819510000000002</v>
      </c>
      <c r="R14" s="25">
        <v>1.7450935999999999</v>
      </c>
      <c r="S14" s="3">
        <f>2.0856976+0.0087513+0.2762526+1.9791319+0.385155+0.1886724+0.322441761426215</f>
        <v>5.2461025614262145</v>
      </c>
      <c r="T14" s="3"/>
      <c r="U14" s="67">
        <f t="shared" si="7"/>
        <v>5.2461025614262145</v>
      </c>
      <c r="V14" s="67">
        <f t="shared" si="8"/>
        <v>-0.31905796142621412</v>
      </c>
      <c r="W14" s="3">
        <f>O14-U14-V14</f>
        <v>2.1129553999999997</v>
      </c>
      <c r="X14" s="3">
        <f>O14-U14</f>
        <v>1.7938974385737856</v>
      </c>
      <c r="Y14" s="3"/>
      <c r="Z14" s="67">
        <f t="shared" si="9"/>
        <v>7.04</v>
      </c>
      <c r="AA14" s="67">
        <f t="shared" si="10"/>
        <v>0</v>
      </c>
      <c r="AB14" s="3"/>
      <c r="AC14" s="3"/>
      <c r="AD14" s="3"/>
      <c r="AE14" s="67">
        <f t="shared" si="11"/>
        <v>7.04</v>
      </c>
      <c r="AF14" s="67">
        <f t="shared" si="12"/>
        <v>0</v>
      </c>
    </row>
    <row r="15" spans="1:32" s="185" customFormat="1" ht="93.6">
      <c r="A15" s="180">
        <f t="shared" si="6"/>
        <v>13</v>
      </c>
      <c r="B15" s="181" t="s">
        <v>806</v>
      </c>
      <c r="C15" s="181" t="s">
        <v>1002</v>
      </c>
      <c r="D15" s="181" t="s">
        <v>1019</v>
      </c>
      <c r="E15" s="180" t="s">
        <v>1349</v>
      </c>
      <c r="F15" s="182" t="s">
        <v>473</v>
      </c>
      <c r="G15" s="180" t="s">
        <v>28</v>
      </c>
      <c r="H15" s="180"/>
      <c r="I15" s="183">
        <v>43486</v>
      </c>
      <c r="J15" s="183">
        <v>43486</v>
      </c>
      <c r="K15" s="180"/>
      <c r="L15" s="184">
        <v>52.8</v>
      </c>
      <c r="M15" s="184">
        <v>52.8</v>
      </c>
      <c r="N15" s="180" t="s">
        <v>32</v>
      </c>
      <c r="O15" s="184">
        <v>44.57</v>
      </c>
      <c r="P15" s="3">
        <v>0</v>
      </c>
      <c r="Q15" s="66">
        <v>28.363172299999999</v>
      </c>
      <c r="R15" s="25">
        <v>2.4810680000000001</v>
      </c>
      <c r="S15" s="3"/>
      <c r="T15" s="3"/>
      <c r="U15" s="67">
        <f t="shared" si="7"/>
        <v>0</v>
      </c>
      <c r="V15" s="67">
        <f t="shared" si="8"/>
        <v>30.844240299999999</v>
      </c>
      <c r="W15" s="3">
        <f>O15-V15</f>
        <v>13.725759700000001</v>
      </c>
      <c r="X15" s="3">
        <f>V15+W15</f>
        <v>44.57</v>
      </c>
      <c r="Y15" s="3"/>
      <c r="Z15" s="67">
        <f t="shared" si="9"/>
        <v>44.57</v>
      </c>
      <c r="AA15" s="67">
        <f t="shared" si="10"/>
        <v>0</v>
      </c>
      <c r="AB15" s="3"/>
      <c r="AC15" s="3"/>
      <c r="AD15" s="3"/>
      <c r="AE15" s="67">
        <f t="shared" si="11"/>
        <v>44.57</v>
      </c>
      <c r="AF15" s="67">
        <f t="shared" si="12"/>
        <v>0</v>
      </c>
    </row>
    <row r="16" spans="1:32" ht="46.8">
      <c r="A16" s="41">
        <f t="shared" si="6"/>
        <v>14</v>
      </c>
      <c r="B16" s="34" t="s">
        <v>807</v>
      </c>
      <c r="C16" s="34" t="s">
        <v>1002</v>
      </c>
      <c r="D16" s="34" t="s">
        <v>1019</v>
      </c>
      <c r="E16" s="41" t="s">
        <v>1350</v>
      </c>
      <c r="F16" s="43" t="s">
        <v>474</v>
      </c>
      <c r="G16" s="41" t="s">
        <v>28</v>
      </c>
      <c r="H16" s="41">
        <v>3</v>
      </c>
      <c r="I16" s="64">
        <v>43480</v>
      </c>
      <c r="J16" s="64">
        <v>43480</v>
      </c>
      <c r="K16" s="41" t="s">
        <v>475</v>
      </c>
      <c r="L16" s="65">
        <v>8.25</v>
      </c>
      <c r="M16" s="65">
        <v>8.09</v>
      </c>
      <c r="N16" s="41" t="s">
        <v>32</v>
      </c>
      <c r="O16" s="65">
        <v>8.25</v>
      </c>
      <c r="P16" s="3">
        <v>0</v>
      </c>
      <c r="Q16" s="66">
        <v>8.1218172000000006</v>
      </c>
      <c r="R16" s="25">
        <v>0.1225541</v>
      </c>
      <c r="S16" s="3"/>
      <c r="T16" s="3"/>
      <c r="U16" s="67">
        <f t="shared" si="7"/>
        <v>0</v>
      </c>
      <c r="V16" s="67">
        <f t="shared" si="8"/>
        <v>8.244371300000001</v>
      </c>
      <c r="W16" s="3">
        <f>O16-V16</f>
        <v>5.6286999999990428E-3</v>
      </c>
      <c r="X16" s="3">
        <f>V16+W16</f>
        <v>8.25</v>
      </c>
      <c r="Y16" s="3"/>
      <c r="Z16" s="67">
        <f t="shared" si="9"/>
        <v>8.25</v>
      </c>
      <c r="AA16" s="67">
        <f t="shared" si="10"/>
        <v>0</v>
      </c>
      <c r="AB16" s="3"/>
      <c r="AC16" s="3"/>
      <c r="AD16" s="3"/>
      <c r="AE16" s="67">
        <f t="shared" si="11"/>
        <v>8.25</v>
      </c>
      <c r="AF16" s="67">
        <f t="shared" si="12"/>
        <v>0</v>
      </c>
    </row>
    <row r="17" spans="1:32" ht="78">
      <c r="A17" s="41">
        <f t="shared" si="6"/>
        <v>15</v>
      </c>
      <c r="B17" s="34" t="s">
        <v>809</v>
      </c>
      <c r="C17" s="34" t="s">
        <v>1002</v>
      </c>
      <c r="D17" s="34" t="s">
        <v>1019</v>
      </c>
      <c r="E17" s="41" t="s">
        <v>1351</v>
      </c>
      <c r="F17" s="43" t="s">
        <v>476</v>
      </c>
      <c r="G17" s="41" t="s">
        <v>28</v>
      </c>
      <c r="H17" s="41">
        <v>4</v>
      </c>
      <c r="I17" s="64">
        <v>43486</v>
      </c>
      <c r="J17" s="64">
        <v>43486</v>
      </c>
      <c r="K17" s="64" t="s">
        <v>440</v>
      </c>
      <c r="L17" s="65">
        <v>124.74</v>
      </c>
      <c r="M17" s="65">
        <v>160.4</v>
      </c>
      <c r="N17" s="41" t="s">
        <v>32</v>
      </c>
      <c r="O17" s="65">
        <v>122.39</v>
      </c>
      <c r="P17" s="3">
        <v>0</v>
      </c>
      <c r="Q17" s="66">
        <v>101.42065049999999</v>
      </c>
      <c r="R17" s="25">
        <v>2.1069106999999998</v>
      </c>
      <c r="S17" s="3"/>
      <c r="T17" s="3"/>
      <c r="U17" s="67">
        <f t="shared" si="7"/>
        <v>0</v>
      </c>
      <c r="V17" s="67">
        <f t="shared" si="8"/>
        <v>103.52756119999999</v>
      </c>
      <c r="W17" s="154">
        <f>O17-V17</f>
        <v>18.862438800000007</v>
      </c>
      <c r="X17" s="3">
        <f>V17+W17</f>
        <v>122.39</v>
      </c>
      <c r="Y17" s="3"/>
      <c r="Z17" s="67">
        <f t="shared" si="9"/>
        <v>122.39</v>
      </c>
      <c r="AA17" s="67">
        <f t="shared" si="10"/>
        <v>0</v>
      </c>
      <c r="AB17" s="3"/>
      <c r="AC17" s="3"/>
      <c r="AD17" s="3"/>
      <c r="AE17" s="67">
        <f t="shared" si="11"/>
        <v>122.39</v>
      </c>
      <c r="AF17" s="67">
        <f t="shared" si="12"/>
        <v>0</v>
      </c>
    </row>
    <row r="18" spans="1:32" ht="93.6">
      <c r="A18" s="41">
        <f t="shared" si="6"/>
        <v>16</v>
      </c>
      <c r="B18" s="34" t="s">
        <v>984</v>
      </c>
      <c r="C18" s="34" t="s">
        <v>1002</v>
      </c>
      <c r="D18" s="34" t="s">
        <v>1019</v>
      </c>
      <c r="E18" s="41" t="s">
        <v>1355</v>
      </c>
      <c r="F18" s="43" t="s">
        <v>483</v>
      </c>
      <c r="G18" s="41" t="s">
        <v>28</v>
      </c>
      <c r="H18" s="41"/>
      <c r="I18" s="64">
        <v>43374</v>
      </c>
      <c r="J18" s="64">
        <v>43374</v>
      </c>
      <c r="K18" s="41"/>
      <c r="L18" s="65">
        <v>6.6</v>
      </c>
      <c r="M18" s="65">
        <v>6.6</v>
      </c>
      <c r="N18" s="41" t="s">
        <v>67</v>
      </c>
      <c r="O18" s="65">
        <v>6.6</v>
      </c>
      <c r="P18" s="3">
        <v>0</v>
      </c>
      <c r="Q18" s="3">
        <v>0</v>
      </c>
      <c r="R18" s="3"/>
      <c r="S18" s="3"/>
      <c r="T18" s="3"/>
      <c r="U18" s="67">
        <f t="shared" si="7"/>
        <v>0</v>
      </c>
      <c r="V18" s="67">
        <f t="shared" si="8"/>
        <v>0</v>
      </c>
      <c r="W18" s="3">
        <f>O18</f>
        <v>6.6</v>
      </c>
      <c r="X18" s="3">
        <f>V18+W18</f>
        <v>6.6</v>
      </c>
      <c r="Y18" s="3"/>
      <c r="Z18" s="67">
        <f t="shared" si="9"/>
        <v>6.6</v>
      </c>
      <c r="AA18" s="67">
        <f t="shared" si="10"/>
        <v>0</v>
      </c>
      <c r="AB18" s="3"/>
      <c r="AC18" s="3"/>
      <c r="AD18" s="3"/>
      <c r="AE18" s="67">
        <f t="shared" si="11"/>
        <v>6.6</v>
      </c>
      <c r="AF18" s="67">
        <f t="shared" si="12"/>
        <v>0</v>
      </c>
    </row>
    <row r="19" spans="1:32" ht="78">
      <c r="A19" s="41">
        <f t="shared" si="6"/>
        <v>17</v>
      </c>
      <c r="B19" s="34" t="s">
        <v>792</v>
      </c>
      <c r="C19" s="34" t="s">
        <v>1002</v>
      </c>
      <c r="D19" s="34" t="s">
        <v>1019</v>
      </c>
      <c r="E19" s="41" t="s">
        <v>1361</v>
      </c>
      <c r="F19" s="43" t="s">
        <v>489</v>
      </c>
      <c r="G19" s="41" t="s">
        <v>28</v>
      </c>
      <c r="H19" s="41"/>
      <c r="I19" s="64">
        <v>43486</v>
      </c>
      <c r="J19" s="64">
        <v>43486</v>
      </c>
      <c r="K19" s="41"/>
      <c r="L19" s="65">
        <v>148.62</v>
      </c>
      <c r="M19" s="65">
        <v>167.45</v>
      </c>
      <c r="N19" s="41" t="s">
        <v>32</v>
      </c>
      <c r="O19" s="65">
        <v>148.62</v>
      </c>
      <c r="P19" s="3">
        <v>0</v>
      </c>
      <c r="Q19" s="66">
        <v>61.872316299999994</v>
      </c>
      <c r="R19" s="25">
        <v>24.3879485</v>
      </c>
      <c r="S19" s="3"/>
      <c r="T19" s="3"/>
      <c r="U19" s="67">
        <f t="shared" si="7"/>
        <v>0</v>
      </c>
      <c r="V19" s="67">
        <f t="shared" si="8"/>
        <v>86.260264799999987</v>
      </c>
      <c r="W19" s="154">
        <f>2.9172124+5.1662078+3.0429745+2.8084593+0.9901748+5</f>
        <v>19.9250288</v>
      </c>
      <c r="X19" s="3"/>
      <c r="Y19" s="3"/>
      <c r="Z19" s="67">
        <f t="shared" si="9"/>
        <v>0</v>
      </c>
      <c r="AA19" s="67">
        <f t="shared" si="10"/>
        <v>106.18529359999999</v>
      </c>
      <c r="AB19" s="3">
        <v>30.434706400000017</v>
      </c>
      <c r="AC19" s="3">
        <f>AA19+AB19</f>
        <v>136.62</v>
      </c>
      <c r="AD19" s="3"/>
      <c r="AE19" s="67">
        <f t="shared" si="11"/>
        <v>136.62</v>
      </c>
      <c r="AF19" s="67">
        <f t="shared" si="12"/>
        <v>0</v>
      </c>
    </row>
    <row r="20" spans="1:32" ht="62.4">
      <c r="A20" s="41">
        <f t="shared" si="6"/>
        <v>18</v>
      </c>
      <c r="B20" s="34" t="s">
        <v>986</v>
      </c>
      <c r="C20" s="34" t="s">
        <v>1002</v>
      </c>
      <c r="D20" s="34" t="s">
        <v>1019</v>
      </c>
      <c r="E20" s="41" t="s">
        <v>1362</v>
      </c>
      <c r="F20" s="43" t="s">
        <v>490</v>
      </c>
      <c r="G20" s="41" t="s">
        <v>28</v>
      </c>
      <c r="H20" s="41">
        <v>7</v>
      </c>
      <c r="I20" s="41" t="s">
        <v>491</v>
      </c>
      <c r="J20" s="41" t="s">
        <v>491</v>
      </c>
      <c r="K20" s="41" t="s">
        <v>492</v>
      </c>
      <c r="L20" s="65">
        <v>250.51</v>
      </c>
      <c r="M20" s="65">
        <v>250.51</v>
      </c>
      <c r="N20" s="41" t="s">
        <v>32</v>
      </c>
      <c r="O20" s="65">
        <v>219.66</v>
      </c>
      <c r="P20" s="3">
        <v>0</v>
      </c>
      <c r="Q20" s="66">
        <v>19.722967300000001</v>
      </c>
      <c r="R20" s="25">
        <v>142.1317109</v>
      </c>
      <c r="S20" s="3"/>
      <c r="T20" s="3"/>
      <c r="U20" s="67">
        <f t="shared" si="7"/>
        <v>0</v>
      </c>
      <c r="V20" s="67">
        <f t="shared" si="8"/>
        <v>161.8546782</v>
      </c>
      <c r="W20" s="155">
        <f>7.7233215+4.0325506+0.6229137+3.5999305+3.4095275+5.3721491+1.0460105+2.6726639</f>
        <v>28.479067300000001</v>
      </c>
      <c r="X20" s="3"/>
      <c r="Y20" s="3"/>
      <c r="Z20" s="67">
        <f t="shared" si="9"/>
        <v>0</v>
      </c>
      <c r="AA20" s="67">
        <f t="shared" si="10"/>
        <v>190.33374549999999</v>
      </c>
      <c r="AB20" s="3">
        <f>O20-AA20</f>
        <v>29.326254500000005</v>
      </c>
      <c r="AC20" s="3">
        <f>AA20+AB20</f>
        <v>219.66</v>
      </c>
      <c r="AD20" s="3"/>
      <c r="AE20" s="67">
        <f t="shared" si="11"/>
        <v>219.66</v>
      </c>
      <c r="AF20" s="67">
        <f t="shared" si="12"/>
        <v>0</v>
      </c>
    </row>
    <row r="21" spans="1:32" ht="46.8">
      <c r="A21" s="41">
        <f t="shared" si="6"/>
        <v>19</v>
      </c>
      <c r="B21" s="34" t="s">
        <v>733</v>
      </c>
      <c r="C21" s="34" t="s">
        <v>1002</v>
      </c>
      <c r="D21" s="34" t="s">
        <v>1019</v>
      </c>
      <c r="E21" s="41" t="s">
        <v>1364</v>
      </c>
      <c r="F21" s="43" t="s">
        <v>494</v>
      </c>
      <c r="G21" s="41" t="s">
        <v>28</v>
      </c>
      <c r="H21" s="41">
        <v>5</v>
      </c>
      <c r="I21" s="64">
        <v>43521</v>
      </c>
      <c r="J21" s="64">
        <v>43521</v>
      </c>
      <c r="K21" s="64" t="s">
        <v>495</v>
      </c>
      <c r="L21" s="65">
        <v>8.4499999999999993</v>
      </c>
      <c r="M21" s="41">
        <v>10.66</v>
      </c>
      <c r="N21" s="41" t="s">
        <v>32</v>
      </c>
      <c r="O21" s="65">
        <v>9.4600000000000009</v>
      </c>
      <c r="P21" s="3">
        <v>0</v>
      </c>
      <c r="Q21" s="66">
        <v>9.3834699000000015</v>
      </c>
      <c r="R21" s="69"/>
      <c r="S21" s="3"/>
      <c r="T21" s="3"/>
      <c r="U21" s="67">
        <f t="shared" si="7"/>
        <v>0</v>
      </c>
      <c r="V21" s="67">
        <f t="shared" si="8"/>
        <v>9.3834699000000015</v>
      </c>
      <c r="W21" s="3">
        <f>O21-V21</f>
        <v>7.6530099999999379E-2</v>
      </c>
      <c r="X21" s="67">
        <f>V21+W21</f>
        <v>9.4600000000000009</v>
      </c>
      <c r="Y21" s="3"/>
      <c r="Z21" s="67">
        <f t="shared" si="9"/>
        <v>9.4600000000000009</v>
      </c>
      <c r="AA21" s="67">
        <f t="shared" si="10"/>
        <v>0</v>
      </c>
      <c r="AB21" s="3"/>
      <c r="AC21" s="3"/>
      <c r="AD21" s="3"/>
      <c r="AE21" s="67">
        <f t="shared" si="11"/>
        <v>9.4600000000000009</v>
      </c>
      <c r="AF21" s="67">
        <f t="shared" si="12"/>
        <v>0</v>
      </c>
    </row>
    <row r="22" spans="1:32" ht="46.8">
      <c r="A22" s="41">
        <f t="shared" si="6"/>
        <v>20</v>
      </c>
      <c r="B22" s="34" t="s">
        <v>734</v>
      </c>
      <c r="C22" s="34" t="s">
        <v>1002</v>
      </c>
      <c r="D22" s="41" t="s">
        <v>1019</v>
      </c>
      <c r="E22" s="41" t="s">
        <v>1365</v>
      </c>
      <c r="F22" s="43" t="s">
        <v>496</v>
      </c>
      <c r="G22" s="41" t="s">
        <v>28</v>
      </c>
      <c r="H22" s="41">
        <v>6</v>
      </c>
      <c r="I22" s="64">
        <v>43521</v>
      </c>
      <c r="J22" s="64">
        <v>43521</v>
      </c>
      <c r="K22" s="64" t="s">
        <v>495</v>
      </c>
      <c r="L22" s="65">
        <v>7.22</v>
      </c>
      <c r="M22" s="41">
        <v>7.99</v>
      </c>
      <c r="N22" s="41" t="s">
        <v>32</v>
      </c>
      <c r="O22" s="65">
        <v>5.96</v>
      </c>
      <c r="P22" s="3">
        <v>0</v>
      </c>
      <c r="Q22" s="66">
        <v>4.9405463000000003</v>
      </c>
      <c r="R22" s="69"/>
      <c r="S22" s="3"/>
      <c r="T22" s="3"/>
      <c r="U22" s="67">
        <f t="shared" si="7"/>
        <v>0</v>
      </c>
      <c r="V22" s="67">
        <f t="shared" si="8"/>
        <v>4.9405463000000003</v>
      </c>
      <c r="W22" s="3">
        <f>O22-V22</f>
        <v>1.0194536999999997</v>
      </c>
      <c r="X22" s="3">
        <f>V22+W22</f>
        <v>5.96</v>
      </c>
      <c r="Y22" s="3"/>
      <c r="Z22" s="67">
        <f t="shared" si="9"/>
        <v>5.96</v>
      </c>
      <c r="AA22" s="67">
        <f t="shared" si="10"/>
        <v>0</v>
      </c>
      <c r="AB22" s="3"/>
      <c r="AC22" s="3"/>
      <c r="AD22" s="3"/>
      <c r="AE22" s="67">
        <f t="shared" si="11"/>
        <v>5.96</v>
      </c>
      <c r="AF22" s="67">
        <f t="shared" si="12"/>
        <v>0</v>
      </c>
    </row>
    <row r="23" spans="1:32" ht="62.4">
      <c r="A23" s="41">
        <f t="shared" si="6"/>
        <v>21</v>
      </c>
      <c r="B23" s="34" t="s">
        <v>735</v>
      </c>
      <c r="C23" s="34" t="s">
        <v>1002</v>
      </c>
      <c r="D23" s="34" t="s">
        <v>1020</v>
      </c>
      <c r="E23" s="41" t="s">
        <v>1368</v>
      </c>
      <c r="F23" s="43" t="s">
        <v>500</v>
      </c>
      <c r="G23" s="41"/>
      <c r="H23" s="41"/>
      <c r="I23" s="41"/>
      <c r="J23" s="41"/>
      <c r="K23" s="41"/>
      <c r="L23" s="65">
        <v>41.59</v>
      </c>
      <c r="M23" s="3">
        <v>0</v>
      </c>
      <c r="N23" s="41" t="s">
        <v>32</v>
      </c>
      <c r="O23" s="65">
        <v>41.58</v>
      </c>
      <c r="P23" s="3">
        <v>0</v>
      </c>
      <c r="Q23" s="3">
        <v>28.372726199999999</v>
      </c>
      <c r="R23" s="25">
        <v>6.9375141999999999</v>
      </c>
      <c r="S23" s="3"/>
      <c r="T23" s="3"/>
      <c r="U23" s="67">
        <f t="shared" si="7"/>
        <v>0</v>
      </c>
      <c r="V23" s="67">
        <f t="shared" si="8"/>
        <v>35.310240399999998</v>
      </c>
      <c r="W23" s="154">
        <f>O23-V23</f>
        <v>6.2697596000000004</v>
      </c>
      <c r="X23" s="3">
        <f>V23+W23</f>
        <v>41.58</v>
      </c>
      <c r="Y23" s="3"/>
      <c r="Z23" s="67">
        <f t="shared" si="9"/>
        <v>41.58</v>
      </c>
      <c r="AA23" s="67">
        <f t="shared" si="10"/>
        <v>0</v>
      </c>
      <c r="AB23" s="3"/>
      <c r="AC23" s="3"/>
      <c r="AD23" s="3"/>
      <c r="AE23" s="67">
        <f t="shared" si="11"/>
        <v>41.58</v>
      </c>
      <c r="AF23" s="67">
        <f t="shared" si="12"/>
        <v>0</v>
      </c>
    </row>
    <row r="24" spans="1:32" ht="46.8">
      <c r="A24" s="41">
        <f t="shared" si="6"/>
        <v>22</v>
      </c>
      <c r="B24" s="34" t="s">
        <v>692</v>
      </c>
      <c r="C24" s="34" t="s">
        <v>1002</v>
      </c>
      <c r="D24" s="34" t="s">
        <v>1020</v>
      </c>
      <c r="E24" s="41" t="s">
        <v>1369</v>
      </c>
      <c r="F24" s="43" t="s">
        <v>501</v>
      </c>
      <c r="G24" s="41"/>
      <c r="H24" s="41"/>
      <c r="I24" s="41"/>
      <c r="J24" s="41"/>
      <c r="K24" s="41"/>
      <c r="L24" s="65">
        <v>22.26</v>
      </c>
      <c r="M24" s="3">
        <v>0</v>
      </c>
      <c r="N24" s="41" t="s">
        <v>32</v>
      </c>
      <c r="O24" s="65">
        <v>22.26</v>
      </c>
      <c r="P24" s="3">
        <v>0</v>
      </c>
      <c r="Q24" s="3">
        <v>19.0347142</v>
      </c>
      <c r="R24" s="25">
        <v>1.5394441999999999</v>
      </c>
      <c r="S24" s="3"/>
      <c r="T24" s="3"/>
      <c r="U24" s="67">
        <f t="shared" si="7"/>
        <v>0</v>
      </c>
      <c r="V24" s="67">
        <f t="shared" si="8"/>
        <v>20.574158399999998</v>
      </c>
      <c r="W24" s="154">
        <f>O24-V24</f>
        <v>1.6858416000000034</v>
      </c>
      <c r="X24" s="3">
        <f>V24+W24</f>
        <v>22.26</v>
      </c>
      <c r="Y24" s="3"/>
      <c r="Z24" s="67">
        <f t="shared" si="9"/>
        <v>22.26</v>
      </c>
      <c r="AA24" s="67">
        <f t="shared" si="10"/>
        <v>0</v>
      </c>
      <c r="AB24" s="3"/>
      <c r="AC24" s="3"/>
      <c r="AD24" s="3"/>
      <c r="AE24" s="67">
        <f t="shared" si="11"/>
        <v>22.26</v>
      </c>
      <c r="AF24" s="67">
        <f t="shared" si="12"/>
        <v>0</v>
      </c>
    </row>
    <row r="25" spans="1:32" ht="46.8">
      <c r="A25" s="41">
        <f t="shared" si="6"/>
        <v>23</v>
      </c>
      <c r="B25" s="41" t="s">
        <v>642</v>
      </c>
      <c r="C25" s="34" t="s">
        <v>1002</v>
      </c>
      <c r="D25" s="34" t="s">
        <v>1019</v>
      </c>
      <c r="E25" s="41" t="s">
        <v>1425</v>
      </c>
      <c r="F25" s="43" t="s">
        <v>643</v>
      </c>
      <c r="G25" s="41" t="s">
        <v>28</v>
      </c>
      <c r="H25" s="41">
        <v>6</v>
      </c>
      <c r="I25" s="64">
        <v>43481</v>
      </c>
      <c r="J25" s="64">
        <v>43481</v>
      </c>
      <c r="K25" s="41" t="s">
        <v>644</v>
      </c>
      <c r="L25" s="66">
        <v>26.31</v>
      </c>
      <c r="M25" s="66">
        <v>38.19</v>
      </c>
      <c r="N25" s="41" t="s">
        <v>32</v>
      </c>
      <c r="O25" s="66">
        <v>26.31</v>
      </c>
      <c r="P25" s="3">
        <v>14.741130901</v>
      </c>
      <c r="Q25" s="66">
        <v>-0.23881250099999932</v>
      </c>
      <c r="R25" s="25">
        <v>5.7018852999999998</v>
      </c>
      <c r="S25" s="22">
        <f>2.2833278+1.3154852+0.538808+0.9598946+0.2753247+0.329045</f>
        <v>5.7018852999999989</v>
      </c>
      <c r="T25" s="73"/>
      <c r="U25" s="67">
        <f>P25+S25+T25</f>
        <v>20.443016200999999</v>
      </c>
      <c r="V25" s="67">
        <f t="shared" ref="V25:V26" si="14">Q25+R25-S25-T25</f>
        <v>-0.23881250099999818</v>
      </c>
      <c r="W25" s="69"/>
      <c r="X25" s="3"/>
      <c r="Y25" s="3"/>
      <c r="Z25" s="67">
        <f t="shared" ref="Z25:Z26" si="15">U25+X25+Y25</f>
        <v>20.443016200999999</v>
      </c>
      <c r="AA25" s="67">
        <f t="shared" ref="AA25:AA26" si="16">V25+W25-X25-Y25</f>
        <v>-0.23881250099999818</v>
      </c>
      <c r="AB25" s="67">
        <f>O25-Z25-AA25</f>
        <v>6.105796299999998</v>
      </c>
      <c r="AC25" s="67">
        <f>AA25+AB25</f>
        <v>5.8669837989999998</v>
      </c>
      <c r="AD25" s="3"/>
      <c r="AE25" s="67">
        <f t="shared" ref="AE25:AE26" si="17">Z25+AC25+AD25</f>
        <v>26.31</v>
      </c>
      <c r="AF25" s="67">
        <f t="shared" ref="AF25:AF26" si="18">AA25+AB25-AC25-AD25</f>
        <v>0</v>
      </c>
    </row>
    <row r="26" spans="1:32" ht="93.6">
      <c r="A26" s="41">
        <f t="shared" si="6"/>
        <v>24</v>
      </c>
      <c r="B26" s="41" t="s">
        <v>647</v>
      </c>
      <c r="C26" s="34" t="s">
        <v>1002</v>
      </c>
      <c r="D26" s="34" t="s">
        <v>1019</v>
      </c>
      <c r="E26" s="41" t="s">
        <v>1427</v>
      </c>
      <c r="F26" s="43" t="s">
        <v>648</v>
      </c>
      <c r="G26" s="41" t="s">
        <v>28</v>
      </c>
      <c r="H26" s="41">
        <v>3</v>
      </c>
      <c r="I26" s="41" t="s">
        <v>450</v>
      </c>
      <c r="J26" s="41" t="s">
        <v>450</v>
      </c>
      <c r="K26" s="41" t="s">
        <v>471</v>
      </c>
      <c r="L26" s="161">
        <v>13.92</v>
      </c>
      <c r="M26" s="66">
        <v>14.83</v>
      </c>
      <c r="N26" s="41" t="s">
        <v>32</v>
      </c>
      <c r="O26" s="66">
        <v>13.07</v>
      </c>
      <c r="P26" s="3">
        <v>11.915419182999999</v>
      </c>
      <c r="Q26" s="66">
        <v>-0.62393948299999968</v>
      </c>
      <c r="R26" s="25">
        <v>0.45992309999999997</v>
      </c>
      <c r="S26" s="22">
        <f>0.0347859+0.0999053+0.1061824+0.0640032+0.1550463</f>
        <v>0.45992310000000003</v>
      </c>
      <c r="T26" s="73"/>
      <c r="U26" s="67">
        <f t="shared" ref="U26" si="19">P26+S26+T26</f>
        <v>12.375342282999998</v>
      </c>
      <c r="V26" s="67">
        <f t="shared" si="14"/>
        <v>-0.62393948299999979</v>
      </c>
      <c r="W26" s="154">
        <v>0.74437869999999995</v>
      </c>
      <c r="X26" s="22"/>
      <c r="Y26" s="3"/>
      <c r="Z26" s="67">
        <f t="shared" si="15"/>
        <v>12.375342282999998</v>
      </c>
      <c r="AA26" s="67">
        <f t="shared" si="16"/>
        <v>0.12043921700000015</v>
      </c>
      <c r="AB26" s="3"/>
      <c r="AC26" s="3"/>
      <c r="AD26" s="3"/>
      <c r="AE26" s="67">
        <f t="shared" si="17"/>
        <v>12.375342282999998</v>
      </c>
      <c r="AF26" s="67">
        <f t="shared" si="18"/>
        <v>0.12043921700000015</v>
      </c>
    </row>
    <row r="27" spans="1:32" ht="46.8">
      <c r="A27" s="41">
        <f t="shared" si="6"/>
        <v>25</v>
      </c>
      <c r="B27" s="41" t="s">
        <v>666</v>
      </c>
      <c r="C27" s="34" t="s">
        <v>1002</v>
      </c>
      <c r="D27" s="34" t="s">
        <v>1019</v>
      </c>
      <c r="E27" s="41" t="s">
        <v>1433</v>
      </c>
      <c r="F27" s="43" t="s">
        <v>667</v>
      </c>
      <c r="G27" s="41" t="s">
        <v>28</v>
      </c>
      <c r="H27" s="41"/>
      <c r="I27" s="64">
        <v>43486</v>
      </c>
      <c r="J27" s="64">
        <v>43486</v>
      </c>
      <c r="K27" s="41"/>
      <c r="L27" s="66">
        <v>39.799999999999997</v>
      </c>
      <c r="M27" s="66">
        <v>39.799999999999997</v>
      </c>
      <c r="N27" s="41" t="s">
        <v>32</v>
      </c>
      <c r="O27" s="66">
        <v>35.99</v>
      </c>
      <c r="P27" s="3">
        <v>25.247722779</v>
      </c>
      <c r="Q27" s="66">
        <v>-0.59626557900000166</v>
      </c>
      <c r="R27" s="25">
        <v>6.8284374999999997</v>
      </c>
      <c r="S27" s="22"/>
      <c r="T27" s="162"/>
      <c r="U27" s="67">
        <f t="shared" ref="U27:U41" si="20">P27+S27+T27</f>
        <v>25.247722779</v>
      </c>
      <c r="V27" s="67">
        <f t="shared" ref="V27:V41" si="21">Q27+R27-S27-T27</f>
        <v>6.2321719209999982</v>
      </c>
      <c r="W27" s="154">
        <f>O27-U27-V27</f>
        <v>4.5101053000000038</v>
      </c>
      <c r="X27" s="22">
        <f>V27+W27</f>
        <v>10.742277221000002</v>
      </c>
      <c r="Y27" s="3"/>
      <c r="Z27" s="67">
        <f t="shared" ref="Z27:Z41" si="22">U27+X27+Y27</f>
        <v>35.99</v>
      </c>
      <c r="AA27" s="67">
        <f t="shared" ref="AA27:AA41" si="23">V27+W27-X27-Y27</f>
        <v>0</v>
      </c>
      <c r="AB27" s="3"/>
      <c r="AC27" s="3"/>
      <c r="AD27" s="3"/>
      <c r="AE27" s="67">
        <f t="shared" ref="AE27:AE41" si="24">Z27+AC27+AD27</f>
        <v>35.99</v>
      </c>
      <c r="AF27" s="67">
        <f t="shared" ref="AF27:AF41" si="25">AA27+AB27-AC27-AD27</f>
        <v>0</v>
      </c>
    </row>
    <row r="28" spans="1:32" ht="46.8">
      <c r="A28" s="41">
        <f t="shared" si="6"/>
        <v>26</v>
      </c>
      <c r="B28" s="41" t="s">
        <v>670</v>
      </c>
      <c r="C28" s="34" t="s">
        <v>1002</v>
      </c>
      <c r="D28" s="34" t="s">
        <v>1019</v>
      </c>
      <c r="E28" s="41" t="s">
        <v>1435</v>
      </c>
      <c r="F28" s="43" t="s">
        <v>671</v>
      </c>
      <c r="G28" s="41" t="s">
        <v>28</v>
      </c>
      <c r="H28" s="63">
        <v>2</v>
      </c>
      <c r="I28" s="64">
        <v>42403</v>
      </c>
      <c r="J28" s="64">
        <v>42403</v>
      </c>
      <c r="K28" s="64">
        <v>42769</v>
      </c>
      <c r="L28" s="66">
        <v>23.51</v>
      </c>
      <c r="M28" s="66">
        <v>23.51</v>
      </c>
      <c r="N28" s="41" t="s">
        <v>32</v>
      </c>
      <c r="O28" s="66">
        <v>26.35</v>
      </c>
      <c r="P28" s="66">
        <v>25.908471499999997</v>
      </c>
      <c r="Q28" s="3">
        <v>0</v>
      </c>
      <c r="R28" s="25">
        <v>0.27193000000000001</v>
      </c>
      <c r="S28" s="22">
        <v>0.27193000000000001</v>
      </c>
      <c r="T28" s="3"/>
      <c r="U28" s="67">
        <f t="shared" si="20"/>
        <v>26.180401499999999</v>
      </c>
      <c r="V28" s="67">
        <f t="shared" si="21"/>
        <v>0</v>
      </c>
      <c r="W28" s="154">
        <v>0.16785749999999999</v>
      </c>
      <c r="X28" s="67"/>
      <c r="Y28" s="3"/>
      <c r="Z28" s="67">
        <f t="shared" si="22"/>
        <v>26.180401499999999</v>
      </c>
      <c r="AA28" s="67">
        <f t="shared" si="23"/>
        <v>0.16785749999999999</v>
      </c>
      <c r="AB28" s="3"/>
      <c r="AC28" s="3"/>
      <c r="AD28" s="3"/>
      <c r="AE28" s="67">
        <f t="shared" si="24"/>
        <v>26.180401499999999</v>
      </c>
      <c r="AF28" s="67">
        <f t="shared" si="25"/>
        <v>0.16785749999999999</v>
      </c>
    </row>
    <row r="29" spans="1:32" ht="93.6">
      <c r="A29" s="41">
        <f t="shared" si="6"/>
        <v>27</v>
      </c>
      <c r="B29" s="41" t="s">
        <v>700</v>
      </c>
      <c r="C29" s="34" t="s">
        <v>1002</v>
      </c>
      <c r="D29" s="42" t="s">
        <v>1019</v>
      </c>
      <c r="E29" s="41" t="s">
        <v>1226</v>
      </c>
      <c r="F29" s="43" t="s">
        <v>701</v>
      </c>
      <c r="G29" s="41"/>
      <c r="H29" s="41">
        <v>3</v>
      </c>
      <c r="I29" s="41" t="s">
        <v>702</v>
      </c>
      <c r="J29" s="41" t="s">
        <v>702</v>
      </c>
      <c r="K29" s="41" t="s">
        <v>703</v>
      </c>
      <c r="L29" s="3">
        <v>10.51</v>
      </c>
      <c r="M29" s="3">
        <v>0</v>
      </c>
      <c r="N29" s="41" t="s">
        <v>516</v>
      </c>
      <c r="O29" s="3">
        <v>18.82</v>
      </c>
      <c r="P29" s="3">
        <v>0</v>
      </c>
      <c r="Q29" s="3">
        <v>0.31789200000000001</v>
      </c>
      <c r="R29" s="25">
        <v>6.8319662000000001</v>
      </c>
      <c r="S29" s="3"/>
      <c r="T29" s="3"/>
      <c r="U29" s="67">
        <f t="shared" si="20"/>
        <v>0</v>
      </c>
      <c r="V29" s="67">
        <f t="shared" si="21"/>
        <v>7.1498581999999997</v>
      </c>
      <c r="W29" s="154">
        <f>(O29-U29-V29)</f>
        <v>11.6701418</v>
      </c>
      <c r="X29" s="67">
        <f>V29+W29</f>
        <v>18.82</v>
      </c>
      <c r="Y29" s="3"/>
      <c r="Z29" s="67">
        <f>U29+X29+Y29</f>
        <v>18.82</v>
      </c>
      <c r="AA29" s="67">
        <f t="shared" si="23"/>
        <v>0</v>
      </c>
      <c r="AB29" s="3"/>
      <c r="AC29" s="3"/>
      <c r="AD29" s="3"/>
      <c r="AE29" s="67">
        <f t="shared" si="24"/>
        <v>18.82</v>
      </c>
      <c r="AF29" s="67">
        <f t="shared" si="25"/>
        <v>0</v>
      </c>
    </row>
    <row r="30" spans="1:32" ht="62.4">
      <c r="A30" s="41">
        <f t="shared" si="6"/>
        <v>28</v>
      </c>
      <c r="B30" s="41" t="s">
        <v>704</v>
      </c>
      <c r="C30" s="34" t="s">
        <v>1002</v>
      </c>
      <c r="D30" s="34" t="s">
        <v>1019</v>
      </c>
      <c r="E30" s="41" t="s">
        <v>1444</v>
      </c>
      <c r="F30" s="43" t="s">
        <v>705</v>
      </c>
      <c r="G30" s="41"/>
      <c r="H30" s="41"/>
      <c r="I30" s="41" t="s">
        <v>706</v>
      </c>
      <c r="J30" s="41"/>
      <c r="K30" s="41" t="s">
        <v>707</v>
      </c>
      <c r="L30" s="3">
        <v>2.71</v>
      </c>
      <c r="M30" s="3">
        <v>0</v>
      </c>
      <c r="N30" s="41" t="s">
        <v>516</v>
      </c>
      <c r="O30" s="3">
        <v>0</v>
      </c>
      <c r="P30" s="3">
        <v>0</v>
      </c>
      <c r="Q30" s="3">
        <v>0.72487710000000005</v>
      </c>
      <c r="R30" s="25">
        <v>1.2112993000000001</v>
      </c>
      <c r="S30" s="3"/>
      <c r="T30" s="3"/>
      <c r="U30" s="67">
        <f t="shared" si="20"/>
        <v>0</v>
      </c>
      <c r="V30" s="67">
        <f t="shared" si="21"/>
        <v>1.9361764000000001</v>
      </c>
      <c r="W30" s="154">
        <f>L30-V30</f>
        <v>0.77382359999999983</v>
      </c>
      <c r="X30" s="67">
        <f>V30+W30</f>
        <v>2.71</v>
      </c>
      <c r="Y30" s="3"/>
      <c r="Z30" s="67">
        <f t="shared" si="22"/>
        <v>2.71</v>
      </c>
      <c r="AA30" s="67">
        <f t="shared" si="23"/>
        <v>0</v>
      </c>
      <c r="AB30" s="3"/>
      <c r="AC30" s="3"/>
      <c r="AD30" s="3"/>
      <c r="AE30" s="67">
        <f t="shared" si="24"/>
        <v>2.71</v>
      </c>
      <c r="AF30" s="67">
        <f t="shared" si="25"/>
        <v>0</v>
      </c>
    </row>
    <row r="31" spans="1:32" ht="46.8">
      <c r="A31" s="41">
        <f t="shared" si="6"/>
        <v>29</v>
      </c>
      <c r="B31" s="41" t="s">
        <v>713</v>
      </c>
      <c r="C31" s="34" t="s">
        <v>1002</v>
      </c>
      <c r="D31" s="34" t="s">
        <v>1016</v>
      </c>
      <c r="E31" s="41" t="s">
        <v>1446</v>
      </c>
      <c r="F31" s="43" t="s">
        <v>714</v>
      </c>
      <c r="G31" s="41" t="s">
        <v>28</v>
      </c>
      <c r="H31" s="41">
        <v>3</v>
      </c>
      <c r="I31" s="41">
        <v>42432</v>
      </c>
      <c r="J31" s="41">
        <v>42432</v>
      </c>
      <c r="K31" s="41">
        <v>42797</v>
      </c>
      <c r="L31" s="3">
        <v>26.49</v>
      </c>
      <c r="M31" s="3">
        <v>57.04</v>
      </c>
      <c r="N31" s="41" t="s">
        <v>32</v>
      </c>
      <c r="O31" s="3">
        <v>55.63</v>
      </c>
      <c r="P31" s="3">
        <v>0</v>
      </c>
      <c r="Q31" s="3">
        <v>27.011084499999999</v>
      </c>
      <c r="R31" s="25">
        <v>0.27023819999999998</v>
      </c>
      <c r="S31" s="3"/>
      <c r="T31" s="3"/>
      <c r="U31" s="67">
        <f t="shared" si="20"/>
        <v>0</v>
      </c>
      <c r="V31" s="67">
        <f t="shared" si="21"/>
        <v>27.2813227</v>
      </c>
      <c r="W31" s="154">
        <v>0.37961430000000002</v>
      </c>
      <c r="X31" s="67"/>
      <c r="Y31" s="3"/>
      <c r="Z31" s="67">
        <f t="shared" si="22"/>
        <v>0</v>
      </c>
      <c r="AA31" s="67">
        <f t="shared" si="23"/>
        <v>27.660937000000001</v>
      </c>
      <c r="AB31" s="3"/>
      <c r="AC31" s="3"/>
      <c r="AD31" s="3"/>
      <c r="AE31" s="67">
        <f t="shared" si="24"/>
        <v>0</v>
      </c>
      <c r="AF31" s="67">
        <f t="shared" si="25"/>
        <v>27.660937000000001</v>
      </c>
    </row>
    <row r="32" spans="1:32" ht="46.8">
      <c r="A32" s="41">
        <f t="shared" si="6"/>
        <v>30</v>
      </c>
      <c r="B32" s="34" t="s">
        <v>722</v>
      </c>
      <c r="C32" s="34" t="s">
        <v>1002</v>
      </c>
      <c r="D32" s="41" t="s">
        <v>1019</v>
      </c>
      <c r="E32" s="41" t="s">
        <v>1448</v>
      </c>
      <c r="F32" s="43" t="s">
        <v>507</v>
      </c>
      <c r="G32" s="41" t="s">
        <v>28</v>
      </c>
      <c r="H32" s="41">
        <v>4</v>
      </c>
      <c r="I32" s="41" t="s">
        <v>508</v>
      </c>
      <c r="J32" s="41" t="s">
        <v>508</v>
      </c>
      <c r="K32" s="41" t="s">
        <v>509</v>
      </c>
      <c r="L32" s="65">
        <v>42.79</v>
      </c>
      <c r="M32" s="65">
        <v>42.69</v>
      </c>
      <c r="N32" s="41" t="s">
        <v>32</v>
      </c>
      <c r="O32" s="65">
        <v>35.479999999999997</v>
      </c>
      <c r="P32" s="3">
        <v>0</v>
      </c>
      <c r="Q32" s="66">
        <v>32.254007399999999</v>
      </c>
      <c r="R32" s="25">
        <v>2.1211223000000001</v>
      </c>
      <c r="S32" s="3"/>
      <c r="T32" s="3"/>
      <c r="U32" s="67">
        <f t="shared" si="20"/>
        <v>0</v>
      </c>
      <c r="V32" s="67">
        <f t="shared" si="21"/>
        <v>34.375129700000002</v>
      </c>
      <c r="W32" s="3">
        <f>O32-V32</f>
        <v>1.1048702999999946</v>
      </c>
      <c r="X32" s="3">
        <f>V32+W32</f>
        <v>35.479999999999997</v>
      </c>
      <c r="Y32" s="3"/>
      <c r="Z32" s="67">
        <f t="shared" si="22"/>
        <v>35.479999999999997</v>
      </c>
      <c r="AA32" s="67">
        <f t="shared" si="23"/>
        <v>0</v>
      </c>
      <c r="AB32" s="3"/>
      <c r="AC32" s="3"/>
      <c r="AD32" s="3"/>
      <c r="AE32" s="67">
        <f t="shared" si="24"/>
        <v>35.479999999999997</v>
      </c>
      <c r="AF32" s="67">
        <f t="shared" si="25"/>
        <v>0</v>
      </c>
    </row>
    <row r="33" spans="1:32" ht="93.6">
      <c r="A33" s="41">
        <f t="shared" si="6"/>
        <v>31</v>
      </c>
      <c r="B33" s="34" t="s">
        <v>723</v>
      </c>
      <c r="C33" s="34" t="s">
        <v>1002</v>
      </c>
      <c r="D33" s="41" t="s">
        <v>1019</v>
      </c>
      <c r="E33" s="41" t="s">
        <v>1449</v>
      </c>
      <c r="F33" s="43" t="s">
        <v>479</v>
      </c>
      <c r="G33" s="41" t="s">
        <v>28</v>
      </c>
      <c r="H33" s="41">
        <v>4</v>
      </c>
      <c r="I33" s="41" t="s">
        <v>480</v>
      </c>
      <c r="J33" s="41" t="s">
        <v>481</v>
      </c>
      <c r="K33" s="41" t="s">
        <v>481</v>
      </c>
      <c r="L33" s="65">
        <v>21.13</v>
      </c>
      <c r="M33" s="65">
        <v>31.04</v>
      </c>
      <c r="N33" s="41" t="s">
        <v>32</v>
      </c>
      <c r="O33" s="65">
        <v>33.450000000000003</v>
      </c>
      <c r="P33" s="3">
        <v>0</v>
      </c>
      <c r="Q33" s="66">
        <v>20.0986756</v>
      </c>
      <c r="R33" s="25">
        <v>0.96779789999999999</v>
      </c>
      <c r="S33" s="3"/>
      <c r="T33" s="3"/>
      <c r="U33" s="67">
        <f t="shared" si="20"/>
        <v>0</v>
      </c>
      <c r="V33" s="67">
        <f t="shared" si="21"/>
        <v>21.066473500000001</v>
      </c>
      <c r="W33" s="154">
        <f>(O33-V33)*35%</f>
        <v>4.334234275</v>
      </c>
      <c r="X33" s="3">
        <v>0</v>
      </c>
      <c r="Y33" s="3"/>
      <c r="Z33" s="67">
        <f t="shared" si="22"/>
        <v>0</v>
      </c>
      <c r="AA33" s="67">
        <f t="shared" si="23"/>
        <v>25.400707775000001</v>
      </c>
      <c r="AB33" s="3">
        <f>O33-AA33</f>
        <v>8.0492922250000021</v>
      </c>
      <c r="AC33" s="3">
        <f>AA33+AB33</f>
        <v>33.450000000000003</v>
      </c>
      <c r="AD33" s="3"/>
      <c r="AE33" s="67">
        <f t="shared" si="24"/>
        <v>33.450000000000003</v>
      </c>
      <c r="AF33" s="67">
        <f t="shared" si="25"/>
        <v>0</v>
      </c>
    </row>
    <row r="34" spans="1:32" ht="62.4">
      <c r="A34" s="41">
        <f t="shared" si="6"/>
        <v>32</v>
      </c>
      <c r="B34" s="41" t="s">
        <v>736</v>
      </c>
      <c r="C34" s="34" t="s">
        <v>1002</v>
      </c>
      <c r="D34" s="34" t="s">
        <v>1019</v>
      </c>
      <c r="E34" s="41" t="s">
        <v>1451</v>
      </c>
      <c r="F34" s="43" t="s">
        <v>737</v>
      </c>
      <c r="G34" s="41"/>
      <c r="H34" s="41"/>
      <c r="I34" s="41" t="s">
        <v>738</v>
      </c>
      <c r="J34" s="41"/>
      <c r="K34" s="41"/>
      <c r="L34" s="3">
        <v>42.63</v>
      </c>
      <c r="M34" s="3">
        <v>0</v>
      </c>
      <c r="N34" s="41" t="s">
        <v>32</v>
      </c>
      <c r="O34" s="3">
        <v>40.04</v>
      </c>
      <c r="P34" s="3">
        <v>0</v>
      </c>
      <c r="Q34" s="3">
        <v>38.046617699999999</v>
      </c>
      <c r="R34" s="25">
        <v>2.0025680000000001</v>
      </c>
      <c r="S34" s="3"/>
      <c r="T34" s="3"/>
      <c r="U34" s="67">
        <f t="shared" si="20"/>
        <v>0</v>
      </c>
      <c r="V34" s="67">
        <f t="shared" si="21"/>
        <v>40.049185699999995</v>
      </c>
      <c r="W34" s="154">
        <v>0.1329034</v>
      </c>
      <c r="X34" s="67">
        <f t="shared" ref="X34:X36" si="26">V34+W34</f>
        <v>40.182089099999999</v>
      </c>
      <c r="Y34" s="3"/>
      <c r="Z34" s="67">
        <f t="shared" si="22"/>
        <v>40.182089099999999</v>
      </c>
      <c r="AA34" s="67">
        <f t="shared" si="23"/>
        <v>0</v>
      </c>
      <c r="AB34" s="3"/>
      <c r="AC34" s="3"/>
      <c r="AD34" s="3"/>
      <c r="AE34" s="67">
        <f t="shared" si="24"/>
        <v>40.182089099999999</v>
      </c>
      <c r="AF34" s="67">
        <f t="shared" si="25"/>
        <v>0</v>
      </c>
    </row>
    <row r="35" spans="1:32" ht="62.4">
      <c r="A35" s="41">
        <f t="shared" si="6"/>
        <v>33</v>
      </c>
      <c r="B35" s="41" t="s">
        <v>741</v>
      </c>
      <c r="C35" s="34" t="s">
        <v>1002</v>
      </c>
      <c r="D35" s="34" t="s">
        <v>1019</v>
      </c>
      <c r="E35" s="41" t="s">
        <v>1452</v>
      </c>
      <c r="F35" s="43" t="s">
        <v>742</v>
      </c>
      <c r="G35" s="41"/>
      <c r="H35" s="41"/>
      <c r="I35" s="41" t="s">
        <v>743</v>
      </c>
      <c r="J35" s="41"/>
      <c r="K35" s="41" t="s">
        <v>744</v>
      </c>
      <c r="L35" s="3">
        <v>12.869376000000001</v>
      </c>
      <c r="M35" s="3">
        <v>0</v>
      </c>
      <c r="N35" s="41" t="s">
        <v>32</v>
      </c>
      <c r="O35" s="3">
        <v>0</v>
      </c>
      <c r="P35" s="3">
        <v>0</v>
      </c>
      <c r="Q35" s="3">
        <v>10.175425000000001</v>
      </c>
      <c r="R35" s="25">
        <v>1.1920396</v>
      </c>
      <c r="S35" s="3"/>
      <c r="T35" s="3"/>
      <c r="U35" s="67">
        <f t="shared" si="20"/>
        <v>0</v>
      </c>
      <c r="V35" s="67">
        <f t="shared" si="21"/>
        <v>11.3674646</v>
      </c>
      <c r="W35" s="69">
        <f>L35-V35</f>
        <v>1.5019114000000009</v>
      </c>
      <c r="X35" s="67">
        <f t="shared" si="26"/>
        <v>12.869376000000001</v>
      </c>
      <c r="Y35" s="3"/>
      <c r="Z35" s="67">
        <f t="shared" si="22"/>
        <v>12.869376000000001</v>
      </c>
      <c r="AA35" s="67">
        <f t="shared" si="23"/>
        <v>0</v>
      </c>
      <c r="AB35" s="3"/>
      <c r="AC35" s="3"/>
      <c r="AD35" s="3"/>
      <c r="AE35" s="67">
        <f t="shared" si="24"/>
        <v>12.869376000000001</v>
      </c>
      <c r="AF35" s="67">
        <f t="shared" si="25"/>
        <v>0</v>
      </c>
    </row>
    <row r="36" spans="1:32" ht="62.4">
      <c r="A36" s="41">
        <f t="shared" si="6"/>
        <v>34</v>
      </c>
      <c r="B36" s="41" t="s">
        <v>752</v>
      </c>
      <c r="C36" s="34" t="s">
        <v>1002</v>
      </c>
      <c r="D36" s="41" t="s">
        <v>1019</v>
      </c>
      <c r="E36" s="41" t="s">
        <v>1455</v>
      </c>
      <c r="F36" s="43" t="s">
        <v>753</v>
      </c>
      <c r="G36" s="41"/>
      <c r="H36" s="41"/>
      <c r="I36" s="41" t="s">
        <v>754</v>
      </c>
      <c r="J36" s="41"/>
      <c r="K36" s="41" t="s">
        <v>755</v>
      </c>
      <c r="L36" s="3">
        <v>12.92</v>
      </c>
      <c r="M36" s="3">
        <v>0</v>
      </c>
      <c r="N36" s="41" t="s">
        <v>516</v>
      </c>
      <c r="O36" s="3">
        <v>0</v>
      </c>
      <c r="P36" s="3">
        <v>0</v>
      </c>
      <c r="Q36" s="3">
        <v>3.3060071</v>
      </c>
      <c r="R36" s="25">
        <v>4.4653771999999998</v>
      </c>
      <c r="S36" s="3"/>
      <c r="T36" s="3"/>
      <c r="U36" s="67">
        <f t="shared" si="20"/>
        <v>0</v>
      </c>
      <c r="V36" s="67">
        <f t="shared" si="21"/>
        <v>7.7713842999999994</v>
      </c>
      <c r="W36" s="154">
        <f>L36-V36</f>
        <v>5.1486157000000006</v>
      </c>
      <c r="X36" s="67">
        <f t="shared" si="26"/>
        <v>12.92</v>
      </c>
      <c r="Y36" s="3"/>
      <c r="Z36" s="67">
        <f t="shared" si="22"/>
        <v>12.92</v>
      </c>
      <c r="AA36" s="67">
        <f t="shared" si="23"/>
        <v>0</v>
      </c>
      <c r="AB36" s="3"/>
      <c r="AC36" s="3"/>
      <c r="AD36" s="3"/>
      <c r="AE36" s="67">
        <f t="shared" si="24"/>
        <v>12.92</v>
      </c>
      <c r="AF36" s="67">
        <f t="shared" si="25"/>
        <v>0</v>
      </c>
    </row>
    <row r="37" spans="1:32" ht="46.8">
      <c r="A37" s="41">
        <f t="shared" si="6"/>
        <v>35</v>
      </c>
      <c r="B37" s="41" t="s">
        <v>825</v>
      </c>
      <c r="C37" s="34" t="s">
        <v>1002</v>
      </c>
      <c r="D37" s="41" t="s">
        <v>1019</v>
      </c>
      <c r="E37" s="41" t="s">
        <v>1461</v>
      </c>
      <c r="F37" s="43" t="s">
        <v>883</v>
      </c>
      <c r="G37" s="41"/>
      <c r="H37" s="41"/>
      <c r="I37" s="41" t="s">
        <v>781</v>
      </c>
      <c r="J37" s="41"/>
      <c r="K37" s="41"/>
      <c r="L37" s="3">
        <v>30.13</v>
      </c>
      <c r="M37" s="3">
        <v>0</v>
      </c>
      <c r="N37" s="41" t="s">
        <v>67</v>
      </c>
      <c r="O37" s="3">
        <v>33.9</v>
      </c>
      <c r="P37" s="3">
        <v>0</v>
      </c>
      <c r="Q37" s="3">
        <v>10.772880199999999</v>
      </c>
      <c r="R37" s="69">
        <v>18.946118999999999</v>
      </c>
      <c r="S37" s="3"/>
      <c r="T37" s="3"/>
      <c r="U37" s="67">
        <f t="shared" si="20"/>
        <v>0</v>
      </c>
      <c r="V37" s="67">
        <f t="shared" si="21"/>
        <v>29.718999199999999</v>
      </c>
      <c r="W37" s="69">
        <f>O37-V37</f>
        <v>4.1810007999999996</v>
      </c>
      <c r="X37" s="67">
        <f>V37+W37</f>
        <v>33.9</v>
      </c>
      <c r="Y37" s="3"/>
      <c r="Z37" s="67">
        <f t="shared" si="22"/>
        <v>33.9</v>
      </c>
      <c r="AA37" s="67">
        <f t="shared" si="23"/>
        <v>0</v>
      </c>
      <c r="AB37" s="3"/>
      <c r="AC37" s="3"/>
      <c r="AD37" s="3"/>
      <c r="AE37" s="67">
        <f t="shared" si="24"/>
        <v>33.9</v>
      </c>
      <c r="AF37" s="67">
        <f t="shared" si="25"/>
        <v>0</v>
      </c>
    </row>
    <row r="38" spans="1:32" ht="109.2">
      <c r="A38" s="41">
        <f t="shared" si="6"/>
        <v>36</v>
      </c>
      <c r="B38" s="41" t="s">
        <v>816</v>
      </c>
      <c r="C38" s="34" t="s">
        <v>1002</v>
      </c>
      <c r="D38" s="41" t="s">
        <v>1019</v>
      </c>
      <c r="E38" s="41" t="s">
        <v>1464</v>
      </c>
      <c r="F38" s="43" t="s">
        <v>817</v>
      </c>
      <c r="G38" s="41"/>
      <c r="H38" s="41"/>
      <c r="I38" s="41" t="s">
        <v>818</v>
      </c>
      <c r="J38" s="41"/>
      <c r="K38" s="41" t="s">
        <v>819</v>
      </c>
      <c r="L38" s="3">
        <v>0</v>
      </c>
      <c r="M38" s="3">
        <v>0</v>
      </c>
      <c r="N38" s="41" t="s">
        <v>516</v>
      </c>
      <c r="O38" s="3">
        <v>0</v>
      </c>
      <c r="P38" s="3">
        <v>0</v>
      </c>
      <c r="Q38" s="3">
        <v>0</v>
      </c>
      <c r="R38" s="25">
        <v>16.905749100000001</v>
      </c>
      <c r="S38" s="3"/>
      <c r="T38" s="3"/>
      <c r="U38" s="67">
        <f t="shared" si="20"/>
        <v>0</v>
      </c>
      <c r="V38" s="67">
        <f t="shared" si="21"/>
        <v>16.905749100000001</v>
      </c>
      <c r="W38" s="69">
        <v>0</v>
      </c>
      <c r="X38" s="67">
        <f>V38</f>
        <v>16.905749100000001</v>
      </c>
      <c r="Y38" s="3"/>
      <c r="Z38" s="67">
        <f t="shared" si="22"/>
        <v>16.905749100000001</v>
      </c>
      <c r="AA38" s="67">
        <f t="shared" si="23"/>
        <v>0</v>
      </c>
      <c r="AB38" s="3"/>
      <c r="AC38" s="3"/>
      <c r="AD38" s="3"/>
      <c r="AE38" s="67">
        <f t="shared" si="24"/>
        <v>16.905749100000001</v>
      </c>
      <c r="AF38" s="67">
        <f t="shared" si="25"/>
        <v>0</v>
      </c>
    </row>
    <row r="39" spans="1:32" ht="93.6">
      <c r="A39" s="41">
        <f t="shared" si="6"/>
        <v>37</v>
      </c>
      <c r="B39" s="41" t="s">
        <v>820</v>
      </c>
      <c r="C39" s="34" t="s">
        <v>1002</v>
      </c>
      <c r="D39" s="34" t="s">
        <v>1019</v>
      </c>
      <c r="E39" s="41" t="s">
        <v>1465</v>
      </c>
      <c r="F39" s="43" t="s">
        <v>821</v>
      </c>
      <c r="G39" s="41"/>
      <c r="H39" s="41"/>
      <c r="I39" s="41" t="s">
        <v>822</v>
      </c>
      <c r="J39" s="41"/>
      <c r="K39" s="41" t="s">
        <v>823</v>
      </c>
      <c r="L39" s="3">
        <v>43.54</v>
      </c>
      <c r="M39" s="3">
        <v>0</v>
      </c>
      <c r="N39" s="41" t="s">
        <v>516</v>
      </c>
      <c r="O39" s="3"/>
      <c r="P39" s="3">
        <v>0</v>
      </c>
      <c r="Q39" s="3">
        <v>0</v>
      </c>
      <c r="R39" s="25">
        <v>43.096054500000001</v>
      </c>
      <c r="S39" s="3"/>
      <c r="T39" s="3"/>
      <c r="U39" s="67">
        <f t="shared" si="20"/>
        <v>0</v>
      </c>
      <c r="V39" s="67">
        <f t="shared" si="21"/>
        <v>43.096054500000001</v>
      </c>
      <c r="W39" s="154">
        <f>0.7537771+1.9899482</f>
        <v>2.7437252999999999</v>
      </c>
      <c r="X39" s="67">
        <f>V39+W39</f>
        <v>45.839779800000002</v>
      </c>
      <c r="Y39" s="3"/>
      <c r="Z39" s="67">
        <f t="shared" si="22"/>
        <v>45.839779800000002</v>
      </c>
      <c r="AA39" s="67">
        <f t="shared" si="23"/>
        <v>0</v>
      </c>
      <c r="AB39" s="3"/>
      <c r="AC39" s="3"/>
      <c r="AD39" s="3"/>
      <c r="AE39" s="67">
        <f t="shared" si="24"/>
        <v>45.839779800000002</v>
      </c>
      <c r="AF39" s="67">
        <f t="shared" si="25"/>
        <v>0</v>
      </c>
    </row>
    <row r="40" spans="1:32" ht="62.4">
      <c r="A40" s="41">
        <f t="shared" si="6"/>
        <v>38</v>
      </c>
      <c r="B40" s="41" t="s">
        <v>826</v>
      </c>
      <c r="C40" s="34" t="s">
        <v>1002</v>
      </c>
      <c r="D40" s="41" t="s">
        <v>1019</v>
      </c>
      <c r="E40" s="41" t="s">
        <v>30</v>
      </c>
      <c r="F40" s="43" t="s">
        <v>827</v>
      </c>
      <c r="G40" s="41"/>
      <c r="H40" s="41"/>
      <c r="I40" s="41" t="s">
        <v>781</v>
      </c>
      <c r="J40" s="41"/>
      <c r="K40" s="41" t="s">
        <v>828</v>
      </c>
      <c r="L40" s="3">
        <v>0</v>
      </c>
      <c r="M40" s="3">
        <v>0</v>
      </c>
      <c r="N40" s="41" t="s">
        <v>67</v>
      </c>
      <c r="O40" s="3">
        <v>17.399999999999999</v>
      </c>
      <c r="P40" s="3">
        <v>0</v>
      </c>
      <c r="Q40" s="3">
        <v>0</v>
      </c>
      <c r="R40" s="25">
        <v>8.5742256000000001</v>
      </c>
      <c r="S40" s="3"/>
      <c r="T40" s="3"/>
      <c r="U40" s="67">
        <f t="shared" si="20"/>
        <v>0</v>
      </c>
      <c r="V40" s="67">
        <f t="shared" si="21"/>
        <v>8.5742256000000001</v>
      </c>
      <c r="W40" s="154">
        <f>(O40-U40-V40)</f>
        <v>8.8257743999999985</v>
      </c>
      <c r="X40" s="67">
        <f>V40+W40</f>
        <v>17.399999999999999</v>
      </c>
      <c r="Y40" s="3"/>
      <c r="Z40" s="67">
        <f t="shared" si="22"/>
        <v>17.399999999999999</v>
      </c>
      <c r="AA40" s="67">
        <f t="shared" si="23"/>
        <v>0</v>
      </c>
      <c r="AB40" s="3"/>
      <c r="AC40" s="3"/>
      <c r="AD40" s="3"/>
      <c r="AE40" s="67">
        <f t="shared" si="24"/>
        <v>17.399999999999999</v>
      </c>
      <c r="AF40" s="67">
        <f t="shared" si="25"/>
        <v>0</v>
      </c>
    </row>
    <row r="41" spans="1:32" ht="62.4">
      <c r="A41" s="41">
        <f t="shared" si="6"/>
        <v>39</v>
      </c>
      <c r="B41" s="41" t="s">
        <v>1540</v>
      </c>
      <c r="C41" s="34" t="s">
        <v>1002</v>
      </c>
      <c r="D41" s="34" t="s">
        <v>1019</v>
      </c>
      <c r="E41" s="41" t="s">
        <v>1471</v>
      </c>
      <c r="F41" s="76" t="s">
        <v>856</v>
      </c>
      <c r="G41" s="41"/>
      <c r="H41" s="41">
        <v>2</v>
      </c>
      <c r="I41" s="41" t="s">
        <v>857</v>
      </c>
      <c r="J41" s="41" t="s">
        <v>857</v>
      </c>
      <c r="K41" s="41" t="s">
        <v>858</v>
      </c>
      <c r="L41" s="3">
        <v>30.92</v>
      </c>
      <c r="M41" s="3">
        <v>0</v>
      </c>
      <c r="N41" s="41" t="s">
        <v>32</v>
      </c>
      <c r="O41" s="3">
        <v>30.92</v>
      </c>
      <c r="P41" s="3">
        <v>0</v>
      </c>
      <c r="Q41" s="3">
        <v>0</v>
      </c>
      <c r="R41" s="3"/>
      <c r="S41" s="3"/>
      <c r="T41" s="3"/>
      <c r="U41" s="67">
        <f t="shared" si="20"/>
        <v>0</v>
      </c>
      <c r="V41" s="67">
        <f t="shared" si="21"/>
        <v>0</v>
      </c>
      <c r="W41" s="69">
        <f>O41*25%</f>
        <v>7.73</v>
      </c>
      <c r="X41" s="3">
        <v>0</v>
      </c>
      <c r="Y41" s="3"/>
      <c r="Z41" s="67">
        <f t="shared" si="22"/>
        <v>0</v>
      </c>
      <c r="AA41" s="67">
        <f t="shared" si="23"/>
        <v>7.73</v>
      </c>
      <c r="AB41" s="67">
        <f>O41-AA41</f>
        <v>23.19</v>
      </c>
      <c r="AC41" s="67">
        <f>AA41+AB41</f>
        <v>30.92</v>
      </c>
      <c r="AD41" s="3"/>
      <c r="AE41" s="67">
        <f t="shared" si="24"/>
        <v>30.92</v>
      </c>
      <c r="AF41" s="67">
        <f t="shared" si="25"/>
        <v>0</v>
      </c>
    </row>
    <row r="42" spans="1:32" ht="109.2">
      <c r="A42" s="41">
        <f t="shared" si="6"/>
        <v>40</v>
      </c>
      <c r="B42" s="31" t="s">
        <v>870</v>
      </c>
      <c r="C42" s="31" t="s">
        <v>1002</v>
      </c>
      <c r="D42" s="34" t="s">
        <v>1019</v>
      </c>
      <c r="E42" s="41" t="s">
        <v>1473</v>
      </c>
      <c r="F42" s="43" t="s">
        <v>1051</v>
      </c>
      <c r="G42" s="31"/>
      <c r="H42" s="41">
        <v>11</v>
      </c>
      <c r="I42" s="31" t="s">
        <v>871</v>
      </c>
      <c r="J42" s="31" t="s">
        <v>871</v>
      </c>
      <c r="K42" s="31" t="s">
        <v>872</v>
      </c>
      <c r="L42" s="156">
        <v>164.77</v>
      </c>
      <c r="M42" s="3"/>
      <c r="N42" s="31" t="s">
        <v>1044</v>
      </c>
      <c r="O42" s="156">
        <v>154.26</v>
      </c>
      <c r="P42" s="3">
        <v>0</v>
      </c>
      <c r="Q42" s="3">
        <v>0</v>
      </c>
      <c r="R42" s="25">
        <f>6.0724637+8.9447285</f>
        <v>15.0171922</v>
      </c>
      <c r="S42" s="3"/>
      <c r="T42" s="3"/>
      <c r="U42" s="67">
        <f t="shared" ref="U42:U46" si="27">P42+S42+T42</f>
        <v>0</v>
      </c>
      <c r="V42" s="67">
        <f t="shared" ref="V42:V46" si="28">Q42+R42-S42-T42</f>
        <v>15.0171922</v>
      </c>
      <c r="W42" s="154">
        <f>0.2036437+1.7543942+3.9670658+4.1785089+0.4285569+1.3606444+0.775712+0.7569804+1.2334763+3.088595+2.0585007+0.4160869+0.6261324+0.2207888+18</f>
        <v>39.069086400000003</v>
      </c>
      <c r="X42" s="67">
        <v>0</v>
      </c>
      <c r="Y42" s="3"/>
      <c r="Z42" s="67">
        <f t="shared" ref="Z42:Z46" si="29">U42+X42+Y42</f>
        <v>0</v>
      </c>
      <c r="AA42" s="67">
        <f t="shared" ref="AA42:AA46" si="30">V42+W42-X42-Y42</f>
        <v>54.0862786</v>
      </c>
      <c r="AB42" s="3">
        <f>O42-AA42</f>
        <v>100.17372139999999</v>
      </c>
      <c r="AC42" s="3">
        <f>AA42+AB42</f>
        <v>154.26</v>
      </c>
      <c r="AD42" s="3"/>
      <c r="AE42" s="67">
        <f t="shared" ref="AE42:AE46" si="31">Z42+AC42+AD42</f>
        <v>154.26</v>
      </c>
      <c r="AF42" s="67">
        <f>AA42+AB42-AC42-AD42</f>
        <v>0</v>
      </c>
    </row>
    <row r="43" spans="1:32" ht="124.8">
      <c r="A43" s="41">
        <f t="shared" si="6"/>
        <v>41</v>
      </c>
      <c r="B43" s="41" t="s">
        <v>845</v>
      </c>
      <c r="C43" s="34" t="s">
        <v>1002</v>
      </c>
      <c r="D43" s="34" t="s">
        <v>1023</v>
      </c>
      <c r="E43" s="41" t="s">
        <v>1474</v>
      </c>
      <c r="F43" s="76" t="s">
        <v>846</v>
      </c>
      <c r="G43" s="41"/>
      <c r="H43" s="41">
        <v>5</v>
      </c>
      <c r="I43" s="41" t="s">
        <v>847</v>
      </c>
      <c r="J43" s="41" t="s">
        <v>847</v>
      </c>
      <c r="K43" s="41" t="s">
        <v>848</v>
      </c>
      <c r="L43" s="3">
        <v>9.89</v>
      </c>
      <c r="M43" s="3">
        <v>9.89</v>
      </c>
      <c r="N43" s="41" t="s">
        <v>67</v>
      </c>
      <c r="O43" s="3">
        <v>9.89</v>
      </c>
      <c r="P43" s="3">
        <v>0</v>
      </c>
      <c r="Q43" s="3">
        <v>0</v>
      </c>
      <c r="R43" s="3"/>
      <c r="S43" s="3"/>
      <c r="T43" s="3"/>
      <c r="U43" s="67">
        <f t="shared" si="27"/>
        <v>0</v>
      </c>
      <c r="V43" s="67">
        <f t="shared" si="28"/>
        <v>0</v>
      </c>
      <c r="W43" s="69">
        <v>2.1</v>
      </c>
      <c r="X43" s="67">
        <v>0</v>
      </c>
      <c r="Y43" s="3"/>
      <c r="Z43" s="67">
        <f t="shared" si="29"/>
        <v>0</v>
      </c>
      <c r="AA43" s="67">
        <f t="shared" si="30"/>
        <v>2.1</v>
      </c>
      <c r="AB43" s="67">
        <f>O43-AA43</f>
        <v>7.7900000000000009</v>
      </c>
      <c r="AC43" s="67">
        <f>AA43+AB43</f>
        <v>9.89</v>
      </c>
      <c r="AD43" s="3"/>
      <c r="AE43" s="67">
        <f t="shared" si="31"/>
        <v>9.89</v>
      </c>
      <c r="AF43" s="67">
        <f t="shared" ref="AF43:AF46" si="32">AA43+AB43-AC43-AD43</f>
        <v>0</v>
      </c>
    </row>
    <row r="44" spans="1:32" ht="156">
      <c r="A44" s="41">
        <f t="shared" si="6"/>
        <v>42</v>
      </c>
      <c r="B44" s="41" t="s">
        <v>849</v>
      </c>
      <c r="C44" s="34" t="s">
        <v>1002</v>
      </c>
      <c r="D44" s="34" t="s">
        <v>1023</v>
      </c>
      <c r="E44" s="34" t="s">
        <v>30</v>
      </c>
      <c r="F44" s="76" t="s">
        <v>850</v>
      </c>
      <c r="G44" s="41"/>
      <c r="H44" s="41">
        <v>1</v>
      </c>
      <c r="I44" s="41"/>
      <c r="J44" s="41"/>
      <c r="K44" s="41" t="s">
        <v>851</v>
      </c>
      <c r="L44" s="3">
        <v>78.39</v>
      </c>
      <c r="M44" s="3">
        <v>0</v>
      </c>
      <c r="N44" s="41" t="s">
        <v>1045</v>
      </c>
      <c r="O44" s="3">
        <v>78.39</v>
      </c>
      <c r="P44" s="3">
        <v>0</v>
      </c>
      <c r="Q44" s="3">
        <v>0</v>
      </c>
      <c r="R44" s="3">
        <v>48.065877200000003</v>
      </c>
      <c r="S44" s="3"/>
      <c r="T44" s="3"/>
      <c r="U44" s="67">
        <f t="shared" si="27"/>
        <v>0</v>
      </c>
      <c r="V44" s="67">
        <f t="shared" si="28"/>
        <v>48.065877200000003</v>
      </c>
      <c r="W44" s="154">
        <f>O44-V44</f>
        <v>30.324122799999998</v>
      </c>
      <c r="X44" s="67">
        <f>V44+W44</f>
        <v>78.39</v>
      </c>
      <c r="Y44" s="3"/>
      <c r="Z44" s="67">
        <f t="shared" si="29"/>
        <v>78.39</v>
      </c>
      <c r="AA44" s="67">
        <f t="shared" si="30"/>
        <v>0</v>
      </c>
      <c r="AB44" s="67"/>
      <c r="AC44" s="67"/>
      <c r="AD44" s="3"/>
      <c r="AE44" s="67">
        <f t="shared" si="31"/>
        <v>78.39</v>
      </c>
      <c r="AF44" s="67">
        <f t="shared" si="32"/>
        <v>0</v>
      </c>
    </row>
    <row r="45" spans="1:32" ht="202.8">
      <c r="A45" s="41">
        <f t="shared" si="6"/>
        <v>43</v>
      </c>
      <c r="B45" s="41" t="s">
        <v>852</v>
      </c>
      <c r="C45" s="34" t="s">
        <v>1002</v>
      </c>
      <c r="D45" s="34" t="s">
        <v>1023</v>
      </c>
      <c r="E45" s="34" t="s">
        <v>30</v>
      </c>
      <c r="F45" s="76" t="s">
        <v>853</v>
      </c>
      <c r="G45" s="41"/>
      <c r="H45" s="41">
        <v>4</v>
      </c>
      <c r="I45" s="41" t="s">
        <v>854</v>
      </c>
      <c r="J45" s="41" t="s">
        <v>854</v>
      </c>
      <c r="K45" s="41" t="s">
        <v>855</v>
      </c>
      <c r="L45" s="3">
        <v>333.05</v>
      </c>
      <c r="M45" s="3">
        <v>0</v>
      </c>
      <c r="N45" s="41" t="s">
        <v>1045</v>
      </c>
      <c r="O45" s="3">
        <v>333.05</v>
      </c>
      <c r="P45" s="3">
        <v>0</v>
      </c>
      <c r="Q45" s="3">
        <v>0</v>
      </c>
      <c r="R45" s="3">
        <v>348.15271849999999</v>
      </c>
      <c r="S45" s="3">
        <f>20.1635557+2.7402822+0.8607832+54.8072863+32.6482006+16.0222241+12.6241276+0.203727+0.6669045+78.6796603+25.5743907+53.3051329+7.3379766+2.4779436+25.9339952</f>
        <v>334.04619049999997</v>
      </c>
      <c r="T45" s="3"/>
      <c r="U45" s="67">
        <f t="shared" si="27"/>
        <v>334.04619049999997</v>
      </c>
      <c r="V45" s="67">
        <f t="shared" si="28"/>
        <v>14.106528000000026</v>
      </c>
      <c r="W45" s="154">
        <f>1.1272143+3.8209274+1.0773768+0.8113309+0.9251353+0.8656224+0.1913446+1.0562489+0.00354+0.0334157+0.3066319</f>
        <v>10.218788199999999</v>
      </c>
      <c r="X45" s="67">
        <f>V45+W45</f>
        <v>24.325316200000024</v>
      </c>
      <c r="Y45" s="3"/>
      <c r="Z45" s="67">
        <f t="shared" si="29"/>
        <v>358.3715067</v>
      </c>
      <c r="AA45" s="67">
        <f t="shared" si="30"/>
        <v>0</v>
      </c>
      <c r="AB45" s="67"/>
      <c r="AC45" s="67"/>
      <c r="AD45" s="3"/>
      <c r="AE45" s="67">
        <f t="shared" si="31"/>
        <v>358.3715067</v>
      </c>
      <c r="AF45" s="67">
        <f t="shared" si="32"/>
        <v>0</v>
      </c>
    </row>
    <row r="46" spans="1:32" ht="171.6">
      <c r="A46" s="41">
        <f t="shared" si="6"/>
        <v>44</v>
      </c>
      <c r="B46" s="41" t="s">
        <v>859</v>
      </c>
      <c r="C46" s="34" t="s">
        <v>1002</v>
      </c>
      <c r="D46" s="34" t="s">
        <v>1023</v>
      </c>
      <c r="E46" s="34" t="s">
        <v>30</v>
      </c>
      <c r="F46" s="76" t="s">
        <v>860</v>
      </c>
      <c r="G46" s="41"/>
      <c r="H46" s="41">
        <v>4</v>
      </c>
      <c r="I46" s="41" t="s">
        <v>861</v>
      </c>
      <c r="J46" s="41" t="s">
        <v>861</v>
      </c>
      <c r="K46" s="77">
        <v>44903</v>
      </c>
      <c r="L46" s="3">
        <v>6.74</v>
      </c>
      <c r="M46" s="3">
        <v>0</v>
      </c>
      <c r="N46" s="41" t="s">
        <v>516</v>
      </c>
      <c r="O46" s="3">
        <v>6.01</v>
      </c>
      <c r="P46" s="3">
        <v>0</v>
      </c>
      <c r="Q46" s="3">
        <v>0</v>
      </c>
      <c r="R46" s="3"/>
      <c r="S46" s="3"/>
      <c r="T46" s="3"/>
      <c r="U46" s="67">
        <f t="shared" si="27"/>
        <v>0</v>
      </c>
      <c r="V46" s="67">
        <f t="shared" si="28"/>
        <v>0</v>
      </c>
      <c r="W46" s="154">
        <f>O46</f>
        <v>6.01</v>
      </c>
      <c r="X46" s="67">
        <f>W46</f>
        <v>6.01</v>
      </c>
      <c r="Y46" s="3"/>
      <c r="Z46" s="67">
        <f t="shared" si="29"/>
        <v>6.01</v>
      </c>
      <c r="AA46" s="67">
        <f t="shared" si="30"/>
        <v>0</v>
      </c>
      <c r="AB46" s="3"/>
      <c r="AC46" s="3"/>
      <c r="AD46" s="3"/>
      <c r="AE46" s="67">
        <f t="shared" si="31"/>
        <v>6.01</v>
      </c>
      <c r="AF46" s="67">
        <f t="shared" si="32"/>
        <v>0</v>
      </c>
    </row>
    <row r="47" spans="1:32" ht="62.4">
      <c r="A47" s="41">
        <f t="shared" si="6"/>
        <v>45</v>
      </c>
      <c r="B47" s="32" t="s">
        <v>1513</v>
      </c>
      <c r="C47" s="36" t="s">
        <v>1002</v>
      </c>
      <c r="D47" s="34" t="s">
        <v>1023</v>
      </c>
      <c r="E47" s="34" t="s">
        <v>1509</v>
      </c>
      <c r="F47" s="32" t="s">
        <v>1494</v>
      </c>
      <c r="G47" s="41"/>
      <c r="H47" s="41"/>
      <c r="I47" s="41"/>
      <c r="J47" s="41"/>
      <c r="K47" s="77"/>
      <c r="L47" s="3"/>
      <c r="M47" s="3">
        <v>55.2</v>
      </c>
      <c r="N47" s="36" t="s">
        <v>32</v>
      </c>
      <c r="O47" s="3">
        <v>0</v>
      </c>
      <c r="P47" s="3">
        <v>0</v>
      </c>
      <c r="Q47" s="3">
        <v>0</v>
      </c>
      <c r="R47" s="25"/>
      <c r="S47" s="3"/>
      <c r="T47" s="3"/>
      <c r="U47" s="67">
        <f t="shared" ref="U47:U53" si="33">P47+S47+T47</f>
        <v>0</v>
      </c>
      <c r="V47" s="67">
        <f t="shared" ref="V47:V53" si="34">Q47+R47-S47-T47</f>
        <v>0</v>
      </c>
      <c r="W47" s="154">
        <v>12</v>
      </c>
      <c r="X47" s="3">
        <v>0</v>
      </c>
      <c r="Y47" s="3"/>
      <c r="Z47" s="67">
        <f t="shared" ref="Z47:Z53" si="35">U47+X47+Y47</f>
        <v>0</v>
      </c>
      <c r="AA47" s="67">
        <f t="shared" ref="AA47:AA53" si="36">V47+W47-X47-Y47</f>
        <v>12</v>
      </c>
      <c r="AB47" s="3">
        <f>M47-AA47</f>
        <v>43.2</v>
      </c>
      <c r="AC47" s="3">
        <f>AA47+AB47</f>
        <v>55.2</v>
      </c>
      <c r="AD47" s="3"/>
      <c r="AE47" s="67">
        <f t="shared" ref="AE47:AE53" si="37">Z47+AC47+AD47</f>
        <v>55.2</v>
      </c>
      <c r="AF47" s="67">
        <f t="shared" ref="AF47:AF53" si="38">AA47+AB47-AC47-AD47</f>
        <v>0</v>
      </c>
    </row>
    <row r="48" spans="1:32" ht="78">
      <c r="A48" s="41">
        <f t="shared" si="6"/>
        <v>46</v>
      </c>
      <c r="B48" s="32" t="s">
        <v>1514</v>
      </c>
      <c r="C48" s="36" t="s">
        <v>1002</v>
      </c>
      <c r="D48" s="34" t="s">
        <v>1023</v>
      </c>
      <c r="E48" s="34" t="s">
        <v>1509</v>
      </c>
      <c r="F48" s="32" t="s">
        <v>1495</v>
      </c>
      <c r="G48" s="41"/>
      <c r="H48" s="41"/>
      <c r="I48" s="41"/>
      <c r="J48" s="41"/>
      <c r="K48" s="77"/>
      <c r="L48" s="3"/>
      <c r="M48" s="3">
        <v>98.34</v>
      </c>
      <c r="N48" s="36" t="s">
        <v>1045</v>
      </c>
      <c r="O48" s="3">
        <v>0</v>
      </c>
      <c r="P48" s="3">
        <v>0</v>
      </c>
      <c r="Q48" s="3">
        <v>0</v>
      </c>
      <c r="R48" s="25"/>
      <c r="S48" s="3"/>
      <c r="T48" s="3"/>
      <c r="U48" s="67">
        <f t="shared" si="33"/>
        <v>0</v>
      </c>
      <c r="V48" s="67">
        <f t="shared" si="34"/>
        <v>0</v>
      </c>
      <c r="W48" s="154">
        <f>4.32529+4.32529+32</f>
        <v>40.650579999999998</v>
      </c>
      <c r="X48" s="3"/>
      <c r="Y48" s="3"/>
      <c r="Z48" s="67">
        <f t="shared" si="35"/>
        <v>0</v>
      </c>
      <c r="AA48" s="67">
        <f t="shared" si="36"/>
        <v>40.650579999999998</v>
      </c>
      <c r="AB48" s="3">
        <f>M48-AA48</f>
        <v>57.689420000000005</v>
      </c>
      <c r="AC48" s="3">
        <f>M48</f>
        <v>98.34</v>
      </c>
      <c r="AD48" s="3"/>
      <c r="AE48" s="67">
        <f t="shared" si="37"/>
        <v>98.34</v>
      </c>
      <c r="AF48" s="67">
        <f t="shared" si="38"/>
        <v>0</v>
      </c>
    </row>
    <row r="49" spans="1:32" ht="62.4">
      <c r="A49" s="41">
        <f t="shared" si="6"/>
        <v>47</v>
      </c>
      <c r="B49" s="32" t="s">
        <v>1515</v>
      </c>
      <c r="C49" s="36" t="s">
        <v>1002</v>
      </c>
      <c r="D49" s="34" t="s">
        <v>1023</v>
      </c>
      <c r="E49" s="34" t="s">
        <v>1509</v>
      </c>
      <c r="F49" s="32" t="s">
        <v>1497</v>
      </c>
      <c r="G49" s="41"/>
      <c r="H49" s="41"/>
      <c r="I49" s="41"/>
      <c r="J49" s="41"/>
      <c r="K49" s="77"/>
      <c r="L49" s="3"/>
      <c r="M49" s="3">
        <v>9.6</v>
      </c>
      <c r="N49" s="36" t="s">
        <v>1506</v>
      </c>
      <c r="O49" s="3">
        <v>0</v>
      </c>
      <c r="P49" s="3">
        <v>0</v>
      </c>
      <c r="Q49" s="3">
        <v>0</v>
      </c>
      <c r="R49" s="25"/>
      <c r="S49" s="3"/>
      <c r="T49" s="3"/>
      <c r="U49" s="67">
        <f t="shared" si="33"/>
        <v>0</v>
      </c>
      <c r="V49" s="67">
        <f t="shared" si="34"/>
        <v>0</v>
      </c>
      <c r="W49" s="3"/>
      <c r="X49" s="3"/>
      <c r="Y49" s="3"/>
      <c r="Z49" s="67">
        <f t="shared" si="35"/>
        <v>0</v>
      </c>
      <c r="AA49" s="67">
        <f t="shared" si="36"/>
        <v>0</v>
      </c>
      <c r="AB49" s="3">
        <f>M49-Z49-AA49</f>
        <v>9.6</v>
      </c>
      <c r="AC49" s="3">
        <f>AA49+AB49</f>
        <v>9.6</v>
      </c>
      <c r="AD49" s="3"/>
      <c r="AE49" s="67">
        <f t="shared" si="37"/>
        <v>9.6</v>
      </c>
      <c r="AF49" s="67">
        <f t="shared" si="38"/>
        <v>0</v>
      </c>
    </row>
    <row r="50" spans="1:32" ht="109.2">
      <c r="A50" s="41">
        <f t="shared" si="6"/>
        <v>48</v>
      </c>
      <c r="B50" s="32" t="s">
        <v>1516</v>
      </c>
      <c r="C50" s="36" t="s">
        <v>1002</v>
      </c>
      <c r="D50" s="34" t="s">
        <v>1023</v>
      </c>
      <c r="E50" s="34" t="s">
        <v>1509</v>
      </c>
      <c r="F50" s="32" t="s">
        <v>1498</v>
      </c>
      <c r="G50" s="41"/>
      <c r="H50" s="41"/>
      <c r="I50" s="41"/>
      <c r="J50" s="41"/>
      <c r="K50" s="77"/>
      <c r="L50" s="3"/>
      <c r="M50" s="3">
        <v>123.83</v>
      </c>
      <c r="N50" s="36" t="s">
        <v>32</v>
      </c>
      <c r="O50" s="3">
        <v>0</v>
      </c>
      <c r="P50" s="3">
        <v>0</v>
      </c>
      <c r="Q50" s="3">
        <v>0</v>
      </c>
      <c r="R50" s="25"/>
      <c r="S50" s="3"/>
      <c r="T50" s="3"/>
      <c r="U50" s="67">
        <f t="shared" si="33"/>
        <v>0</v>
      </c>
      <c r="V50" s="67">
        <f t="shared" si="34"/>
        <v>0</v>
      </c>
      <c r="W50" s="3">
        <f>M50*35%</f>
        <v>43.340499999999999</v>
      </c>
      <c r="X50" s="3">
        <v>0</v>
      </c>
      <c r="Y50" s="3"/>
      <c r="Z50" s="67">
        <f t="shared" si="35"/>
        <v>0</v>
      </c>
      <c r="AA50" s="67">
        <f t="shared" si="36"/>
        <v>43.340499999999999</v>
      </c>
      <c r="AB50" s="3">
        <f>M50-AA50</f>
        <v>80.489499999999992</v>
      </c>
      <c r="AC50" s="3">
        <f>AA50+AB50</f>
        <v>123.82999999999998</v>
      </c>
      <c r="AD50" s="3"/>
      <c r="AE50" s="67">
        <f t="shared" si="37"/>
        <v>123.82999999999998</v>
      </c>
      <c r="AF50" s="67">
        <f t="shared" si="38"/>
        <v>0</v>
      </c>
    </row>
    <row r="51" spans="1:32" ht="124.8">
      <c r="A51" s="41">
        <f t="shared" si="6"/>
        <v>49</v>
      </c>
      <c r="B51" s="32" t="s">
        <v>1517</v>
      </c>
      <c r="C51" s="36" t="s">
        <v>1002</v>
      </c>
      <c r="D51" s="34" t="s">
        <v>1023</v>
      </c>
      <c r="E51" s="34" t="s">
        <v>1509</v>
      </c>
      <c r="F51" s="32" t="s">
        <v>1499</v>
      </c>
      <c r="G51" s="41"/>
      <c r="H51" s="41"/>
      <c r="I51" s="41"/>
      <c r="J51" s="41"/>
      <c r="K51" s="77"/>
      <c r="L51" s="3"/>
      <c r="M51" s="3">
        <v>18.2</v>
      </c>
      <c r="N51" s="36" t="s">
        <v>67</v>
      </c>
      <c r="O51" s="3">
        <v>0</v>
      </c>
      <c r="P51" s="3">
        <v>0</v>
      </c>
      <c r="Q51" s="3">
        <v>0</v>
      </c>
      <c r="R51" s="25"/>
      <c r="S51" s="3"/>
      <c r="T51" s="3"/>
      <c r="U51" s="67">
        <f t="shared" si="33"/>
        <v>0</v>
      </c>
      <c r="V51" s="67">
        <f t="shared" si="34"/>
        <v>0</v>
      </c>
      <c r="W51" s="3">
        <v>8.25</v>
      </c>
      <c r="X51" s="3"/>
      <c r="Y51" s="3"/>
      <c r="Z51" s="67">
        <f t="shared" si="35"/>
        <v>0</v>
      </c>
      <c r="AA51" s="67">
        <f t="shared" si="36"/>
        <v>8.25</v>
      </c>
      <c r="AB51" s="3">
        <f>M51-AA51</f>
        <v>9.9499999999999993</v>
      </c>
      <c r="AC51" s="3">
        <f>AA51+AB51</f>
        <v>18.2</v>
      </c>
      <c r="AD51" s="3"/>
      <c r="AE51" s="67">
        <f t="shared" si="37"/>
        <v>18.2</v>
      </c>
      <c r="AF51" s="67">
        <f t="shared" si="38"/>
        <v>0</v>
      </c>
    </row>
    <row r="52" spans="1:32" ht="62.4">
      <c r="A52" s="41">
        <f t="shared" si="6"/>
        <v>50</v>
      </c>
      <c r="B52" s="32" t="s">
        <v>1550</v>
      </c>
      <c r="C52" s="33" t="s">
        <v>1002</v>
      </c>
      <c r="D52" s="34"/>
      <c r="E52" s="34"/>
      <c r="F52" s="38" t="s">
        <v>1551</v>
      </c>
      <c r="G52" s="41"/>
      <c r="H52" s="41"/>
      <c r="I52" s="41"/>
      <c r="J52" s="41"/>
      <c r="K52" s="77"/>
      <c r="L52" s="3">
        <v>282.62</v>
      </c>
      <c r="M52" s="3"/>
      <c r="N52" s="36" t="s">
        <v>1045</v>
      </c>
      <c r="O52" s="3"/>
      <c r="P52" s="3"/>
      <c r="Q52" s="3">
        <v>0</v>
      </c>
      <c r="R52" s="25">
        <v>0</v>
      </c>
      <c r="S52" s="3">
        <v>0</v>
      </c>
      <c r="T52" s="3">
        <v>0</v>
      </c>
      <c r="U52" s="67">
        <f t="shared" si="33"/>
        <v>0</v>
      </c>
      <c r="V52" s="67">
        <f t="shared" si="34"/>
        <v>0</v>
      </c>
      <c r="W52" s="154">
        <f>L52-V52</f>
        <v>282.62</v>
      </c>
      <c r="X52" s="3">
        <f>V52+W52</f>
        <v>282.62</v>
      </c>
      <c r="Y52" s="3"/>
      <c r="Z52" s="67">
        <f t="shared" si="35"/>
        <v>282.62</v>
      </c>
      <c r="AA52" s="67">
        <f t="shared" si="36"/>
        <v>0</v>
      </c>
      <c r="AB52" s="3"/>
      <c r="AC52" s="3"/>
      <c r="AD52" s="3"/>
      <c r="AE52" s="67">
        <f t="shared" si="37"/>
        <v>282.62</v>
      </c>
      <c r="AF52" s="67">
        <f t="shared" si="38"/>
        <v>0</v>
      </c>
    </row>
    <row r="53" spans="1:32" ht="46.8">
      <c r="A53" s="41">
        <f t="shared" si="6"/>
        <v>51</v>
      </c>
      <c r="B53" s="32" t="s">
        <v>1525</v>
      </c>
      <c r="C53" s="33" t="s">
        <v>1002</v>
      </c>
      <c r="D53" s="34"/>
      <c r="E53" s="34"/>
      <c r="F53" s="38" t="s">
        <v>1535</v>
      </c>
      <c r="G53" s="41"/>
      <c r="H53" s="41"/>
      <c r="I53" s="41"/>
      <c r="J53" s="41"/>
      <c r="K53" s="77"/>
      <c r="L53" s="3"/>
      <c r="M53" s="3"/>
      <c r="N53" s="36"/>
      <c r="O53" s="3">
        <v>0</v>
      </c>
      <c r="P53" s="3">
        <v>0</v>
      </c>
      <c r="Q53" s="3">
        <v>0</v>
      </c>
      <c r="R53" s="25">
        <v>0.336011</v>
      </c>
      <c r="S53" s="3"/>
      <c r="T53" s="3"/>
      <c r="U53" s="67">
        <f t="shared" si="33"/>
        <v>0</v>
      </c>
      <c r="V53" s="67">
        <f t="shared" si="34"/>
        <v>0.336011</v>
      </c>
      <c r="W53" s="3"/>
      <c r="X53" s="3">
        <f>V53+W53</f>
        <v>0.336011</v>
      </c>
      <c r="Y53" s="3"/>
      <c r="Z53" s="67">
        <f t="shared" si="35"/>
        <v>0.336011</v>
      </c>
      <c r="AA53" s="67">
        <f t="shared" si="36"/>
        <v>0</v>
      </c>
      <c r="AB53" s="3"/>
      <c r="AC53" s="3"/>
      <c r="AD53" s="3"/>
      <c r="AE53" s="67">
        <f t="shared" si="37"/>
        <v>0.336011</v>
      </c>
      <c r="AF53" s="67">
        <f t="shared" si="38"/>
        <v>0</v>
      </c>
    </row>
    <row r="54" spans="1:32">
      <c r="B54" s="56"/>
      <c r="C54" s="56"/>
      <c r="D54" s="56"/>
      <c r="E54" s="56"/>
      <c r="F54" s="57"/>
    </row>
    <row r="55" spans="1:32">
      <c r="B55" s="56"/>
      <c r="C55" s="56"/>
      <c r="D55" s="56"/>
      <c r="E55" s="56"/>
      <c r="F55" s="57"/>
    </row>
    <row r="56" spans="1:32">
      <c r="B56" s="56"/>
      <c r="C56" s="56"/>
      <c r="D56" s="56"/>
      <c r="E56" s="56"/>
      <c r="F56" s="57"/>
    </row>
    <row r="57" spans="1:32">
      <c r="B57" s="56"/>
      <c r="C57" s="56"/>
      <c r="D57" s="56"/>
      <c r="E57" s="56"/>
      <c r="F57" s="57"/>
    </row>
    <row r="58" spans="1:32">
      <c r="B58" s="56"/>
      <c r="C58" s="56"/>
      <c r="D58" s="56"/>
      <c r="E58" s="56"/>
      <c r="F58" s="57"/>
    </row>
    <row r="59" spans="1:32">
      <c r="B59" s="56"/>
      <c r="C59" s="56"/>
      <c r="D59" s="56"/>
      <c r="E59" s="56"/>
      <c r="F59" s="57"/>
      <c r="N59" s="58"/>
      <c r="P59" s="6">
        <f>SUM(P3:P54)</f>
        <v>88.582744362999989</v>
      </c>
      <c r="Q59" s="6">
        <f t="shared" ref="Q59:AF59" si="39">SUM(Q3:Q54)</f>
        <v>982.40372473700006</v>
      </c>
      <c r="R59" s="6">
        <f t="shared" si="39"/>
        <v>744.6565834999999</v>
      </c>
      <c r="S59" s="6">
        <f t="shared" si="39"/>
        <v>464.41228787506196</v>
      </c>
      <c r="T59" s="6">
        <f t="shared" si="39"/>
        <v>0</v>
      </c>
      <c r="U59" s="6">
        <f t="shared" si="39"/>
        <v>552.99503223806198</v>
      </c>
      <c r="V59" s="6">
        <f t="shared" si="39"/>
        <v>1262.6480203619383</v>
      </c>
      <c r="W59" s="6">
        <f t="shared" si="39"/>
        <v>689.99500237500001</v>
      </c>
      <c r="X59" s="6">
        <f t="shared" si="39"/>
        <v>1391.7675514459381</v>
      </c>
      <c r="Y59" s="6">
        <f t="shared" si="39"/>
        <v>0</v>
      </c>
      <c r="Z59" s="6">
        <f t="shared" si="39"/>
        <v>1944.7625836840009</v>
      </c>
      <c r="AA59" s="6">
        <f t="shared" si="39"/>
        <v>560.87547129100005</v>
      </c>
      <c r="AB59" s="6">
        <f t="shared" si="39"/>
        <v>406.99869082499998</v>
      </c>
      <c r="AC59" s="6">
        <f t="shared" si="39"/>
        <v>902.82698379900012</v>
      </c>
      <c r="AD59" s="6">
        <f t="shared" si="39"/>
        <v>0</v>
      </c>
      <c r="AE59" s="6">
        <f t="shared" si="39"/>
        <v>2847.5895674830003</v>
      </c>
      <c r="AF59" s="6">
        <f t="shared" si="39"/>
        <v>65.047178317000004</v>
      </c>
    </row>
    <row r="60" spans="1:32">
      <c r="B60" s="56"/>
      <c r="C60" s="56"/>
      <c r="D60" s="56"/>
      <c r="E60" s="56"/>
      <c r="F60" s="59"/>
      <c r="P60" s="60">
        <v>5928.5454609469998</v>
      </c>
      <c r="Q60" s="60">
        <v>2981.6366133530005</v>
      </c>
      <c r="R60" s="60">
        <v>1557.2182424</v>
      </c>
      <c r="S60" s="60">
        <f>13183101509.6194/10^7</f>
        <v>1318.3101509619401</v>
      </c>
      <c r="T60" s="60">
        <v>0</v>
      </c>
      <c r="U60" s="60">
        <v>7246.8556119089362</v>
      </c>
      <c r="V60" s="60">
        <v>3220.5447047910593</v>
      </c>
      <c r="W60" s="60">
        <v>407.37500237499995</v>
      </c>
      <c r="X60" s="60">
        <v>1109.1475514459382</v>
      </c>
      <c r="Y60" s="60">
        <v>0</v>
      </c>
      <c r="Z60" s="60">
        <v>1662.142583684001</v>
      </c>
      <c r="AA60" s="60">
        <v>560.87547129100005</v>
      </c>
      <c r="AB60" s="60">
        <v>406.99869082499998</v>
      </c>
      <c r="AC60" s="60">
        <v>902.82698379900012</v>
      </c>
      <c r="AD60" s="60">
        <v>0</v>
      </c>
      <c r="AE60" s="60">
        <v>9127.041760854876</v>
      </c>
      <c r="AF60" s="60">
        <v>1753.1853337836985</v>
      </c>
    </row>
    <row r="61" spans="1:32">
      <c r="B61" s="56"/>
      <c r="C61" s="56"/>
      <c r="D61" s="56"/>
      <c r="E61" s="56"/>
      <c r="F61" s="57"/>
      <c r="P61" s="6">
        <f t="shared" ref="P61:Q61" si="40">P59-P60</f>
        <v>-5839.9627165840002</v>
      </c>
      <c r="Q61" s="6">
        <f t="shared" si="40"/>
        <v>-1999.2328886160003</v>
      </c>
      <c r="R61" s="6">
        <f>R59-R60</f>
        <v>-812.56165890000011</v>
      </c>
      <c r="S61" s="6">
        <f t="shared" ref="S61:W61" si="41">S59-S60</f>
        <v>-853.89786308687803</v>
      </c>
      <c r="T61" s="6">
        <f t="shared" si="41"/>
        <v>0</v>
      </c>
      <c r="U61" s="6">
        <f t="shared" si="41"/>
        <v>-6693.8605796708744</v>
      </c>
      <c r="V61" s="6">
        <f t="shared" si="41"/>
        <v>-1957.896684429121</v>
      </c>
      <c r="W61" s="6">
        <f t="shared" si="41"/>
        <v>282.62000000000006</v>
      </c>
      <c r="X61" s="6">
        <f>X59-X60</f>
        <v>282.61999999999989</v>
      </c>
      <c r="Y61" s="6">
        <f t="shared" ref="Y61:AA61" si="42">Y59-Y60</f>
        <v>0</v>
      </c>
      <c r="Z61" s="6">
        <f t="shared" si="42"/>
        <v>282.61999999999989</v>
      </c>
      <c r="AA61" s="6">
        <f t="shared" si="42"/>
        <v>0</v>
      </c>
      <c r="AB61" s="6">
        <f>AB59-AB60</f>
        <v>0</v>
      </c>
      <c r="AC61" s="6">
        <f t="shared" ref="AC61:AF61" si="43">AC59-AC60</f>
        <v>0</v>
      </c>
      <c r="AD61" s="6">
        <f t="shared" si="43"/>
        <v>0</v>
      </c>
      <c r="AE61" s="6">
        <f t="shared" si="43"/>
        <v>-6279.4521933718752</v>
      </c>
      <c r="AF61" s="6">
        <f t="shared" si="43"/>
        <v>-1688.1381554666984</v>
      </c>
    </row>
    <row r="62" spans="1:32">
      <c r="B62" s="56"/>
      <c r="C62" s="56"/>
      <c r="D62" s="56"/>
      <c r="E62" s="56"/>
      <c r="F62" s="57"/>
      <c r="N62" s="58"/>
      <c r="V62" s="6">
        <f>3357.35</f>
        <v>3357.35</v>
      </c>
    </row>
    <row r="63" spans="1:32">
      <c r="B63" s="56"/>
      <c r="C63" s="56"/>
      <c r="D63" s="56"/>
      <c r="E63" s="56"/>
      <c r="F63" s="57"/>
      <c r="R63" s="5"/>
      <c r="S63" s="5"/>
      <c r="T63" s="5"/>
      <c r="U63" s="5"/>
      <c r="V63" s="5">
        <f>V62-V59</f>
        <v>2094.7019796380619</v>
      </c>
      <c r="W63" s="157"/>
      <c r="X63" s="4"/>
      <c r="Y63" s="4"/>
      <c r="Z63" s="4"/>
      <c r="AA63" s="4"/>
      <c r="AB63" s="4"/>
      <c r="AC63" s="4"/>
      <c r="AD63" s="4"/>
      <c r="AE63" s="5"/>
      <c r="AF63" s="5"/>
    </row>
    <row r="64" spans="1:32">
      <c r="B64" s="56"/>
      <c r="C64" s="56"/>
      <c r="D64" s="56"/>
      <c r="E64" s="56"/>
      <c r="F64" s="57"/>
      <c r="R64" s="5"/>
      <c r="S64" s="5"/>
      <c r="T64" s="5"/>
      <c r="U64" s="5"/>
      <c r="V64" s="5"/>
      <c r="W64" s="5"/>
      <c r="X64" s="5"/>
      <c r="Y64" s="5"/>
      <c r="Z64" s="5"/>
      <c r="AA64" s="5"/>
      <c r="AB64" s="5"/>
      <c r="AC64" s="5"/>
      <c r="AD64" s="5"/>
      <c r="AE64" s="5"/>
      <c r="AF64" s="5"/>
    </row>
    <row r="65" spans="2:32">
      <c r="B65" s="56"/>
      <c r="C65" s="56"/>
      <c r="D65" s="56"/>
      <c r="E65" s="56"/>
      <c r="F65" s="57"/>
      <c r="N65" s="58"/>
    </row>
    <row r="66" spans="2:32" s="55" customFormat="1">
      <c r="B66" s="56"/>
      <c r="C66" s="56"/>
      <c r="D66" s="56"/>
      <c r="E66" s="56"/>
      <c r="F66" s="57"/>
      <c r="L66" s="5"/>
      <c r="M66" s="5"/>
      <c r="O66" s="5"/>
      <c r="P66" s="5"/>
      <c r="Q66" s="5"/>
      <c r="R66" s="6"/>
      <c r="S66" s="6"/>
      <c r="T66" s="6"/>
      <c r="U66" s="6"/>
      <c r="V66" s="6"/>
      <c r="W66" s="6"/>
      <c r="X66" s="6"/>
      <c r="Y66" s="6"/>
      <c r="Z66" s="6"/>
      <c r="AA66" s="6"/>
      <c r="AB66" s="6"/>
      <c r="AC66" s="6"/>
      <c r="AD66" s="6"/>
      <c r="AE66" s="6"/>
      <c r="AF66" s="6"/>
    </row>
    <row r="67" spans="2:32" s="55" customFormat="1" ht="28.8">
      <c r="B67" s="56"/>
      <c r="C67" s="56"/>
      <c r="D67" s="56"/>
      <c r="E67" s="56"/>
      <c r="F67" s="57"/>
      <c r="L67" s="5"/>
      <c r="M67" s="5"/>
      <c r="N67" s="58"/>
      <c r="O67" s="5"/>
      <c r="P67" s="5"/>
      <c r="Q67" s="5"/>
      <c r="R67" s="6"/>
      <c r="S67" s="24"/>
      <c r="T67" s="6"/>
      <c r="U67" s="6"/>
      <c r="V67" s="21" t="s">
        <v>1047</v>
      </c>
      <c r="W67" s="21"/>
      <c r="X67" s="21"/>
      <c r="Y67" s="21"/>
      <c r="Z67" s="21"/>
      <c r="AA67" s="21" t="s">
        <v>1048</v>
      </c>
      <c r="AB67" s="6"/>
      <c r="AC67" s="6"/>
      <c r="AD67" s="6"/>
      <c r="AE67" s="6"/>
      <c r="AF67" s="6"/>
    </row>
    <row r="68" spans="2:32" s="55" customFormat="1" ht="28.8">
      <c r="B68" s="56"/>
      <c r="C68" s="56"/>
      <c r="D68" s="56"/>
      <c r="E68" s="56"/>
      <c r="F68" s="57"/>
      <c r="L68" s="5"/>
      <c r="M68" s="5"/>
      <c r="O68" s="5"/>
      <c r="P68" s="5"/>
      <c r="Q68" s="5"/>
      <c r="R68" s="6"/>
      <c r="S68" s="24"/>
      <c r="T68" s="6"/>
      <c r="U68" s="6"/>
      <c r="V68" s="21" t="s">
        <v>1050</v>
      </c>
      <c r="W68" s="21"/>
      <c r="X68" s="21"/>
      <c r="Y68" s="21"/>
      <c r="Z68" s="21"/>
      <c r="AA68" s="21" t="s">
        <v>1049</v>
      </c>
      <c r="AB68" s="6"/>
      <c r="AC68" s="6"/>
      <c r="AD68" s="6"/>
      <c r="AE68" s="6"/>
      <c r="AF68" s="6"/>
    </row>
    <row r="69" spans="2:32" s="55" customFormat="1">
      <c r="B69" s="56"/>
      <c r="C69" s="56"/>
      <c r="D69" s="56"/>
      <c r="E69" s="56"/>
      <c r="F69" s="57"/>
      <c r="L69" s="5"/>
      <c r="M69" s="5"/>
      <c r="O69" s="5"/>
      <c r="P69" s="5"/>
      <c r="Q69" s="5"/>
      <c r="R69" s="6"/>
      <c r="S69" s="6"/>
      <c r="T69" s="6"/>
      <c r="U69" s="6"/>
      <c r="V69" s="19"/>
      <c r="W69" s="20"/>
      <c r="X69" s="20"/>
      <c r="Y69" s="20"/>
      <c r="Z69" s="20"/>
      <c r="AA69" s="19"/>
      <c r="AB69" s="6"/>
      <c r="AC69" s="6"/>
      <c r="AD69" s="6"/>
      <c r="AE69" s="6"/>
      <c r="AF69" s="6"/>
    </row>
    <row r="70" spans="2:32" s="55" customFormat="1">
      <c r="B70" s="56"/>
      <c r="C70" s="56"/>
      <c r="D70" s="56"/>
      <c r="E70" s="56"/>
      <c r="F70" s="57"/>
      <c r="L70" s="5"/>
      <c r="M70" s="5"/>
      <c r="O70" s="5"/>
      <c r="P70" s="5"/>
      <c r="Q70" s="5"/>
      <c r="R70" s="6"/>
      <c r="S70" s="6"/>
      <c r="T70" s="6"/>
      <c r="U70" s="6"/>
      <c r="V70" s="6"/>
      <c r="W70" s="6"/>
      <c r="X70" s="6"/>
      <c r="Y70" s="6"/>
      <c r="Z70" s="6"/>
      <c r="AA70" s="6"/>
      <c r="AB70" s="6"/>
      <c r="AC70" s="6"/>
      <c r="AD70" s="6"/>
      <c r="AE70" s="6"/>
      <c r="AF70" s="6"/>
    </row>
    <row r="71" spans="2:32" s="55" customFormat="1">
      <c r="B71" s="56"/>
      <c r="C71" s="56"/>
      <c r="D71" s="56"/>
      <c r="E71" s="56"/>
      <c r="F71" s="57"/>
      <c r="L71" s="5"/>
      <c r="M71" s="5"/>
      <c r="O71" s="5"/>
      <c r="P71" s="5"/>
      <c r="Q71" s="5"/>
      <c r="R71" s="6"/>
      <c r="S71" s="6"/>
      <c r="T71" s="6"/>
      <c r="U71" s="6"/>
      <c r="V71" s="6"/>
      <c r="W71" s="6"/>
      <c r="X71" s="6"/>
      <c r="Y71" s="6"/>
      <c r="Z71" s="6"/>
      <c r="AA71" s="6"/>
      <c r="AB71" s="6"/>
      <c r="AC71" s="6"/>
      <c r="AD71" s="6"/>
      <c r="AE71" s="6"/>
      <c r="AF71" s="6"/>
    </row>
    <row r="72" spans="2:32" s="55" customFormat="1">
      <c r="B72" s="56"/>
      <c r="C72" s="56"/>
      <c r="D72" s="56"/>
      <c r="E72" s="56"/>
      <c r="F72" s="57"/>
      <c r="L72" s="5"/>
      <c r="M72" s="5"/>
      <c r="O72" s="5"/>
      <c r="P72" s="5"/>
      <c r="Q72" s="5"/>
      <c r="R72" s="6"/>
      <c r="S72" s="6"/>
      <c r="T72" s="6"/>
      <c r="U72" s="6"/>
      <c r="V72" s="6"/>
      <c r="W72" s="6"/>
      <c r="X72" s="6"/>
      <c r="Y72" s="6"/>
      <c r="Z72" s="6"/>
      <c r="AA72" s="6"/>
      <c r="AB72" s="6"/>
      <c r="AC72" s="6"/>
      <c r="AD72" s="6"/>
      <c r="AE72" s="6"/>
      <c r="AF72" s="6"/>
    </row>
    <row r="73" spans="2:32" s="55" customFormat="1">
      <c r="B73" s="56"/>
      <c r="C73" s="56"/>
      <c r="D73" s="56"/>
      <c r="E73" s="56"/>
      <c r="F73" s="57"/>
      <c r="L73" s="5"/>
      <c r="M73" s="5"/>
      <c r="O73" s="5"/>
      <c r="P73" s="5"/>
      <c r="Q73" s="5"/>
      <c r="R73" s="6"/>
      <c r="S73" s="6"/>
      <c r="T73" s="6"/>
      <c r="U73" s="6"/>
      <c r="V73" s="6"/>
      <c r="W73" s="6"/>
      <c r="X73" s="6"/>
      <c r="Y73" s="6"/>
      <c r="Z73" s="6"/>
      <c r="AA73" s="6"/>
      <c r="AB73" s="6"/>
      <c r="AC73" s="6"/>
      <c r="AD73" s="6"/>
      <c r="AE73" s="6"/>
      <c r="AF73" s="6"/>
    </row>
  </sheetData>
  <autoFilter ref="A2:AF53" xr:uid="{34D823DB-D417-4BE4-A97A-5F38DEF56512}"/>
  <mergeCells count="4">
    <mergeCell ref="A1:P1"/>
    <mergeCell ref="Q1:V1"/>
    <mergeCell ref="W1:AA1"/>
    <mergeCell ref="AB1:AF1"/>
  </mergeCells>
  <printOptions horizontalCentered="1"/>
  <pageMargins left="0.19685039370078741" right="0.19685039370078741" top="0.19685039370078741" bottom="0.19685039370078741" header="0" footer="0"/>
  <pageSetup paperSize="5"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325E7-9F92-427E-9D9A-F75D3408B9C9}">
  <dimension ref="A1:AF69"/>
  <sheetViews>
    <sheetView tabSelected="1" view="pageBreakPreview" topLeftCell="L1" zoomScale="90" zoomScaleNormal="80" zoomScaleSheetLayoutView="90" workbookViewId="0">
      <pane ySplit="2" topLeftCell="A17" activePane="bottomLeft" state="frozen"/>
      <selection activeCell="X62" sqref="X62"/>
      <selection pane="bottomLeft" activeCell="V18" sqref="V18"/>
    </sheetView>
  </sheetViews>
  <sheetFormatPr defaultColWidth="8.88671875" defaultRowHeight="15.6"/>
  <cols>
    <col min="1" max="1" width="9.109375" style="55" customWidth="1"/>
    <col min="2" max="2" width="21.6640625" style="55" customWidth="1"/>
    <col min="3" max="3" width="13.109375" style="55" customWidth="1"/>
    <col min="4" max="4" width="14" style="55" customWidth="1"/>
    <col min="5" max="5" width="17" style="55" customWidth="1"/>
    <col min="6" max="6" width="55.5546875" style="61" customWidth="1"/>
    <col min="7" max="7" width="22.44140625" style="55" customWidth="1"/>
    <col min="8" max="8" width="12.6640625" style="55" customWidth="1"/>
    <col min="9" max="9" width="12.5546875" style="55" customWidth="1"/>
    <col min="10" max="10" width="12.33203125" style="55" customWidth="1"/>
    <col min="11" max="11" width="15" style="55" customWidth="1"/>
    <col min="12" max="12" width="11.44140625" style="5" customWidth="1"/>
    <col min="13" max="13" width="12.109375" style="5" customWidth="1"/>
    <col min="14" max="14" width="13" style="55" customWidth="1"/>
    <col min="15" max="15" width="12.88671875" style="5" customWidth="1"/>
    <col min="16" max="16" width="13" style="5" customWidth="1"/>
    <col min="17" max="17" width="13.44140625" style="5" customWidth="1"/>
    <col min="18" max="32" width="13.44140625" style="6" customWidth="1"/>
    <col min="33" max="16384" width="8.88671875" style="30"/>
  </cols>
  <sheetData>
    <row r="1" spans="1:32" s="47" customFormat="1" ht="18">
      <c r="A1" s="168" t="s">
        <v>0</v>
      </c>
      <c r="B1" s="169"/>
      <c r="C1" s="169"/>
      <c r="D1" s="169"/>
      <c r="E1" s="169"/>
      <c r="F1" s="169"/>
      <c r="G1" s="169"/>
      <c r="H1" s="169"/>
      <c r="I1" s="169"/>
      <c r="J1" s="169"/>
      <c r="K1" s="169"/>
      <c r="L1" s="169"/>
      <c r="M1" s="169"/>
      <c r="N1" s="169"/>
      <c r="O1" s="169"/>
      <c r="P1" s="170"/>
      <c r="Q1" s="171" t="s">
        <v>1</v>
      </c>
      <c r="R1" s="172"/>
      <c r="S1" s="172"/>
      <c r="T1" s="172"/>
      <c r="U1" s="172"/>
      <c r="V1" s="172"/>
      <c r="W1" s="171" t="s">
        <v>2</v>
      </c>
      <c r="X1" s="172"/>
      <c r="Y1" s="172"/>
      <c r="Z1" s="172"/>
      <c r="AA1" s="172"/>
      <c r="AB1" s="171" t="s">
        <v>1475</v>
      </c>
      <c r="AC1" s="172"/>
      <c r="AD1" s="172"/>
      <c r="AE1" s="172"/>
      <c r="AF1" s="172"/>
    </row>
    <row r="2" spans="1:32" s="49" customFormat="1" ht="62.4">
      <c r="A2" s="48" t="s">
        <v>3</v>
      </c>
      <c r="B2" s="48" t="s">
        <v>4</v>
      </c>
      <c r="C2" s="48" t="s">
        <v>1476</v>
      </c>
      <c r="D2" s="48" t="s">
        <v>875</v>
      </c>
      <c r="E2" s="48" t="s">
        <v>1055</v>
      </c>
      <c r="F2" s="62" t="s">
        <v>5</v>
      </c>
      <c r="G2" s="48" t="s">
        <v>6</v>
      </c>
      <c r="H2" s="48" t="s">
        <v>7</v>
      </c>
      <c r="I2" s="48" t="s">
        <v>8</v>
      </c>
      <c r="J2" s="48" t="s">
        <v>9</v>
      </c>
      <c r="K2" s="48" t="s">
        <v>10</v>
      </c>
      <c r="L2" s="2" t="s">
        <v>11</v>
      </c>
      <c r="M2" s="2" t="s">
        <v>12</v>
      </c>
      <c r="N2" s="48" t="s">
        <v>13</v>
      </c>
      <c r="O2" s="2" t="s">
        <v>14</v>
      </c>
      <c r="P2" s="2" t="s">
        <v>15</v>
      </c>
      <c r="Q2" s="2" t="s">
        <v>1546</v>
      </c>
      <c r="R2" s="2" t="s">
        <v>16</v>
      </c>
      <c r="S2" s="2" t="s">
        <v>17</v>
      </c>
      <c r="T2" s="2" t="s">
        <v>18</v>
      </c>
      <c r="U2" s="2" t="s">
        <v>19</v>
      </c>
      <c r="V2" s="2" t="s">
        <v>20</v>
      </c>
      <c r="W2" s="2" t="s">
        <v>21</v>
      </c>
      <c r="X2" s="2" t="s">
        <v>22</v>
      </c>
      <c r="Y2" s="2" t="s">
        <v>23</v>
      </c>
      <c r="Z2" s="2" t="s">
        <v>24</v>
      </c>
      <c r="AA2" s="2" t="s">
        <v>25</v>
      </c>
      <c r="AB2" s="2" t="s">
        <v>1478</v>
      </c>
      <c r="AC2" s="2" t="s">
        <v>1479</v>
      </c>
      <c r="AD2" s="2" t="s">
        <v>1480</v>
      </c>
      <c r="AE2" s="2" t="s">
        <v>1481</v>
      </c>
      <c r="AF2" s="2" t="s">
        <v>1482</v>
      </c>
    </row>
    <row r="3" spans="1:32" ht="46.8">
      <c r="A3" s="41">
        <v>1</v>
      </c>
      <c r="B3" s="42" t="s">
        <v>102</v>
      </c>
      <c r="C3" s="42" t="s">
        <v>876</v>
      </c>
      <c r="D3" s="41" t="s">
        <v>1016</v>
      </c>
      <c r="E3" s="41" t="s">
        <v>1096</v>
      </c>
      <c r="F3" s="43" t="s">
        <v>103</v>
      </c>
      <c r="G3" s="41" t="s">
        <v>28</v>
      </c>
      <c r="H3" s="63">
        <v>2</v>
      </c>
      <c r="I3" s="64">
        <v>42084</v>
      </c>
      <c r="J3" s="64">
        <v>42084</v>
      </c>
      <c r="K3" s="64">
        <v>42449</v>
      </c>
      <c r="L3" s="65">
        <v>15.9</v>
      </c>
      <c r="M3" s="65">
        <v>15.89</v>
      </c>
      <c r="N3" s="41" t="s">
        <v>29</v>
      </c>
      <c r="O3" s="159">
        <v>15.9</v>
      </c>
      <c r="P3" s="3">
        <v>0</v>
      </c>
      <c r="Q3" s="66">
        <v>17.05</v>
      </c>
      <c r="R3" s="3"/>
      <c r="S3" s="3"/>
      <c r="T3" s="3"/>
      <c r="U3" s="67">
        <f t="shared" ref="U3" si="0">P3+S3+T3</f>
        <v>0</v>
      </c>
      <c r="V3" s="67">
        <f t="shared" ref="V3" si="1">Q3+R3-S3-T3</f>
        <v>17.05</v>
      </c>
      <c r="W3" s="154">
        <v>0.31280580000000002</v>
      </c>
      <c r="X3" s="3"/>
      <c r="Y3" s="3"/>
      <c r="Z3" s="67">
        <f t="shared" ref="Z3" si="2">U3+X3+Y3</f>
        <v>0</v>
      </c>
      <c r="AA3" s="67">
        <f t="shared" ref="AA3" si="3">V3+W3-X3-Y3</f>
        <v>17.3628058</v>
      </c>
      <c r="AB3" s="3"/>
      <c r="AC3" s="3"/>
      <c r="AD3" s="3"/>
      <c r="AE3" s="67">
        <f t="shared" ref="AE3" si="4">Z3+AC3+AD3</f>
        <v>0</v>
      </c>
      <c r="AF3" s="67">
        <f t="shared" ref="AF3" si="5">AA3+AB3-AC3-AD3</f>
        <v>17.3628058</v>
      </c>
    </row>
    <row r="4" spans="1:32" ht="62.4">
      <c r="A4" s="41">
        <f>A3+1</f>
        <v>2</v>
      </c>
      <c r="B4" s="41" t="s">
        <v>726</v>
      </c>
      <c r="C4" s="41" t="s">
        <v>876</v>
      </c>
      <c r="D4" s="41" t="s">
        <v>1019</v>
      </c>
      <c r="E4" s="41" t="s">
        <v>1222</v>
      </c>
      <c r="F4" s="43" t="s">
        <v>727</v>
      </c>
      <c r="G4" s="41" t="s">
        <v>28</v>
      </c>
      <c r="H4" s="41">
        <v>2</v>
      </c>
      <c r="I4" s="41" t="s">
        <v>728</v>
      </c>
      <c r="J4" s="41" t="s">
        <v>729</v>
      </c>
      <c r="K4" s="41" t="s">
        <v>730</v>
      </c>
      <c r="L4" s="3">
        <v>8.58</v>
      </c>
      <c r="M4" s="3"/>
      <c r="N4" s="41" t="s">
        <v>516</v>
      </c>
      <c r="O4" s="3">
        <v>10.42</v>
      </c>
      <c r="P4" s="3">
        <v>0</v>
      </c>
      <c r="Q4" s="66">
        <v>9.6070594000000007</v>
      </c>
      <c r="R4" s="25">
        <v>0.44942029999999999</v>
      </c>
      <c r="S4" s="3">
        <v>10.0563462</v>
      </c>
      <c r="T4" s="3"/>
      <c r="U4" s="67">
        <f t="shared" ref="U4:U5" si="6">P4+S4+T4</f>
        <v>10.0563462</v>
      </c>
      <c r="V4" s="67">
        <f t="shared" ref="V4:V5" si="7">Q4+R4-S4-T4</f>
        <v>1.335000000004527E-4</v>
      </c>
      <c r="W4" s="154">
        <f>0.2840722+0.0011027</f>
        <v>0.28517490000000001</v>
      </c>
      <c r="X4" s="3"/>
      <c r="Y4" s="3"/>
      <c r="Z4" s="67">
        <f t="shared" ref="Z4:Z5" si="8">U4+X4+Y4</f>
        <v>10.0563462</v>
      </c>
      <c r="AA4" s="67">
        <f t="shared" ref="AA4:AA5" si="9">V4+W4-X4-Y4</f>
        <v>0.28530840000000046</v>
      </c>
      <c r="AB4" s="3"/>
      <c r="AC4" s="3"/>
      <c r="AD4" s="3"/>
      <c r="AE4" s="67">
        <f t="shared" ref="AE4:AE5" si="10">Z4+AC4+AD4</f>
        <v>10.0563462</v>
      </c>
      <c r="AF4" s="67">
        <f t="shared" ref="AF4:AF5" si="11">AA4+AB4-AC4-AD4</f>
        <v>0.28530840000000046</v>
      </c>
    </row>
    <row r="5" spans="1:32" ht="93.6">
      <c r="A5" s="41">
        <f t="shared" ref="A5:A49" si="12">A4+1</f>
        <v>3</v>
      </c>
      <c r="B5" s="41" t="s">
        <v>774</v>
      </c>
      <c r="C5" s="42" t="s">
        <v>876</v>
      </c>
      <c r="D5" s="41" t="s">
        <v>1019</v>
      </c>
      <c r="E5" s="41" t="s">
        <v>1223</v>
      </c>
      <c r="F5" s="43" t="s">
        <v>775</v>
      </c>
      <c r="G5" s="41"/>
      <c r="H5" s="41"/>
      <c r="I5" s="41"/>
      <c r="J5" s="41"/>
      <c r="K5" s="41"/>
      <c r="L5" s="41"/>
      <c r="M5" s="41"/>
      <c r="N5" s="41" t="s">
        <v>516</v>
      </c>
      <c r="O5" s="3">
        <v>0</v>
      </c>
      <c r="P5" s="3">
        <v>0</v>
      </c>
      <c r="Q5" s="66">
        <v>8.2451836000000007</v>
      </c>
      <c r="R5" s="25">
        <v>0.41024359999999999</v>
      </c>
      <c r="S5" s="3">
        <f>4.3287011+4.3266572</f>
        <v>8.6553582999999996</v>
      </c>
      <c r="T5" s="3"/>
      <c r="U5" s="67">
        <f t="shared" si="6"/>
        <v>8.6553582999999996</v>
      </c>
      <c r="V5" s="67">
        <f t="shared" si="7"/>
        <v>6.8900000000482464E-5</v>
      </c>
      <c r="W5" s="154">
        <f>0.0438607+0.4301226</f>
        <v>0.4739833</v>
      </c>
      <c r="X5" s="3"/>
      <c r="Y5" s="3"/>
      <c r="Z5" s="67">
        <f t="shared" si="8"/>
        <v>8.6553582999999996</v>
      </c>
      <c r="AA5" s="67">
        <f t="shared" si="9"/>
        <v>0.47405220000000048</v>
      </c>
      <c r="AB5" s="3"/>
      <c r="AC5" s="3"/>
      <c r="AD5" s="3"/>
      <c r="AE5" s="67">
        <f t="shared" si="10"/>
        <v>8.6553582999999996</v>
      </c>
      <c r="AF5" s="67">
        <f t="shared" si="11"/>
        <v>0.47405220000000048</v>
      </c>
    </row>
    <row r="6" spans="1:32" ht="78">
      <c r="A6" s="41">
        <f t="shared" si="12"/>
        <v>4</v>
      </c>
      <c r="B6" s="34" t="s">
        <v>797</v>
      </c>
      <c r="C6" s="34" t="s">
        <v>876</v>
      </c>
      <c r="D6" s="34" t="s">
        <v>1019</v>
      </c>
      <c r="E6" s="41" t="s">
        <v>1329</v>
      </c>
      <c r="F6" s="43" t="s">
        <v>442</v>
      </c>
      <c r="G6" s="41" t="s">
        <v>28</v>
      </c>
      <c r="H6" s="41">
        <v>5</v>
      </c>
      <c r="I6" s="64">
        <v>43486</v>
      </c>
      <c r="J6" s="64">
        <v>43486</v>
      </c>
      <c r="K6" s="41" t="s">
        <v>454</v>
      </c>
      <c r="L6" s="65">
        <v>105.28</v>
      </c>
      <c r="M6" s="65">
        <v>128.33000000000001</v>
      </c>
      <c r="N6" s="41" t="s">
        <v>32</v>
      </c>
      <c r="O6" s="65">
        <v>101.98</v>
      </c>
      <c r="P6" s="3">
        <v>0</v>
      </c>
      <c r="Q6" s="66">
        <v>97.908319999999989</v>
      </c>
      <c r="R6" s="25">
        <v>3.8011083999999999</v>
      </c>
      <c r="S6" s="3"/>
      <c r="T6" s="3"/>
      <c r="U6" s="67">
        <f t="shared" ref="U6:U17" si="13">P6+S6+T6</f>
        <v>0</v>
      </c>
      <c r="V6" s="67">
        <f t="shared" ref="V6:V17" si="14">Q6+R6-S6-T6</f>
        <v>101.70942839999999</v>
      </c>
      <c r="W6" s="154">
        <f>0.0910866+0.6665348</f>
        <v>0.7576214</v>
      </c>
      <c r="X6" s="3">
        <f>V6+W6</f>
        <v>102.4670498</v>
      </c>
      <c r="Y6" s="3"/>
      <c r="Z6" s="67">
        <f t="shared" ref="Z6:Z17" si="15">U6+X6+Y6</f>
        <v>102.4670498</v>
      </c>
      <c r="AA6" s="67">
        <f t="shared" ref="AA6:AA17" si="16">V6+W6-X6-Y6</f>
        <v>0</v>
      </c>
      <c r="AB6" s="3"/>
      <c r="AC6" s="3"/>
      <c r="AD6" s="3"/>
      <c r="AE6" s="67">
        <f t="shared" ref="AE6:AE17" si="17">Z6+AC6+AD6</f>
        <v>102.4670498</v>
      </c>
      <c r="AF6" s="67">
        <f t="shared" ref="AF6:AF17" si="18">AA6+AB6-AC6-AD6</f>
        <v>0</v>
      </c>
    </row>
    <row r="7" spans="1:32" ht="62.4">
      <c r="A7" s="41">
        <f t="shared" si="12"/>
        <v>5</v>
      </c>
      <c r="B7" s="34" t="s">
        <v>977</v>
      </c>
      <c r="C7" s="34" t="s">
        <v>876</v>
      </c>
      <c r="D7" s="34" t="s">
        <v>1019</v>
      </c>
      <c r="E7" s="41" t="s">
        <v>1330</v>
      </c>
      <c r="F7" s="43" t="s">
        <v>443</v>
      </c>
      <c r="G7" s="41" t="s">
        <v>28</v>
      </c>
      <c r="H7" s="41"/>
      <c r="I7" s="64">
        <v>43480</v>
      </c>
      <c r="J7" s="64">
        <v>43480</v>
      </c>
      <c r="K7" s="41"/>
      <c r="L7" s="65">
        <v>29.14</v>
      </c>
      <c r="M7" s="65">
        <v>39.619999999999997</v>
      </c>
      <c r="N7" s="41" t="s">
        <v>32</v>
      </c>
      <c r="O7" s="65">
        <v>25.61</v>
      </c>
      <c r="P7" s="3">
        <v>0</v>
      </c>
      <c r="Q7" s="66">
        <v>24.87</v>
      </c>
      <c r="R7" s="3"/>
      <c r="S7" s="3"/>
      <c r="T7" s="3"/>
      <c r="U7" s="67">
        <f t="shared" si="13"/>
        <v>0</v>
      </c>
      <c r="V7" s="67">
        <f t="shared" si="14"/>
        <v>24.87</v>
      </c>
      <c r="W7" s="3">
        <f>O7-V7</f>
        <v>0.73999999999999844</v>
      </c>
      <c r="X7" s="3">
        <f>V7+W7</f>
        <v>25.61</v>
      </c>
      <c r="Y7" s="3"/>
      <c r="Z7" s="67">
        <f t="shared" si="15"/>
        <v>25.61</v>
      </c>
      <c r="AA7" s="67">
        <f t="shared" si="16"/>
        <v>0</v>
      </c>
      <c r="AB7" s="3"/>
      <c r="AC7" s="3"/>
      <c r="AD7" s="3"/>
      <c r="AE7" s="67">
        <f t="shared" si="17"/>
        <v>25.61</v>
      </c>
      <c r="AF7" s="67">
        <f t="shared" si="18"/>
        <v>0</v>
      </c>
    </row>
    <row r="8" spans="1:32" ht="78">
      <c r="A8" s="41">
        <f t="shared" si="12"/>
        <v>6</v>
      </c>
      <c r="B8" s="34" t="s">
        <v>796</v>
      </c>
      <c r="C8" s="34" t="s">
        <v>876</v>
      </c>
      <c r="D8" s="34" t="s">
        <v>1019</v>
      </c>
      <c r="E8" s="41" t="s">
        <v>1332</v>
      </c>
      <c r="F8" s="43" t="s">
        <v>445</v>
      </c>
      <c r="G8" s="41" t="s">
        <v>28</v>
      </c>
      <c r="H8" s="41">
        <v>7</v>
      </c>
      <c r="I8" s="64">
        <v>43486</v>
      </c>
      <c r="J8" s="64">
        <v>43486</v>
      </c>
      <c r="K8" s="70" t="s">
        <v>454</v>
      </c>
      <c r="L8" s="65">
        <v>114</v>
      </c>
      <c r="M8" s="65">
        <v>114</v>
      </c>
      <c r="N8" s="41" t="s">
        <v>32</v>
      </c>
      <c r="O8" s="65">
        <v>93.37</v>
      </c>
      <c r="P8" s="3">
        <v>0</v>
      </c>
      <c r="Q8" s="66">
        <v>90.311520999999999</v>
      </c>
      <c r="R8" s="25">
        <v>0.3843375</v>
      </c>
      <c r="S8" s="3">
        <f>81.3746688+0.3021228+0.0822147+8.9369482+9.1719757+9.06556120777648</f>
        <v>108.93349140777649</v>
      </c>
      <c r="T8" s="3"/>
      <c r="U8" s="67">
        <f t="shared" si="13"/>
        <v>108.93349140777649</v>
      </c>
      <c r="V8" s="67">
        <f t="shared" si="14"/>
        <v>-18.237632907776486</v>
      </c>
      <c r="W8" s="154">
        <v>0.36228840000000001</v>
      </c>
      <c r="X8" s="3">
        <f>W8</f>
        <v>0.36228840000000001</v>
      </c>
      <c r="Y8" s="3"/>
      <c r="Z8" s="67">
        <f t="shared" si="15"/>
        <v>109.29577980777648</v>
      </c>
      <c r="AA8" s="67">
        <f t="shared" si="16"/>
        <v>-18.237632907776486</v>
      </c>
      <c r="AB8" s="3"/>
      <c r="AC8" s="3"/>
      <c r="AD8" s="3"/>
      <c r="AE8" s="67">
        <f t="shared" si="17"/>
        <v>109.29577980777648</v>
      </c>
      <c r="AF8" s="67">
        <f t="shared" si="18"/>
        <v>-18.237632907776486</v>
      </c>
    </row>
    <row r="9" spans="1:32" ht="62.4">
      <c r="A9" s="41">
        <f t="shared" si="12"/>
        <v>7</v>
      </c>
      <c r="B9" s="34" t="s">
        <v>804</v>
      </c>
      <c r="C9" s="34" t="s">
        <v>876</v>
      </c>
      <c r="D9" s="34" t="s">
        <v>1019</v>
      </c>
      <c r="E9" s="41" t="s">
        <v>1352</v>
      </c>
      <c r="F9" s="43" t="s">
        <v>477</v>
      </c>
      <c r="G9" s="41" t="s">
        <v>28</v>
      </c>
      <c r="H9" s="41"/>
      <c r="I9" s="64">
        <v>43480</v>
      </c>
      <c r="J9" s="64">
        <v>43480</v>
      </c>
      <c r="K9" s="41"/>
      <c r="L9" s="65">
        <v>12.8</v>
      </c>
      <c r="M9" s="65">
        <v>16.25</v>
      </c>
      <c r="N9" s="41" t="s">
        <v>32</v>
      </c>
      <c r="O9" s="159">
        <v>12.8</v>
      </c>
      <c r="P9" s="3">
        <v>0</v>
      </c>
      <c r="Q9" s="66">
        <v>9.0882839999999998</v>
      </c>
      <c r="R9" s="25">
        <v>0.27546150000000003</v>
      </c>
      <c r="S9" s="3">
        <f>2.8100952+4.680049+1.8699538+0.918041197913261</f>
        <v>10.278139197913262</v>
      </c>
      <c r="T9" s="3"/>
      <c r="U9" s="67">
        <f t="shared" si="13"/>
        <v>10.278139197913262</v>
      </c>
      <c r="V9" s="67">
        <f t="shared" si="14"/>
        <v>-0.91439369791326186</v>
      </c>
      <c r="W9" s="154">
        <v>9.4046000000000005E-2</v>
      </c>
      <c r="X9" s="3"/>
      <c r="Y9" s="3"/>
      <c r="Z9" s="67">
        <f t="shared" si="15"/>
        <v>10.278139197913262</v>
      </c>
      <c r="AA9" s="67">
        <f t="shared" si="16"/>
        <v>-0.8203476979132619</v>
      </c>
      <c r="AB9" s="3"/>
      <c r="AC9" s="3"/>
      <c r="AD9" s="3"/>
      <c r="AE9" s="67">
        <f t="shared" si="17"/>
        <v>10.278139197913262</v>
      </c>
      <c r="AF9" s="67">
        <f t="shared" si="18"/>
        <v>-0.8203476979132619</v>
      </c>
    </row>
    <row r="10" spans="1:32" ht="62.4">
      <c r="A10" s="41">
        <f t="shared" si="12"/>
        <v>8</v>
      </c>
      <c r="B10" s="34" t="s">
        <v>982</v>
      </c>
      <c r="C10" s="34" t="s">
        <v>876</v>
      </c>
      <c r="D10" s="34" t="s">
        <v>1019</v>
      </c>
      <c r="E10" s="41" t="s">
        <v>1353</v>
      </c>
      <c r="F10" s="43" t="s">
        <v>478</v>
      </c>
      <c r="G10" s="41" t="s">
        <v>28</v>
      </c>
      <c r="H10" s="41"/>
      <c r="I10" s="64">
        <v>43502</v>
      </c>
      <c r="J10" s="64">
        <v>43502</v>
      </c>
      <c r="K10" s="41"/>
      <c r="L10" s="65">
        <v>14.62</v>
      </c>
      <c r="M10" s="65">
        <v>14.97</v>
      </c>
      <c r="N10" s="41" t="s">
        <v>32</v>
      </c>
      <c r="O10" s="65">
        <v>9.1999999999999993</v>
      </c>
      <c r="P10" s="66">
        <v>8.59</v>
      </c>
      <c r="Q10" s="3">
        <v>0</v>
      </c>
      <c r="R10" s="3"/>
      <c r="S10" s="3"/>
      <c r="T10" s="3"/>
      <c r="U10" s="67">
        <f t="shared" si="13"/>
        <v>8.59</v>
      </c>
      <c r="V10" s="67">
        <f t="shared" si="14"/>
        <v>0</v>
      </c>
      <c r="W10" s="154">
        <f>0.1212881+0.3041579+0.0254174+0.1887216+0.125843</f>
        <v>0.765428</v>
      </c>
      <c r="X10" s="3">
        <f>W10</f>
        <v>0.765428</v>
      </c>
      <c r="Y10" s="3"/>
      <c r="Z10" s="67">
        <f t="shared" si="15"/>
        <v>9.3554279999999999</v>
      </c>
      <c r="AA10" s="67">
        <f t="shared" si="16"/>
        <v>0</v>
      </c>
      <c r="AB10" s="3"/>
      <c r="AC10" s="3"/>
      <c r="AD10" s="3"/>
      <c r="AE10" s="67">
        <f t="shared" si="17"/>
        <v>9.3554279999999999</v>
      </c>
      <c r="AF10" s="67">
        <f t="shared" si="18"/>
        <v>0</v>
      </c>
    </row>
    <row r="11" spans="1:32" ht="62.4">
      <c r="A11" s="41">
        <f t="shared" si="12"/>
        <v>9</v>
      </c>
      <c r="B11" s="34" t="s">
        <v>983</v>
      </c>
      <c r="C11" s="34" t="s">
        <v>876</v>
      </c>
      <c r="D11" s="34" t="s">
        <v>1019</v>
      </c>
      <c r="E11" s="41" t="s">
        <v>1354</v>
      </c>
      <c r="F11" s="43" t="s">
        <v>482</v>
      </c>
      <c r="G11" s="41" t="s">
        <v>28</v>
      </c>
      <c r="H11" s="41"/>
      <c r="I11" s="64">
        <v>43486</v>
      </c>
      <c r="J11" s="64">
        <v>43486</v>
      </c>
      <c r="K11" s="41"/>
      <c r="L11" s="65">
        <v>65.41</v>
      </c>
      <c r="M11" s="65">
        <v>65.459999999999994</v>
      </c>
      <c r="N11" s="41" t="s">
        <v>32</v>
      </c>
      <c r="O11" s="65">
        <v>65.37</v>
      </c>
      <c r="P11" s="3">
        <v>0</v>
      </c>
      <c r="Q11" s="66">
        <v>63.634610899999998</v>
      </c>
      <c r="R11" s="25">
        <v>0.32995170000000001</v>
      </c>
      <c r="S11" s="3"/>
      <c r="T11" s="3"/>
      <c r="U11" s="67">
        <f t="shared" si="13"/>
        <v>0</v>
      </c>
      <c r="V11" s="67">
        <f t="shared" si="14"/>
        <v>63.964562600000001</v>
      </c>
      <c r="W11" s="69">
        <f>O11-V11</f>
        <v>1.4054374000000038</v>
      </c>
      <c r="X11" s="3">
        <f>V11+W11</f>
        <v>65.37</v>
      </c>
      <c r="Y11" s="3"/>
      <c r="Z11" s="67">
        <f t="shared" si="15"/>
        <v>65.37</v>
      </c>
      <c r="AA11" s="67">
        <f t="shared" si="16"/>
        <v>0</v>
      </c>
      <c r="AB11" s="3"/>
      <c r="AC11" s="3"/>
      <c r="AD11" s="3"/>
      <c r="AE11" s="67">
        <f t="shared" si="17"/>
        <v>65.37</v>
      </c>
      <c r="AF11" s="67">
        <f t="shared" si="18"/>
        <v>0</v>
      </c>
    </row>
    <row r="12" spans="1:32" ht="62.4">
      <c r="A12" s="41">
        <f t="shared" si="12"/>
        <v>10</v>
      </c>
      <c r="B12" s="34" t="s">
        <v>695</v>
      </c>
      <c r="C12" s="34" t="s">
        <v>876</v>
      </c>
      <c r="D12" s="34" t="s">
        <v>1019</v>
      </c>
      <c r="E12" s="41" t="s">
        <v>1356</v>
      </c>
      <c r="F12" s="43" t="s">
        <v>484</v>
      </c>
      <c r="G12" s="41" t="s">
        <v>28</v>
      </c>
      <c r="H12" s="41"/>
      <c r="I12" s="64">
        <v>43376</v>
      </c>
      <c r="J12" s="64">
        <v>43376</v>
      </c>
      <c r="K12" s="41"/>
      <c r="L12" s="65">
        <v>24.74</v>
      </c>
      <c r="M12" s="65">
        <v>24.74</v>
      </c>
      <c r="N12" s="41" t="s">
        <v>32</v>
      </c>
      <c r="O12" s="65">
        <v>24.63</v>
      </c>
      <c r="P12" s="3">
        <v>0</v>
      </c>
      <c r="Q12" s="66">
        <v>19.938952499999999</v>
      </c>
      <c r="R12" s="25">
        <v>3.1869941000000002</v>
      </c>
      <c r="S12" s="3">
        <f>0.2363764+19.6994427+0.9496959+0.6066425+1.1448386+0.1745958+0.2497216+0.0614997+0.483708583+0.00537513987568603</f>
        <v>23.61189692287568</v>
      </c>
      <c r="T12" s="3"/>
      <c r="U12" s="67">
        <f t="shared" si="13"/>
        <v>23.61189692287568</v>
      </c>
      <c r="V12" s="67">
        <f t="shared" si="14"/>
        <v>-0.48595032287568074</v>
      </c>
      <c r="W12" s="154">
        <f>0.3642373+0.3828272+0.2003544</f>
        <v>0.94741889999999995</v>
      </c>
      <c r="X12" s="3">
        <f>W12</f>
        <v>0.94741889999999995</v>
      </c>
      <c r="Y12" s="3"/>
      <c r="Z12" s="67">
        <f t="shared" si="15"/>
        <v>24.559315822875678</v>
      </c>
      <c r="AA12" s="67">
        <f t="shared" si="16"/>
        <v>-0.48595032287568074</v>
      </c>
      <c r="AB12" s="3"/>
      <c r="AC12" s="3"/>
      <c r="AD12" s="3"/>
      <c r="AE12" s="67">
        <f t="shared" si="17"/>
        <v>24.559315822875678</v>
      </c>
      <c r="AF12" s="67">
        <f t="shared" si="18"/>
        <v>-0.48595032287568074</v>
      </c>
    </row>
    <row r="13" spans="1:32" ht="78">
      <c r="A13" s="41">
        <f t="shared" si="12"/>
        <v>11</v>
      </c>
      <c r="B13" s="34" t="s">
        <v>789</v>
      </c>
      <c r="C13" s="34" t="s">
        <v>876</v>
      </c>
      <c r="D13" s="34" t="s">
        <v>1019</v>
      </c>
      <c r="E13" s="41" t="s">
        <v>1357</v>
      </c>
      <c r="F13" s="43" t="s">
        <v>485</v>
      </c>
      <c r="G13" s="41" t="s">
        <v>28</v>
      </c>
      <c r="H13" s="41"/>
      <c r="I13" s="64">
        <v>43486</v>
      </c>
      <c r="J13" s="64">
        <v>43486</v>
      </c>
      <c r="K13" s="41"/>
      <c r="L13" s="65">
        <v>104.38</v>
      </c>
      <c r="M13" s="65">
        <v>106.63</v>
      </c>
      <c r="N13" s="41" t="s">
        <v>32</v>
      </c>
      <c r="O13" s="65">
        <v>106.25</v>
      </c>
      <c r="P13" s="3">
        <v>0</v>
      </c>
      <c r="Q13" s="66">
        <v>92.795262100000002</v>
      </c>
      <c r="R13" s="25">
        <v>11.951439199999999</v>
      </c>
      <c r="S13" s="3">
        <f>2.8107502+3.0688985+88.4499932+1.1144407+0.235195+2.8107502+1.501872+2.5526019+1.9493197+0.1520694+0.0046037+0.0972303+5.11219084309159</f>
        <v>109.85991564309163</v>
      </c>
      <c r="T13" s="3"/>
      <c r="U13" s="67">
        <f t="shared" si="13"/>
        <v>109.85991564309163</v>
      </c>
      <c r="V13" s="67">
        <f t="shared" si="14"/>
        <v>-5.1132143430916273</v>
      </c>
      <c r="W13" s="154">
        <f>0.0169105+0.1069666+0.1342712+0.0140127+0.1327339</f>
        <v>0.40489489999999995</v>
      </c>
      <c r="X13" s="3">
        <f>W13</f>
        <v>0.40489489999999995</v>
      </c>
      <c r="Y13" s="3"/>
      <c r="Z13" s="67">
        <f t="shared" si="15"/>
        <v>110.26481054309163</v>
      </c>
      <c r="AA13" s="67">
        <f t="shared" si="16"/>
        <v>-5.1132143430916273</v>
      </c>
      <c r="AB13" s="3"/>
      <c r="AC13" s="3"/>
      <c r="AD13" s="3"/>
      <c r="AE13" s="67">
        <f t="shared" si="17"/>
        <v>110.26481054309163</v>
      </c>
      <c r="AF13" s="67">
        <f t="shared" si="18"/>
        <v>-5.1132143430916273</v>
      </c>
    </row>
    <row r="14" spans="1:32" ht="46.8">
      <c r="A14" s="41">
        <f t="shared" si="12"/>
        <v>12</v>
      </c>
      <c r="B14" s="34" t="s">
        <v>782</v>
      </c>
      <c r="C14" s="34" t="s">
        <v>876</v>
      </c>
      <c r="D14" s="34" t="s">
        <v>1019</v>
      </c>
      <c r="E14" s="41" t="s">
        <v>1358</v>
      </c>
      <c r="F14" s="43" t="s">
        <v>486</v>
      </c>
      <c r="G14" s="41" t="s">
        <v>28</v>
      </c>
      <c r="H14" s="41">
        <v>14</v>
      </c>
      <c r="I14" s="64">
        <v>43486</v>
      </c>
      <c r="J14" s="64">
        <v>43486</v>
      </c>
      <c r="K14" s="41" t="s">
        <v>440</v>
      </c>
      <c r="L14" s="65">
        <v>86.68</v>
      </c>
      <c r="M14" s="65">
        <v>95.86</v>
      </c>
      <c r="N14" s="41" t="s">
        <v>32</v>
      </c>
      <c r="O14" s="65">
        <v>93.58</v>
      </c>
      <c r="P14" s="3">
        <v>0</v>
      </c>
      <c r="Q14" s="66">
        <v>79.098758400000008</v>
      </c>
      <c r="R14" s="25">
        <v>7.9736760000000002</v>
      </c>
      <c r="S14" s="3">
        <f>80.2156+4.4000202+1.3126779+5.87408058397255</f>
        <v>91.802378683972535</v>
      </c>
      <c r="T14" s="3"/>
      <c r="U14" s="67">
        <f t="shared" si="13"/>
        <v>91.802378683972535</v>
      </c>
      <c r="V14" s="67">
        <f t="shared" si="14"/>
        <v>-4.7299442839725288</v>
      </c>
      <c r="W14" s="154">
        <f>0.5120011+2.8248068+0.3438556</f>
        <v>3.6806635000000001</v>
      </c>
      <c r="X14" s="3">
        <f>W14</f>
        <v>3.6806635000000001</v>
      </c>
      <c r="Y14" s="3"/>
      <c r="Z14" s="67">
        <f t="shared" si="15"/>
        <v>95.483042183972529</v>
      </c>
      <c r="AA14" s="67">
        <f t="shared" si="16"/>
        <v>-4.7299442839725288</v>
      </c>
      <c r="AB14" s="3"/>
      <c r="AC14" s="3"/>
      <c r="AD14" s="3"/>
      <c r="AE14" s="67">
        <f t="shared" si="17"/>
        <v>95.483042183972529</v>
      </c>
      <c r="AF14" s="67">
        <f t="shared" si="18"/>
        <v>-4.7299442839725288</v>
      </c>
    </row>
    <row r="15" spans="1:32" ht="124.8">
      <c r="A15" s="41">
        <f t="shared" si="12"/>
        <v>13</v>
      </c>
      <c r="B15" s="34" t="s">
        <v>808</v>
      </c>
      <c r="C15" s="34" t="s">
        <v>876</v>
      </c>
      <c r="D15" s="34" t="s">
        <v>1019</v>
      </c>
      <c r="E15" s="41" t="s">
        <v>1360</v>
      </c>
      <c r="F15" s="43" t="s">
        <v>488</v>
      </c>
      <c r="G15" s="41" t="s">
        <v>28</v>
      </c>
      <c r="H15" s="41"/>
      <c r="I15" s="64">
        <v>43486</v>
      </c>
      <c r="J15" s="64">
        <v>43486</v>
      </c>
      <c r="K15" s="41" t="s">
        <v>1024</v>
      </c>
      <c r="L15" s="65">
        <v>139.13</v>
      </c>
      <c r="M15" s="65">
        <v>153.68</v>
      </c>
      <c r="N15" s="41" t="s">
        <v>32</v>
      </c>
      <c r="O15" s="65">
        <v>151.68</v>
      </c>
      <c r="P15" s="3">
        <v>0</v>
      </c>
      <c r="Q15" s="66">
        <v>147.71547519999999</v>
      </c>
      <c r="R15" s="25">
        <v>3.0921256000000001</v>
      </c>
      <c r="S15" s="3"/>
      <c r="T15" s="3"/>
      <c r="U15" s="67">
        <f t="shared" si="13"/>
        <v>0</v>
      </c>
      <c r="V15" s="67">
        <f t="shared" si="14"/>
        <v>150.80760079999999</v>
      </c>
      <c r="W15" s="3">
        <f>O15-V15</f>
        <v>0.87239920000001803</v>
      </c>
      <c r="X15" s="3">
        <f>V15+W15</f>
        <v>151.68</v>
      </c>
      <c r="Y15" s="3"/>
      <c r="Z15" s="67">
        <f t="shared" si="15"/>
        <v>151.68</v>
      </c>
      <c r="AA15" s="67">
        <f t="shared" si="16"/>
        <v>0</v>
      </c>
      <c r="AB15" s="3"/>
      <c r="AC15" s="3"/>
      <c r="AD15" s="3"/>
      <c r="AE15" s="67">
        <f t="shared" si="17"/>
        <v>151.68</v>
      </c>
      <c r="AF15" s="67">
        <f t="shared" si="18"/>
        <v>0</v>
      </c>
    </row>
    <row r="16" spans="1:32" ht="124.8">
      <c r="A16" s="41">
        <f t="shared" si="12"/>
        <v>14</v>
      </c>
      <c r="B16" s="34" t="s">
        <v>800</v>
      </c>
      <c r="C16" s="34" t="s">
        <v>876</v>
      </c>
      <c r="D16" s="34" t="s">
        <v>1019</v>
      </c>
      <c r="E16" s="41" t="s">
        <v>1363</v>
      </c>
      <c r="F16" s="43" t="s">
        <v>493</v>
      </c>
      <c r="G16" s="41" t="s">
        <v>28</v>
      </c>
      <c r="H16" s="41"/>
      <c r="I16" s="64">
        <v>43486</v>
      </c>
      <c r="J16" s="64">
        <v>43486</v>
      </c>
      <c r="K16" s="41" t="s">
        <v>440</v>
      </c>
      <c r="L16" s="65">
        <v>188.85</v>
      </c>
      <c r="M16" s="65">
        <v>200.62</v>
      </c>
      <c r="N16" s="41" t="s">
        <v>32</v>
      </c>
      <c r="O16" s="65">
        <v>174.98</v>
      </c>
      <c r="P16" s="3">
        <v>0</v>
      </c>
      <c r="Q16" s="66">
        <v>131.094245</v>
      </c>
      <c r="R16" s="25">
        <v>40.076923200000003</v>
      </c>
      <c r="S16" s="3"/>
      <c r="T16" s="3"/>
      <c r="U16" s="67">
        <f t="shared" si="13"/>
        <v>0</v>
      </c>
      <c r="V16" s="67">
        <f t="shared" si="14"/>
        <v>171.17116820000001</v>
      </c>
      <c r="W16" s="69">
        <f>O16-V16</f>
        <v>3.8088317999999788</v>
      </c>
      <c r="X16" s="3">
        <f>V16+W16</f>
        <v>174.98</v>
      </c>
      <c r="Y16" s="3"/>
      <c r="Z16" s="67">
        <f t="shared" si="15"/>
        <v>174.98</v>
      </c>
      <c r="AA16" s="67">
        <f t="shared" si="16"/>
        <v>0</v>
      </c>
      <c r="AB16" s="3"/>
      <c r="AC16" s="3"/>
      <c r="AD16" s="3"/>
      <c r="AE16" s="67">
        <f t="shared" si="17"/>
        <v>174.98</v>
      </c>
      <c r="AF16" s="67">
        <f t="shared" si="18"/>
        <v>0</v>
      </c>
    </row>
    <row r="17" spans="1:32" ht="78">
      <c r="A17" s="41">
        <f t="shared" si="12"/>
        <v>15</v>
      </c>
      <c r="B17" s="34" t="s">
        <v>708</v>
      </c>
      <c r="C17" s="34" t="s">
        <v>876</v>
      </c>
      <c r="D17" s="41" t="s">
        <v>1019</v>
      </c>
      <c r="E17" s="41" t="s">
        <v>1370</v>
      </c>
      <c r="F17" s="43" t="s">
        <v>502</v>
      </c>
      <c r="G17" s="41" t="s">
        <v>28</v>
      </c>
      <c r="H17" s="41"/>
      <c r="I17" s="41" t="s">
        <v>1025</v>
      </c>
      <c r="J17" s="41" t="s">
        <v>1025</v>
      </c>
      <c r="K17" s="41" t="s">
        <v>1026</v>
      </c>
      <c r="L17" s="3">
        <v>41.51</v>
      </c>
      <c r="M17" s="65">
        <v>46.95</v>
      </c>
      <c r="N17" s="41" t="s">
        <v>32</v>
      </c>
      <c r="O17" s="65">
        <v>38.049999999999997</v>
      </c>
      <c r="P17" s="3">
        <v>0</v>
      </c>
      <c r="Q17" s="66">
        <v>1.8141084000000001</v>
      </c>
      <c r="R17" s="25">
        <v>0.92939950000000005</v>
      </c>
      <c r="S17" s="3"/>
      <c r="T17" s="3"/>
      <c r="U17" s="67">
        <f t="shared" si="13"/>
        <v>0</v>
      </c>
      <c r="V17" s="67">
        <f t="shared" si="14"/>
        <v>2.7435079</v>
      </c>
      <c r="W17" s="69">
        <v>8</v>
      </c>
      <c r="X17" s="3"/>
      <c r="Y17" s="3"/>
      <c r="Z17" s="67">
        <f t="shared" si="15"/>
        <v>0</v>
      </c>
      <c r="AA17" s="67">
        <f t="shared" si="16"/>
        <v>10.743507900000001</v>
      </c>
      <c r="AB17" s="3">
        <f>O17-AA17</f>
        <v>27.306492099999996</v>
      </c>
      <c r="AC17" s="3">
        <f>AA17+AB17</f>
        <v>38.049999999999997</v>
      </c>
      <c r="AD17" s="3"/>
      <c r="AE17" s="67">
        <f t="shared" si="17"/>
        <v>38.049999999999997</v>
      </c>
      <c r="AF17" s="67">
        <f t="shared" si="18"/>
        <v>0</v>
      </c>
    </row>
    <row r="18" spans="1:32" ht="93.6">
      <c r="A18" s="41">
        <f t="shared" si="12"/>
        <v>16</v>
      </c>
      <c r="B18" s="34" t="s">
        <v>715</v>
      </c>
      <c r="C18" s="34" t="s">
        <v>876</v>
      </c>
      <c r="D18" s="41" t="s">
        <v>1019</v>
      </c>
      <c r="E18" s="41" t="s">
        <v>1371</v>
      </c>
      <c r="F18" s="43" t="s">
        <v>503</v>
      </c>
      <c r="G18" s="41" t="s">
        <v>28</v>
      </c>
      <c r="H18" s="41"/>
      <c r="I18" s="64">
        <v>43486</v>
      </c>
      <c r="J18" s="64">
        <v>43486</v>
      </c>
      <c r="K18" s="41" t="s">
        <v>462</v>
      </c>
      <c r="L18" s="65">
        <v>42.19</v>
      </c>
      <c r="M18" s="3">
        <v>0</v>
      </c>
      <c r="N18" s="41" t="s">
        <v>32</v>
      </c>
      <c r="O18" s="65">
        <v>43.33</v>
      </c>
      <c r="P18" s="3">
        <v>0</v>
      </c>
      <c r="Q18" s="66">
        <v>42.076418000000004</v>
      </c>
      <c r="R18" s="25">
        <v>7.1165800000000001E-2</v>
      </c>
      <c r="S18" s="3"/>
      <c r="T18" s="3"/>
      <c r="U18" s="67">
        <f t="shared" ref="U18:U24" si="19">P18+S18+T18</f>
        <v>0</v>
      </c>
      <c r="V18" s="67">
        <f t="shared" ref="V18:V24" si="20">Q18+R18-S18-T18</f>
        <v>42.147583800000007</v>
      </c>
      <c r="W18" s="154">
        <f>O18-V18</f>
        <v>1.1824161999999916</v>
      </c>
      <c r="X18" s="3">
        <f>V18+W18</f>
        <v>43.33</v>
      </c>
      <c r="Y18" s="3"/>
      <c r="Z18" s="67">
        <f t="shared" ref="Z18:Z24" si="21">U18+X18+Y18</f>
        <v>43.33</v>
      </c>
      <c r="AA18" s="67">
        <f t="shared" ref="AA18:AA24" si="22">V18+W18-X18-Y18</f>
        <v>0</v>
      </c>
      <c r="AB18" s="3"/>
      <c r="AC18" s="3"/>
      <c r="AD18" s="3"/>
      <c r="AE18" s="67">
        <f t="shared" ref="AE18:AE24" si="23">Z18+AC18+AD18</f>
        <v>43.33</v>
      </c>
      <c r="AF18" s="67">
        <f t="shared" ref="AF18:AF24" si="24">AA18+AB18-AC18-AD18</f>
        <v>0</v>
      </c>
    </row>
    <row r="19" spans="1:32" ht="62.4">
      <c r="A19" s="41">
        <f t="shared" si="12"/>
        <v>17</v>
      </c>
      <c r="B19" s="34" t="s">
        <v>740</v>
      </c>
      <c r="C19" s="34" t="s">
        <v>876</v>
      </c>
      <c r="D19" s="41" t="s">
        <v>1019</v>
      </c>
      <c r="E19" s="41" t="s">
        <v>1372</v>
      </c>
      <c r="F19" s="43" t="s">
        <v>504</v>
      </c>
      <c r="G19" s="41" t="s">
        <v>28</v>
      </c>
      <c r="H19" s="41"/>
      <c r="I19" s="41" t="s">
        <v>1027</v>
      </c>
      <c r="J19" s="41" t="s">
        <v>1027</v>
      </c>
      <c r="K19" s="41" t="s">
        <v>1028</v>
      </c>
      <c r="L19" s="65">
        <v>58.27</v>
      </c>
      <c r="M19" s="3">
        <v>0</v>
      </c>
      <c r="N19" s="41" t="s">
        <v>32</v>
      </c>
      <c r="O19" s="65">
        <v>58.27</v>
      </c>
      <c r="P19" s="3">
        <v>0</v>
      </c>
      <c r="Q19" s="66">
        <v>18.7390984</v>
      </c>
      <c r="R19" s="25">
        <v>6.0238098000000004</v>
      </c>
      <c r="S19" s="3"/>
      <c r="T19" s="3"/>
      <c r="U19" s="67">
        <f t="shared" si="19"/>
        <v>0</v>
      </c>
      <c r="V19" s="67">
        <f t="shared" si="20"/>
        <v>24.762908199999998</v>
      </c>
      <c r="W19" s="154">
        <f>O19-V19</f>
        <v>33.507091800000005</v>
      </c>
      <c r="X19" s="3">
        <f>V19+W19</f>
        <v>58.27</v>
      </c>
      <c r="Y19" s="3"/>
      <c r="Z19" s="67">
        <f t="shared" si="21"/>
        <v>58.27</v>
      </c>
      <c r="AA19" s="67">
        <f t="shared" si="22"/>
        <v>0</v>
      </c>
      <c r="AB19" s="3"/>
      <c r="AC19" s="3"/>
      <c r="AD19" s="3"/>
      <c r="AE19" s="67">
        <f t="shared" si="23"/>
        <v>58.27</v>
      </c>
      <c r="AF19" s="67">
        <f t="shared" si="24"/>
        <v>0</v>
      </c>
    </row>
    <row r="20" spans="1:32" ht="124.8">
      <c r="A20" s="41">
        <f t="shared" si="12"/>
        <v>18</v>
      </c>
      <c r="B20" s="34" t="s">
        <v>746</v>
      </c>
      <c r="C20" s="34" t="s">
        <v>876</v>
      </c>
      <c r="D20" s="41" t="s">
        <v>1019</v>
      </c>
      <c r="E20" s="41" t="s">
        <v>1373</v>
      </c>
      <c r="F20" s="43" t="s">
        <v>505</v>
      </c>
      <c r="G20" s="41"/>
      <c r="H20" s="41"/>
      <c r="I20" s="41" t="s">
        <v>1029</v>
      </c>
      <c r="J20" s="41" t="s">
        <v>1029</v>
      </c>
      <c r="K20" s="41" t="s">
        <v>1030</v>
      </c>
      <c r="L20" s="65">
        <v>68.59</v>
      </c>
      <c r="M20" s="3">
        <v>0</v>
      </c>
      <c r="N20" s="41" t="s">
        <v>32</v>
      </c>
      <c r="O20" s="65">
        <v>68.59</v>
      </c>
      <c r="P20" s="3">
        <v>0</v>
      </c>
      <c r="Q20" s="66">
        <v>63.574730799999998</v>
      </c>
      <c r="R20" s="25">
        <v>6.5392735999999996</v>
      </c>
      <c r="S20" s="3"/>
      <c r="T20" s="3"/>
      <c r="U20" s="67">
        <f t="shared" si="19"/>
        <v>0</v>
      </c>
      <c r="V20" s="67">
        <f t="shared" si="20"/>
        <v>70.114004399999999</v>
      </c>
      <c r="W20" s="154">
        <f>1.5803674+0.5530896+1.2749659+1.1369107</f>
        <v>4.5453335999999993</v>
      </c>
      <c r="X20" s="3">
        <f>V20+W20</f>
        <v>74.659337999999991</v>
      </c>
      <c r="Y20" s="3"/>
      <c r="Z20" s="67">
        <f t="shared" si="21"/>
        <v>74.659337999999991</v>
      </c>
      <c r="AA20" s="67">
        <f t="shared" si="22"/>
        <v>0</v>
      </c>
      <c r="AB20" s="3"/>
      <c r="AC20" s="3"/>
      <c r="AD20" s="3"/>
      <c r="AE20" s="67">
        <f t="shared" si="23"/>
        <v>74.659337999999991</v>
      </c>
      <c r="AF20" s="67">
        <f t="shared" si="24"/>
        <v>0</v>
      </c>
    </row>
    <row r="21" spans="1:32" ht="78">
      <c r="A21" s="41">
        <f t="shared" si="12"/>
        <v>19</v>
      </c>
      <c r="B21" s="34" t="s">
        <v>824</v>
      </c>
      <c r="C21" s="34" t="s">
        <v>876</v>
      </c>
      <c r="D21" s="34" t="s">
        <v>1019</v>
      </c>
      <c r="E21" s="41" t="s">
        <v>1374</v>
      </c>
      <c r="F21" s="43" t="s">
        <v>506</v>
      </c>
      <c r="G21" s="41" t="s">
        <v>28</v>
      </c>
      <c r="H21" s="41"/>
      <c r="I21" s="41" t="s">
        <v>1031</v>
      </c>
      <c r="J21" s="41" t="s">
        <v>1031</v>
      </c>
      <c r="K21" s="41" t="s">
        <v>1032</v>
      </c>
      <c r="L21" s="65">
        <v>25.21</v>
      </c>
      <c r="M21" s="3">
        <v>0</v>
      </c>
      <c r="N21" s="41" t="s">
        <v>67</v>
      </c>
      <c r="O21" s="65">
        <v>25.21</v>
      </c>
      <c r="P21" s="3">
        <v>0</v>
      </c>
      <c r="Q21" s="3">
        <v>0</v>
      </c>
      <c r="R21" s="25">
        <v>13.0311872</v>
      </c>
      <c r="S21" s="3"/>
      <c r="T21" s="3"/>
      <c r="U21" s="67">
        <f t="shared" si="19"/>
        <v>0</v>
      </c>
      <c r="V21" s="67">
        <f t="shared" si="20"/>
        <v>13.0311872</v>
      </c>
      <c r="W21" s="154">
        <f>O21-V21</f>
        <v>12.178812800000001</v>
      </c>
      <c r="X21" s="3">
        <f>V21+W21</f>
        <v>25.21</v>
      </c>
      <c r="Y21" s="3"/>
      <c r="Z21" s="67">
        <f t="shared" si="21"/>
        <v>25.21</v>
      </c>
      <c r="AA21" s="67">
        <f t="shared" si="22"/>
        <v>0</v>
      </c>
      <c r="AB21" s="3"/>
      <c r="AC21" s="3"/>
      <c r="AD21" s="3"/>
      <c r="AE21" s="67">
        <f t="shared" si="23"/>
        <v>25.21</v>
      </c>
      <c r="AF21" s="67">
        <f t="shared" si="24"/>
        <v>0</v>
      </c>
    </row>
    <row r="22" spans="1:32" ht="46.8">
      <c r="A22" s="41">
        <f t="shared" si="12"/>
        <v>20</v>
      </c>
      <c r="B22" s="34" t="s">
        <v>745</v>
      </c>
      <c r="C22" s="34" t="s">
        <v>876</v>
      </c>
      <c r="D22" s="41" t="s">
        <v>1019</v>
      </c>
      <c r="E22" s="41" t="s">
        <v>1376</v>
      </c>
      <c r="F22" s="43" t="s">
        <v>511</v>
      </c>
      <c r="G22" s="41" t="s">
        <v>28</v>
      </c>
      <c r="H22" s="41"/>
      <c r="I22" s="41"/>
      <c r="J22" s="41"/>
      <c r="K22" s="41"/>
      <c r="L22" s="65">
        <v>104.99</v>
      </c>
      <c r="M22" s="3">
        <v>0</v>
      </c>
      <c r="N22" s="41" t="s">
        <v>32</v>
      </c>
      <c r="O22" s="65">
        <v>104.99</v>
      </c>
      <c r="P22" s="3">
        <v>0</v>
      </c>
      <c r="Q22" s="66">
        <v>4.5199467999999996</v>
      </c>
      <c r="R22" s="25">
        <v>30.862167100000001</v>
      </c>
      <c r="S22" s="3"/>
      <c r="T22" s="3"/>
      <c r="U22" s="67">
        <f t="shared" si="19"/>
        <v>0</v>
      </c>
      <c r="V22" s="67">
        <f t="shared" si="20"/>
        <v>35.3821139</v>
      </c>
      <c r="W22" s="154">
        <f>O22-V22</f>
        <v>69.607886100000002</v>
      </c>
      <c r="X22" s="3">
        <f>V22+W22</f>
        <v>104.99000000000001</v>
      </c>
      <c r="Y22" s="3"/>
      <c r="Z22" s="67">
        <f t="shared" si="21"/>
        <v>104.99000000000001</v>
      </c>
      <c r="AA22" s="67">
        <f t="shared" si="22"/>
        <v>0</v>
      </c>
      <c r="AB22" s="3"/>
      <c r="AC22" s="3"/>
      <c r="AD22" s="3"/>
      <c r="AE22" s="67">
        <f t="shared" si="23"/>
        <v>104.99000000000001</v>
      </c>
      <c r="AF22" s="67">
        <f t="shared" si="24"/>
        <v>0</v>
      </c>
    </row>
    <row r="23" spans="1:32" ht="62.4">
      <c r="A23" s="41">
        <f t="shared" si="12"/>
        <v>21</v>
      </c>
      <c r="B23" s="41" t="s">
        <v>523</v>
      </c>
      <c r="C23" s="41" t="s">
        <v>876</v>
      </c>
      <c r="D23" s="41" t="s">
        <v>1019</v>
      </c>
      <c r="E23" s="41" t="s">
        <v>1379</v>
      </c>
      <c r="F23" s="43" t="s">
        <v>524</v>
      </c>
      <c r="G23" s="41" t="s">
        <v>28</v>
      </c>
      <c r="H23" s="41">
        <v>2</v>
      </c>
      <c r="I23" s="70" t="s">
        <v>525</v>
      </c>
      <c r="J23" s="70" t="s">
        <v>525</v>
      </c>
      <c r="K23" s="70" t="s">
        <v>526</v>
      </c>
      <c r="L23" s="3">
        <v>2.0099999999999998</v>
      </c>
      <c r="M23" s="3"/>
      <c r="N23" s="41" t="s">
        <v>516</v>
      </c>
      <c r="O23" s="3">
        <v>2.0099999999999998</v>
      </c>
      <c r="P23" s="3">
        <v>1.4789357999999999</v>
      </c>
      <c r="Q23" s="66">
        <v>1.7449000000000492E-3</v>
      </c>
      <c r="R23" s="69"/>
      <c r="S23" s="22"/>
      <c r="T23" s="3"/>
      <c r="U23" s="67">
        <f t="shared" si="19"/>
        <v>1.4789357999999999</v>
      </c>
      <c r="V23" s="67">
        <f t="shared" si="20"/>
        <v>1.7449000000000492E-3</v>
      </c>
      <c r="W23" s="154">
        <v>3.3001099999999998E-2</v>
      </c>
      <c r="X23" s="3">
        <f>W23+V23</f>
        <v>3.4746000000000048E-2</v>
      </c>
      <c r="Y23" s="3"/>
      <c r="Z23" s="67">
        <f t="shared" si="21"/>
        <v>1.5136817999999999</v>
      </c>
      <c r="AA23" s="67">
        <f t="shared" si="22"/>
        <v>0</v>
      </c>
      <c r="AB23" s="3"/>
      <c r="AC23" s="3"/>
      <c r="AD23" s="3"/>
      <c r="AE23" s="67">
        <f t="shared" si="23"/>
        <v>1.5136817999999999</v>
      </c>
      <c r="AF23" s="67">
        <f t="shared" si="24"/>
        <v>0</v>
      </c>
    </row>
    <row r="24" spans="1:32" ht="46.8">
      <c r="A24" s="41">
        <f t="shared" si="12"/>
        <v>22</v>
      </c>
      <c r="B24" s="41" t="s">
        <v>577</v>
      </c>
      <c r="C24" s="41" t="s">
        <v>876</v>
      </c>
      <c r="D24" s="41" t="s">
        <v>1016</v>
      </c>
      <c r="E24" s="41" t="s">
        <v>1398</v>
      </c>
      <c r="F24" s="43" t="s">
        <v>578</v>
      </c>
      <c r="G24" s="41" t="s">
        <v>28</v>
      </c>
      <c r="H24" s="63">
        <v>3</v>
      </c>
      <c r="I24" s="64">
        <v>42369</v>
      </c>
      <c r="J24" s="64">
        <v>42369</v>
      </c>
      <c r="K24" s="64">
        <v>42734</v>
      </c>
      <c r="L24" s="66">
        <v>52.29</v>
      </c>
      <c r="M24" s="66">
        <v>52.29</v>
      </c>
      <c r="N24" s="41" t="s">
        <v>32</v>
      </c>
      <c r="O24" s="3">
        <v>59.8</v>
      </c>
      <c r="P24" s="66">
        <v>61.224366099999997</v>
      </c>
      <c r="Q24" s="3">
        <v>0</v>
      </c>
      <c r="R24" s="25">
        <v>0.88726870000000002</v>
      </c>
      <c r="S24" s="22"/>
      <c r="T24" s="3"/>
      <c r="U24" s="67">
        <f t="shared" si="19"/>
        <v>61.224366099999997</v>
      </c>
      <c r="V24" s="67">
        <f t="shared" si="20"/>
        <v>0.88726870000000002</v>
      </c>
      <c r="W24" s="154">
        <v>9.4399999999999998E-2</v>
      </c>
      <c r="X24" s="3">
        <f>W24+V24</f>
        <v>0.98166870000000006</v>
      </c>
      <c r="Y24" s="3"/>
      <c r="Z24" s="67">
        <f t="shared" si="21"/>
        <v>62.206034799999998</v>
      </c>
      <c r="AA24" s="67">
        <f t="shared" si="22"/>
        <v>0</v>
      </c>
      <c r="AB24" s="3"/>
      <c r="AC24" s="3"/>
      <c r="AD24" s="3"/>
      <c r="AE24" s="67">
        <f t="shared" si="23"/>
        <v>62.206034799999998</v>
      </c>
      <c r="AF24" s="67">
        <f t="shared" si="24"/>
        <v>0</v>
      </c>
    </row>
    <row r="25" spans="1:32" ht="78">
      <c r="A25" s="41">
        <f t="shared" si="12"/>
        <v>23</v>
      </c>
      <c r="B25" s="41" t="s">
        <v>693</v>
      </c>
      <c r="C25" s="41" t="s">
        <v>876</v>
      </c>
      <c r="D25" s="41" t="s">
        <v>1019</v>
      </c>
      <c r="E25" s="41" t="s">
        <v>1442</v>
      </c>
      <c r="F25" s="43" t="s">
        <v>694</v>
      </c>
      <c r="G25" s="41" t="s">
        <v>28</v>
      </c>
      <c r="H25" s="41">
        <v>2</v>
      </c>
      <c r="I25" s="64" t="s">
        <v>519</v>
      </c>
      <c r="J25" s="64" t="s">
        <v>519</v>
      </c>
      <c r="K25" s="41" t="s">
        <v>520</v>
      </c>
      <c r="L25" s="3">
        <v>19.29</v>
      </c>
      <c r="M25" s="3">
        <v>0</v>
      </c>
      <c r="N25" s="41" t="s">
        <v>516</v>
      </c>
      <c r="O25" s="3">
        <v>18.760000000000002</v>
      </c>
      <c r="P25" s="3">
        <v>0</v>
      </c>
      <c r="Q25" s="3">
        <v>18.532845500000001</v>
      </c>
      <c r="R25" s="25">
        <v>0.22550049999999999</v>
      </c>
      <c r="S25" s="3">
        <f>18.5328455+0.2250545</f>
        <v>18.757899999999999</v>
      </c>
      <c r="T25" s="3"/>
      <c r="U25" s="67">
        <f t="shared" ref="U25:U39" si="25">P25+S25+T25</f>
        <v>18.757899999999999</v>
      </c>
      <c r="V25" s="67">
        <f t="shared" ref="V25:V39" si="26">Q25+R25-S25-T25</f>
        <v>4.4600000000016848E-4</v>
      </c>
      <c r="W25" s="154">
        <f>0.002347+0.0030331</f>
        <v>5.3801000000000005E-3</v>
      </c>
      <c r="X25" s="67">
        <f>W25+V25</f>
        <v>5.826100000000169E-3</v>
      </c>
      <c r="Y25" s="3"/>
      <c r="Z25" s="67">
        <f t="shared" ref="Z25:Z39" si="27">U25+X25+Y25</f>
        <v>18.7637261</v>
      </c>
      <c r="AA25" s="67">
        <f t="shared" ref="AA25:AA39" si="28">V25+W25-X25-Y25</f>
        <v>0</v>
      </c>
      <c r="AB25" s="3"/>
      <c r="AC25" s="3"/>
      <c r="AD25" s="3"/>
      <c r="AE25" s="67">
        <f t="shared" ref="AE25:AE39" si="29">Z25+AC25+AD25</f>
        <v>18.7637261</v>
      </c>
      <c r="AF25" s="67">
        <f t="shared" ref="AF25:AF39" si="30">AA25+AB25-AC25-AD25</f>
        <v>0</v>
      </c>
    </row>
    <row r="26" spans="1:32" ht="46.8">
      <c r="A26" s="41">
        <f t="shared" si="12"/>
        <v>24</v>
      </c>
      <c r="B26" s="41" t="s">
        <v>696</v>
      </c>
      <c r="C26" s="41" t="s">
        <v>876</v>
      </c>
      <c r="D26" s="41" t="s">
        <v>1019</v>
      </c>
      <c r="E26" s="41" t="s">
        <v>1443</v>
      </c>
      <c r="F26" s="43" t="s">
        <v>697</v>
      </c>
      <c r="G26" s="41"/>
      <c r="H26" s="41"/>
      <c r="I26" s="31" t="s">
        <v>690</v>
      </c>
      <c r="J26" s="31" t="s">
        <v>690</v>
      </c>
      <c r="K26" s="31" t="s">
        <v>1035</v>
      </c>
      <c r="L26" s="156">
        <v>8.35</v>
      </c>
      <c r="M26" s="3">
        <v>0</v>
      </c>
      <c r="N26" s="41" t="s">
        <v>32</v>
      </c>
      <c r="O26" s="3">
        <v>8.35</v>
      </c>
      <c r="P26" s="3">
        <v>0</v>
      </c>
      <c r="Q26" s="3">
        <v>2.5164680000000001</v>
      </c>
      <c r="R26" s="25">
        <v>3.4263306</v>
      </c>
      <c r="S26" s="3"/>
      <c r="T26" s="3"/>
      <c r="U26" s="67">
        <f t="shared" si="25"/>
        <v>0</v>
      </c>
      <c r="V26" s="67">
        <f t="shared" si="26"/>
        <v>5.9427985999999997</v>
      </c>
      <c r="W26" s="154">
        <f>O26-V26</f>
        <v>2.4072013999999999</v>
      </c>
      <c r="X26" s="3">
        <f>V26+W26</f>
        <v>8.35</v>
      </c>
      <c r="Y26" s="3"/>
      <c r="Z26" s="67">
        <f t="shared" si="27"/>
        <v>8.35</v>
      </c>
      <c r="AA26" s="67">
        <f t="shared" si="28"/>
        <v>0</v>
      </c>
      <c r="AB26" s="3"/>
      <c r="AC26" s="3"/>
      <c r="AD26" s="3"/>
      <c r="AE26" s="67">
        <f t="shared" si="29"/>
        <v>8.35</v>
      </c>
      <c r="AF26" s="67">
        <f t="shared" si="30"/>
        <v>0</v>
      </c>
    </row>
    <row r="27" spans="1:32" ht="62.4">
      <c r="A27" s="41">
        <f t="shared" si="12"/>
        <v>25</v>
      </c>
      <c r="B27" s="41" t="s">
        <v>716</v>
      </c>
      <c r="C27" s="41" t="s">
        <v>876</v>
      </c>
      <c r="D27" s="41" t="s">
        <v>1019</v>
      </c>
      <c r="E27" s="41" t="s">
        <v>1447</v>
      </c>
      <c r="F27" s="43" t="s">
        <v>717</v>
      </c>
      <c r="G27" s="41"/>
      <c r="H27" s="41"/>
      <c r="I27" s="31" t="s">
        <v>718</v>
      </c>
      <c r="J27" s="31" t="s">
        <v>718</v>
      </c>
      <c r="K27" s="31" t="s">
        <v>719</v>
      </c>
      <c r="L27" s="156">
        <v>19.25</v>
      </c>
      <c r="M27" s="3">
        <v>0</v>
      </c>
      <c r="N27" s="41" t="s">
        <v>1552</v>
      </c>
      <c r="O27" s="3">
        <v>19.25</v>
      </c>
      <c r="P27" s="3">
        <v>0</v>
      </c>
      <c r="Q27" s="3">
        <v>1.0253228000000001</v>
      </c>
      <c r="R27" s="25">
        <f>12.1520112+1.8391628</f>
        <v>13.991174000000001</v>
      </c>
      <c r="S27" s="3"/>
      <c r="T27" s="3"/>
      <c r="U27" s="67">
        <f t="shared" si="25"/>
        <v>0</v>
      </c>
      <c r="V27" s="67">
        <f t="shared" si="26"/>
        <v>15.016496800000001</v>
      </c>
      <c r="W27" s="154">
        <f>1.0502+0.6195887+2.32549+0.859512+0.69443+0.9935157+0.5294283+5.115606+0.5230401+1.2233296+0.5723</f>
        <v>14.506440399999999</v>
      </c>
      <c r="X27" s="3">
        <f>V27+W27</f>
        <v>29.522937200000001</v>
      </c>
      <c r="Y27" s="3"/>
      <c r="Z27" s="67">
        <f t="shared" si="27"/>
        <v>29.522937200000001</v>
      </c>
      <c r="AA27" s="67">
        <f t="shared" si="28"/>
        <v>0</v>
      </c>
      <c r="AB27" s="3"/>
      <c r="AC27" s="67"/>
      <c r="AD27" s="3"/>
      <c r="AE27" s="67">
        <f t="shared" si="29"/>
        <v>29.522937200000001</v>
      </c>
      <c r="AF27" s="67">
        <f t="shared" si="30"/>
        <v>0</v>
      </c>
    </row>
    <row r="28" spans="1:32" ht="46.8">
      <c r="A28" s="41">
        <f t="shared" si="12"/>
        <v>26</v>
      </c>
      <c r="B28" s="41" t="s">
        <v>747</v>
      </c>
      <c r="C28" s="41" t="s">
        <v>876</v>
      </c>
      <c r="D28" s="41" t="s">
        <v>1019</v>
      </c>
      <c r="E28" s="41" t="s">
        <v>1453</v>
      </c>
      <c r="F28" s="43" t="s">
        <v>748</v>
      </c>
      <c r="G28" s="41"/>
      <c r="H28" s="41"/>
      <c r="I28" s="31" t="s">
        <v>698</v>
      </c>
      <c r="J28" s="31" t="s">
        <v>698</v>
      </c>
      <c r="K28" s="31" t="s">
        <v>699</v>
      </c>
      <c r="L28" s="156">
        <v>6.82</v>
      </c>
      <c r="M28" s="3">
        <v>0</v>
      </c>
      <c r="N28" s="41" t="s">
        <v>32</v>
      </c>
      <c r="O28" s="3">
        <v>6.82</v>
      </c>
      <c r="P28" s="3">
        <v>0</v>
      </c>
      <c r="Q28" s="3">
        <v>0.14939330000000001</v>
      </c>
      <c r="R28" s="25">
        <v>5.3993086999999997</v>
      </c>
      <c r="S28" s="3"/>
      <c r="T28" s="3"/>
      <c r="U28" s="67">
        <f t="shared" si="25"/>
        <v>0</v>
      </c>
      <c r="V28" s="67">
        <f t="shared" si="26"/>
        <v>5.5487019999999996</v>
      </c>
      <c r="W28" s="154">
        <v>0.80429539999999999</v>
      </c>
      <c r="X28" s="67">
        <f t="shared" ref="X28:X30" si="31">V28+W28</f>
        <v>6.3529973999999996</v>
      </c>
      <c r="Y28" s="3"/>
      <c r="Z28" s="67">
        <f t="shared" si="27"/>
        <v>6.3529973999999996</v>
      </c>
      <c r="AA28" s="67">
        <f t="shared" si="28"/>
        <v>0</v>
      </c>
      <c r="AB28" s="3"/>
      <c r="AC28" s="3"/>
      <c r="AD28" s="3"/>
      <c r="AE28" s="67">
        <f t="shared" si="29"/>
        <v>6.3529973999999996</v>
      </c>
      <c r="AF28" s="67">
        <f t="shared" si="30"/>
        <v>0</v>
      </c>
    </row>
    <row r="29" spans="1:32" ht="156">
      <c r="A29" s="41">
        <f t="shared" si="12"/>
        <v>27</v>
      </c>
      <c r="B29" s="41" t="s">
        <v>749</v>
      </c>
      <c r="C29" s="41" t="s">
        <v>876</v>
      </c>
      <c r="D29" s="41" t="s">
        <v>1019</v>
      </c>
      <c r="E29" s="41" t="s">
        <v>1454</v>
      </c>
      <c r="F29" s="43" t="s">
        <v>750</v>
      </c>
      <c r="G29" s="41"/>
      <c r="H29" s="41"/>
      <c r="I29" s="163" t="s">
        <v>831</v>
      </c>
      <c r="J29" s="163" t="s">
        <v>831</v>
      </c>
      <c r="K29" s="163" t="s">
        <v>873</v>
      </c>
      <c r="L29" s="164">
        <v>529.54999999999995</v>
      </c>
      <c r="M29" s="3">
        <v>0</v>
      </c>
      <c r="N29" s="41" t="s">
        <v>32</v>
      </c>
      <c r="O29" s="3">
        <v>416.52</v>
      </c>
      <c r="P29" s="3">
        <v>0</v>
      </c>
      <c r="Q29" s="3">
        <v>107.3932417</v>
      </c>
      <c r="R29" s="69">
        <f>67.4271517+199.0251417</f>
        <v>266.45229340000003</v>
      </c>
      <c r="S29" s="3"/>
      <c r="T29" s="3"/>
      <c r="U29" s="67">
        <f t="shared" si="25"/>
        <v>0</v>
      </c>
      <c r="V29" s="67">
        <f t="shared" si="26"/>
        <v>373.84553510000001</v>
      </c>
      <c r="W29" s="154">
        <f>O29-V29</f>
        <v>42.674464899999975</v>
      </c>
      <c r="X29" s="67">
        <f t="shared" si="31"/>
        <v>416.52</v>
      </c>
      <c r="Y29" s="3"/>
      <c r="Z29" s="67">
        <f t="shared" si="27"/>
        <v>416.52</v>
      </c>
      <c r="AA29" s="67">
        <f t="shared" si="28"/>
        <v>0</v>
      </c>
      <c r="AB29" s="3"/>
      <c r="AC29" s="3"/>
      <c r="AD29" s="3"/>
      <c r="AE29" s="67">
        <f t="shared" si="29"/>
        <v>416.52</v>
      </c>
      <c r="AF29" s="67">
        <f t="shared" si="30"/>
        <v>0</v>
      </c>
    </row>
    <row r="30" spans="1:32" ht="46.8">
      <c r="A30" s="41">
        <f t="shared" si="12"/>
        <v>28</v>
      </c>
      <c r="B30" s="31" t="s">
        <v>756</v>
      </c>
      <c r="C30" s="31" t="s">
        <v>876</v>
      </c>
      <c r="D30" s="41" t="s">
        <v>1019</v>
      </c>
      <c r="E30" s="41" t="s">
        <v>1456</v>
      </c>
      <c r="F30" s="43" t="s">
        <v>757</v>
      </c>
      <c r="G30" s="41"/>
      <c r="H30" s="41"/>
      <c r="I30" s="31" t="s">
        <v>758</v>
      </c>
      <c r="J30" s="31" t="s">
        <v>758</v>
      </c>
      <c r="K30" s="31" t="s">
        <v>759</v>
      </c>
      <c r="L30" s="31">
        <v>124.68</v>
      </c>
      <c r="M30" s="3">
        <v>0</v>
      </c>
      <c r="N30" s="41" t="s">
        <v>32</v>
      </c>
      <c r="O30" s="3">
        <v>124.68</v>
      </c>
      <c r="P30" s="3">
        <v>0</v>
      </c>
      <c r="Q30" s="3">
        <v>1.5636000999999999</v>
      </c>
      <c r="R30" s="25">
        <v>81.873068700000005</v>
      </c>
      <c r="S30" s="3"/>
      <c r="T30" s="3"/>
      <c r="U30" s="67">
        <f t="shared" si="25"/>
        <v>0</v>
      </c>
      <c r="V30" s="67">
        <f t="shared" si="26"/>
        <v>83.436668800000007</v>
      </c>
      <c r="W30" s="154">
        <f>O30-V30</f>
        <v>41.2433312</v>
      </c>
      <c r="X30" s="67">
        <f t="shared" si="31"/>
        <v>124.68</v>
      </c>
      <c r="Y30" s="3"/>
      <c r="Z30" s="67">
        <f t="shared" si="27"/>
        <v>124.68</v>
      </c>
      <c r="AA30" s="67">
        <f t="shared" si="28"/>
        <v>0</v>
      </c>
      <c r="AB30" s="3"/>
      <c r="AC30" s="3"/>
      <c r="AD30" s="3"/>
      <c r="AE30" s="67">
        <f t="shared" si="29"/>
        <v>124.68</v>
      </c>
      <c r="AF30" s="67">
        <f t="shared" si="30"/>
        <v>0</v>
      </c>
    </row>
    <row r="31" spans="1:32" ht="46.8">
      <c r="A31" s="41">
        <f t="shared" si="12"/>
        <v>29</v>
      </c>
      <c r="B31" s="41" t="s">
        <v>761</v>
      </c>
      <c r="C31" s="41" t="s">
        <v>876</v>
      </c>
      <c r="D31" s="41" t="s">
        <v>1019</v>
      </c>
      <c r="E31" s="41" t="s">
        <v>1457</v>
      </c>
      <c r="F31" s="43" t="s">
        <v>762</v>
      </c>
      <c r="G31" s="41"/>
      <c r="H31" s="41"/>
      <c r="I31" s="31" t="s">
        <v>763</v>
      </c>
      <c r="J31" s="31" t="s">
        <v>763</v>
      </c>
      <c r="K31" s="31" t="s">
        <v>764</v>
      </c>
      <c r="L31" s="156">
        <v>8.11</v>
      </c>
      <c r="M31" s="3">
        <v>0</v>
      </c>
      <c r="N31" s="41" t="s">
        <v>32</v>
      </c>
      <c r="O31" s="3">
        <v>8.11</v>
      </c>
      <c r="P31" s="3">
        <v>0</v>
      </c>
      <c r="Q31" s="3">
        <v>1.0620000000000001</v>
      </c>
      <c r="R31" s="25">
        <v>3.9764241999999999</v>
      </c>
      <c r="S31" s="3"/>
      <c r="T31" s="3"/>
      <c r="U31" s="67">
        <f t="shared" si="25"/>
        <v>0</v>
      </c>
      <c r="V31" s="67">
        <f t="shared" si="26"/>
        <v>5.0384241999999997</v>
      </c>
      <c r="W31" s="154">
        <v>1.2742298000000001</v>
      </c>
      <c r="X31" s="67">
        <v>0</v>
      </c>
      <c r="Y31" s="3"/>
      <c r="Z31" s="67">
        <f t="shared" si="27"/>
        <v>0</v>
      </c>
      <c r="AA31" s="67">
        <f t="shared" si="28"/>
        <v>6.3126540000000002</v>
      </c>
      <c r="AB31" s="3">
        <f>O31-AA31</f>
        <v>1.7973459999999992</v>
      </c>
      <c r="AC31" s="3">
        <f>AA31+AB31</f>
        <v>8.11</v>
      </c>
      <c r="AD31" s="3"/>
      <c r="AE31" s="67">
        <f t="shared" si="29"/>
        <v>8.11</v>
      </c>
      <c r="AF31" s="67">
        <f t="shared" si="30"/>
        <v>0</v>
      </c>
    </row>
    <row r="32" spans="1:32" ht="93.6">
      <c r="A32" s="41">
        <f t="shared" si="12"/>
        <v>30</v>
      </c>
      <c r="B32" s="41" t="s">
        <v>770</v>
      </c>
      <c r="C32" s="41" t="s">
        <v>876</v>
      </c>
      <c r="D32" s="41" t="s">
        <v>1019</v>
      </c>
      <c r="E32" s="41" t="s">
        <v>1459</v>
      </c>
      <c r="F32" s="43" t="s">
        <v>771</v>
      </c>
      <c r="G32" s="41"/>
      <c r="H32" s="41"/>
      <c r="I32" s="31" t="s">
        <v>772</v>
      </c>
      <c r="J32" s="31" t="s">
        <v>772</v>
      </c>
      <c r="K32" s="31" t="s">
        <v>773</v>
      </c>
      <c r="L32" s="156">
        <v>33.909999999999997</v>
      </c>
      <c r="M32" s="3">
        <v>0</v>
      </c>
      <c r="N32" s="41" t="s">
        <v>32</v>
      </c>
      <c r="O32" s="3">
        <v>33.909999999999997</v>
      </c>
      <c r="P32" s="3">
        <v>0</v>
      </c>
      <c r="Q32" s="3">
        <v>30.042192199999999</v>
      </c>
      <c r="R32" s="69"/>
      <c r="S32" s="3">
        <f>16.3077643+13.7344279+0.445909909864459+0.273129516007824</f>
        <v>30.761231625872281</v>
      </c>
      <c r="T32" s="3"/>
      <c r="U32" s="67">
        <f t="shared" si="25"/>
        <v>30.761231625872281</v>
      </c>
      <c r="V32" s="67">
        <f t="shared" si="26"/>
        <v>-0.71903942587228187</v>
      </c>
      <c r="W32" s="154">
        <f>O32-U32-V32</f>
        <v>3.8678077999999978</v>
      </c>
      <c r="X32" s="67">
        <f>V32+W32</f>
        <v>3.1487683741277159</v>
      </c>
      <c r="Y32" s="3"/>
      <c r="Z32" s="67">
        <f t="shared" si="27"/>
        <v>33.909999999999997</v>
      </c>
      <c r="AA32" s="67">
        <f t="shared" si="28"/>
        <v>0</v>
      </c>
      <c r="AB32" s="3"/>
      <c r="AC32" s="3"/>
      <c r="AD32" s="3"/>
      <c r="AE32" s="67">
        <f t="shared" si="29"/>
        <v>33.909999999999997</v>
      </c>
      <c r="AF32" s="67">
        <f t="shared" si="30"/>
        <v>0</v>
      </c>
    </row>
    <row r="33" spans="1:32" ht="78">
      <c r="A33" s="41">
        <f t="shared" si="12"/>
        <v>31</v>
      </c>
      <c r="B33" s="41" t="s">
        <v>776</v>
      </c>
      <c r="C33" s="41" t="s">
        <v>876</v>
      </c>
      <c r="D33" s="41" t="s">
        <v>1019</v>
      </c>
      <c r="E33" s="41" t="s">
        <v>1460</v>
      </c>
      <c r="F33" s="43" t="s">
        <v>777</v>
      </c>
      <c r="G33" s="41"/>
      <c r="H33" s="41"/>
      <c r="I33" s="31" t="s">
        <v>1038</v>
      </c>
      <c r="J33" s="31" t="s">
        <v>1038</v>
      </c>
      <c r="K33" s="31" t="s">
        <v>1039</v>
      </c>
      <c r="L33" s="156">
        <v>7.32</v>
      </c>
      <c r="M33" s="3">
        <v>0</v>
      </c>
      <c r="N33" s="41" t="s">
        <v>516</v>
      </c>
      <c r="O33" s="3">
        <v>8.94</v>
      </c>
      <c r="P33" s="3">
        <v>0</v>
      </c>
      <c r="Q33" s="3">
        <v>7.1806482000000003</v>
      </c>
      <c r="R33" s="25">
        <v>0.70727490000000004</v>
      </c>
      <c r="S33" s="3"/>
      <c r="T33" s="3"/>
      <c r="U33" s="67">
        <f t="shared" si="25"/>
        <v>0</v>
      </c>
      <c r="V33" s="67">
        <f t="shared" si="26"/>
        <v>7.8879231000000001</v>
      </c>
      <c r="W33" s="69">
        <f>O33-V33</f>
        <v>1.0520768999999994</v>
      </c>
      <c r="X33" s="3">
        <f>V33+W33</f>
        <v>8.94</v>
      </c>
      <c r="Y33" s="3"/>
      <c r="Z33" s="67">
        <f t="shared" si="27"/>
        <v>8.94</v>
      </c>
      <c r="AA33" s="67">
        <f t="shared" si="28"/>
        <v>0</v>
      </c>
      <c r="AB33" s="3"/>
      <c r="AC33" s="3"/>
      <c r="AD33" s="3"/>
      <c r="AE33" s="67">
        <f t="shared" si="29"/>
        <v>8.94</v>
      </c>
      <c r="AF33" s="67">
        <f t="shared" si="30"/>
        <v>0</v>
      </c>
    </row>
    <row r="34" spans="1:32" ht="62.4">
      <c r="A34" s="41">
        <f t="shared" si="12"/>
        <v>32</v>
      </c>
      <c r="B34" s="41" t="s">
        <v>810</v>
      </c>
      <c r="C34" s="41" t="s">
        <v>876</v>
      </c>
      <c r="D34" s="34" t="s">
        <v>1016</v>
      </c>
      <c r="E34" s="41" t="s">
        <v>1462</v>
      </c>
      <c r="F34" s="43" t="s">
        <v>811</v>
      </c>
      <c r="G34" s="41" t="s">
        <v>81</v>
      </c>
      <c r="H34" s="63">
        <v>3</v>
      </c>
      <c r="I34" s="64">
        <v>42674</v>
      </c>
      <c r="J34" s="64">
        <v>42674</v>
      </c>
      <c r="K34" s="64">
        <v>43131</v>
      </c>
      <c r="L34" s="65">
        <v>44</v>
      </c>
      <c r="M34" s="65">
        <v>44</v>
      </c>
      <c r="N34" s="41" t="s">
        <v>82</v>
      </c>
      <c r="O34" s="65">
        <v>44.39</v>
      </c>
      <c r="P34" s="66">
        <v>45.73</v>
      </c>
      <c r="Q34" s="66">
        <v>4.0500895000000003</v>
      </c>
      <c r="R34" s="69"/>
      <c r="S34" s="3"/>
      <c r="T34" s="3"/>
      <c r="U34" s="67">
        <f t="shared" si="25"/>
        <v>45.73</v>
      </c>
      <c r="V34" s="67">
        <f t="shared" si="26"/>
        <v>4.0500895000000003</v>
      </c>
      <c r="W34" s="3"/>
      <c r="X34" s="3">
        <f>V34</f>
        <v>4.0500895000000003</v>
      </c>
      <c r="Y34" s="3"/>
      <c r="Z34" s="67">
        <f t="shared" si="27"/>
        <v>49.780089499999995</v>
      </c>
      <c r="AA34" s="67">
        <f t="shared" si="28"/>
        <v>0</v>
      </c>
      <c r="AB34" s="3"/>
      <c r="AC34" s="3"/>
      <c r="AD34" s="3"/>
      <c r="AE34" s="67">
        <f t="shared" si="29"/>
        <v>49.780089499999995</v>
      </c>
      <c r="AF34" s="67">
        <f t="shared" si="30"/>
        <v>0</v>
      </c>
    </row>
    <row r="35" spans="1:32" ht="62.4">
      <c r="A35" s="41">
        <f t="shared" si="12"/>
        <v>33</v>
      </c>
      <c r="B35" s="41" t="s">
        <v>812</v>
      </c>
      <c r="C35" s="41" t="s">
        <v>876</v>
      </c>
      <c r="D35" s="41"/>
      <c r="E35" s="41" t="s">
        <v>30</v>
      </c>
      <c r="F35" s="43" t="s">
        <v>813</v>
      </c>
      <c r="G35" s="41"/>
      <c r="H35" s="41"/>
      <c r="I35" s="41"/>
      <c r="J35" s="41"/>
      <c r="K35" s="41"/>
      <c r="L35" s="3"/>
      <c r="M35" s="3"/>
      <c r="N35" s="41" t="s">
        <v>82</v>
      </c>
      <c r="O35" s="3">
        <v>0</v>
      </c>
      <c r="P35" s="3">
        <v>0</v>
      </c>
      <c r="Q35" s="3">
        <v>0.72056089999999995</v>
      </c>
      <c r="R35" s="69"/>
      <c r="S35" s="3"/>
      <c r="T35" s="3"/>
      <c r="U35" s="67">
        <f t="shared" si="25"/>
        <v>0</v>
      </c>
      <c r="V35" s="67">
        <f t="shared" si="26"/>
        <v>0.72056089999999995</v>
      </c>
      <c r="W35" s="3"/>
      <c r="X35" s="3">
        <f>V35</f>
        <v>0.72056089999999995</v>
      </c>
      <c r="Y35" s="3"/>
      <c r="Z35" s="67">
        <f t="shared" si="27"/>
        <v>0.72056089999999995</v>
      </c>
      <c r="AA35" s="67">
        <f t="shared" si="28"/>
        <v>0</v>
      </c>
      <c r="AB35" s="3"/>
      <c r="AC35" s="3"/>
      <c r="AD35" s="3"/>
      <c r="AE35" s="67">
        <f t="shared" si="29"/>
        <v>0.72056089999999995</v>
      </c>
      <c r="AF35" s="67">
        <f t="shared" si="30"/>
        <v>0</v>
      </c>
    </row>
    <row r="36" spans="1:32" ht="156">
      <c r="A36" s="41">
        <f t="shared" si="12"/>
        <v>34</v>
      </c>
      <c r="B36" s="41" t="s">
        <v>814</v>
      </c>
      <c r="C36" s="41" t="s">
        <v>876</v>
      </c>
      <c r="D36" s="41" t="s">
        <v>1019</v>
      </c>
      <c r="E36" s="41" t="s">
        <v>1463</v>
      </c>
      <c r="F36" s="76" t="s">
        <v>815</v>
      </c>
      <c r="G36" s="41"/>
      <c r="H36" s="41"/>
      <c r="I36" s="31" t="s">
        <v>718</v>
      </c>
      <c r="J36" s="31" t="s">
        <v>718</v>
      </c>
      <c r="K36" s="31" t="s">
        <v>719</v>
      </c>
      <c r="L36" s="156">
        <v>34.6</v>
      </c>
      <c r="M36" s="3">
        <v>0</v>
      </c>
      <c r="N36" s="41" t="s">
        <v>29</v>
      </c>
      <c r="O36" s="3">
        <v>34.6</v>
      </c>
      <c r="P36" s="3">
        <v>0</v>
      </c>
      <c r="Q36" s="3">
        <v>0</v>
      </c>
      <c r="R36" s="25">
        <f>7.8932859+1.21265</f>
        <v>9.1059359000000004</v>
      </c>
      <c r="S36" s="3"/>
      <c r="T36" s="3"/>
      <c r="U36" s="67">
        <f t="shared" si="25"/>
        <v>0</v>
      </c>
      <c r="V36" s="67">
        <f t="shared" si="26"/>
        <v>9.1059359000000004</v>
      </c>
      <c r="W36" s="154">
        <f>O36-V36</f>
        <v>25.494064100000003</v>
      </c>
      <c r="X36" s="3">
        <f>V36+W36</f>
        <v>34.6</v>
      </c>
      <c r="Y36" s="3"/>
      <c r="Z36" s="67">
        <f t="shared" si="27"/>
        <v>34.6</v>
      </c>
      <c r="AA36" s="67">
        <f t="shared" si="28"/>
        <v>0</v>
      </c>
      <c r="AB36" s="3"/>
      <c r="AC36" s="3"/>
      <c r="AD36" s="3"/>
      <c r="AE36" s="67">
        <f t="shared" si="29"/>
        <v>34.6</v>
      </c>
      <c r="AF36" s="67">
        <f t="shared" si="30"/>
        <v>0</v>
      </c>
    </row>
    <row r="37" spans="1:32" ht="78">
      <c r="A37" s="41">
        <f t="shared" si="12"/>
        <v>35</v>
      </c>
      <c r="B37" s="41" t="s">
        <v>829</v>
      </c>
      <c r="C37" s="41" t="s">
        <v>876</v>
      </c>
      <c r="D37" s="41" t="s">
        <v>1019</v>
      </c>
      <c r="E37" s="41" t="s">
        <v>1466</v>
      </c>
      <c r="F37" s="43" t="s">
        <v>830</v>
      </c>
      <c r="G37" s="41"/>
      <c r="H37" s="41"/>
      <c r="I37" s="31" t="s">
        <v>718</v>
      </c>
      <c r="J37" s="31" t="s">
        <v>718</v>
      </c>
      <c r="K37" s="31" t="s">
        <v>719</v>
      </c>
      <c r="L37" s="156">
        <v>89.65</v>
      </c>
      <c r="M37" s="3">
        <v>0</v>
      </c>
      <c r="N37" s="41" t="s">
        <v>29</v>
      </c>
      <c r="O37" s="3">
        <v>89.65</v>
      </c>
      <c r="P37" s="3">
        <v>0</v>
      </c>
      <c r="Q37" s="3">
        <v>0</v>
      </c>
      <c r="R37" s="25">
        <v>28.9941268</v>
      </c>
      <c r="S37" s="3"/>
      <c r="T37" s="3"/>
      <c r="U37" s="67">
        <f t="shared" si="25"/>
        <v>0</v>
      </c>
      <c r="V37" s="67">
        <f t="shared" si="26"/>
        <v>28.9941268</v>
      </c>
      <c r="W37" s="154">
        <v>48.56</v>
      </c>
      <c r="X37" s="3"/>
      <c r="Y37" s="3"/>
      <c r="Z37" s="67">
        <f t="shared" si="27"/>
        <v>0</v>
      </c>
      <c r="AA37" s="67">
        <f t="shared" si="28"/>
        <v>77.554126800000006</v>
      </c>
      <c r="AB37" s="3">
        <f>O37-AA37</f>
        <v>12.0958732</v>
      </c>
      <c r="AC37" s="3">
        <f>AA37+AB37</f>
        <v>89.65</v>
      </c>
      <c r="AD37" s="3"/>
      <c r="AE37" s="67">
        <f t="shared" si="29"/>
        <v>89.65</v>
      </c>
      <c r="AF37" s="67">
        <f t="shared" si="30"/>
        <v>0</v>
      </c>
    </row>
    <row r="38" spans="1:32" ht="46.8">
      <c r="A38" s="41">
        <f t="shared" si="12"/>
        <v>36</v>
      </c>
      <c r="B38" s="41" t="s">
        <v>865</v>
      </c>
      <c r="C38" s="41" t="s">
        <v>876</v>
      </c>
      <c r="D38" s="41" t="s">
        <v>1019</v>
      </c>
      <c r="E38" s="41" t="s">
        <v>1470</v>
      </c>
      <c r="F38" s="76" t="s">
        <v>866</v>
      </c>
      <c r="G38" s="41"/>
      <c r="H38" s="41"/>
      <c r="I38" s="31" t="s">
        <v>867</v>
      </c>
      <c r="J38" s="31" t="s">
        <v>867</v>
      </c>
      <c r="K38" s="31" t="s">
        <v>868</v>
      </c>
      <c r="L38" s="156">
        <v>75.69</v>
      </c>
      <c r="M38" s="3"/>
      <c r="N38" s="41" t="s">
        <v>29</v>
      </c>
      <c r="O38" s="3">
        <v>0</v>
      </c>
      <c r="P38" s="3">
        <v>0</v>
      </c>
      <c r="Q38" s="3">
        <v>0</v>
      </c>
      <c r="R38" s="25">
        <v>1.1275318999999999</v>
      </c>
      <c r="S38" s="3"/>
      <c r="T38" s="3"/>
      <c r="U38" s="67">
        <f t="shared" si="25"/>
        <v>0</v>
      </c>
      <c r="V38" s="67">
        <f t="shared" si="26"/>
        <v>1.1275318999999999</v>
      </c>
      <c r="W38" s="154">
        <f>0.2072887+0.9718428+1.9301861+0.0823404+7.3767218+10</f>
        <v>20.568379800000002</v>
      </c>
      <c r="X38" s="3"/>
      <c r="Y38" s="3"/>
      <c r="Z38" s="67">
        <f t="shared" si="27"/>
        <v>0</v>
      </c>
      <c r="AA38" s="67">
        <f t="shared" si="28"/>
        <v>21.695911700000003</v>
      </c>
      <c r="AB38" s="3">
        <f>L38-AA38</f>
        <v>53.994088299999994</v>
      </c>
      <c r="AC38" s="3">
        <f>AA38+AB38</f>
        <v>75.69</v>
      </c>
      <c r="AD38" s="3"/>
      <c r="AE38" s="67">
        <f t="shared" si="29"/>
        <v>75.69</v>
      </c>
      <c r="AF38" s="67">
        <f t="shared" si="30"/>
        <v>0</v>
      </c>
    </row>
    <row r="39" spans="1:32" ht="62.4">
      <c r="A39" s="41">
        <f t="shared" si="12"/>
        <v>37</v>
      </c>
      <c r="B39" s="31" t="s">
        <v>869</v>
      </c>
      <c r="C39" s="31" t="s">
        <v>876</v>
      </c>
      <c r="D39" s="34" t="s">
        <v>1019</v>
      </c>
      <c r="E39" s="41" t="s">
        <v>1472</v>
      </c>
      <c r="F39" s="43" t="s">
        <v>1041</v>
      </c>
      <c r="G39" s="31" t="s">
        <v>28</v>
      </c>
      <c r="H39" s="41"/>
      <c r="I39" s="31" t="s">
        <v>718</v>
      </c>
      <c r="J39" s="31" t="s">
        <v>718</v>
      </c>
      <c r="K39" s="31" t="s">
        <v>719</v>
      </c>
      <c r="L39" s="156">
        <v>141.87</v>
      </c>
      <c r="M39" s="3">
        <v>150.72</v>
      </c>
      <c r="N39" s="31" t="s">
        <v>1044</v>
      </c>
      <c r="O39" s="156">
        <v>141.87</v>
      </c>
      <c r="P39" s="3">
        <v>0</v>
      </c>
      <c r="Q39" s="3">
        <v>0</v>
      </c>
      <c r="R39" s="25">
        <f>0.6534323+3.9755572</f>
        <v>4.6289894999999994</v>
      </c>
      <c r="S39" s="3"/>
      <c r="T39" s="3"/>
      <c r="U39" s="67">
        <f t="shared" si="25"/>
        <v>0</v>
      </c>
      <c r="V39" s="67">
        <f t="shared" si="26"/>
        <v>4.6289894999999994</v>
      </c>
      <c r="W39" s="154">
        <f>1.2836949+0.7561141+1.7223954+1.6042889+35</f>
        <v>40.366493300000002</v>
      </c>
      <c r="X39" s="67"/>
      <c r="Y39" s="3"/>
      <c r="Z39" s="67">
        <f t="shared" si="27"/>
        <v>0</v>
      </c>
      <c r="AA39" s="67">
        <f t="shared" si="28"/>
        <v>44.995482800000005</v>
      </c>
      <c r="AB39" s="3">
        <f>O39-AA39</f>
        <v>96.8745172</v>
      </c>
      <c r="AC39" s="3">
        <f>AA39+AB39</f>
        <v>141.87</v>
      </c>
      <c r="AD39" s="3"/>
      <c r="AE39" s="67">
        <f t="shared" si="29"/>
        <v>141.87</v>
      </c>
      <c r="AF39" s="67">
        <f t="shared" si="30"/>
        <v>0</v>
      </c>
    </row>
    <row r="40" spans="1:32" ht="46.8">
      <c r="A40" s="41">
        <f t="shared" si="12"/>
        <v>38</v>
      </c>
      <c r="B40" s="41" t="s">
        <v>760</v>
      </c>
      <c r="C40" s="33" t="s">
        <v>876</v>
      </c>
      <c r="D40" s="34" t="s">
        <v>1023</v>
      </c>
      <c r="E40" s="34" t="s">
        <v>30</v>
      </c>
      <c r="F40" s="43" t="s">
        <v>1052</v>
      </c>
      <c r="G40" s="41"/>
      <c r="H40" s="41"/>
      <c r="I40" s="41"/>
      <c r="J40" s="41"/>
      <c r="K40" s="77"/>
      <c r="L40" s="3">
        <v>21.39</v>
      </c>
      <c r="M40" s="3"/>
      <c r="N40" s="36" t="s">
        <v>1054</v>
      </c>
      <c r="O40" s="3">
        <v>0</v>
      </c>
      <c r="P40" s="3">
        <v>0</v>
      </c>
      <c r="Q40" s="3">
        <v>0</v>
      </c>
      <c r="R40" s="3"/>
      <c r="S40" s="3"/>
      <c r="T40" s="3"/>
      <c r="U40" s="67">
        <f t="shared" ref="U40:U41" si="32">P40+S40+T40</f>
        <v>0</v>
      </c>
      <c r="V40" s="67">
        <f t="shared" ref="V40:V41" si="33">Q40+R40-S40-T40</f>
        <v>0</v>
      </c>
      <c r="W40" s="154">
        <f>0.0893163+1.1674896+0.1190284+0.8578721+0.3709419+1.2709128+1.7426523+3</f>
        <v>8.6182134000000001</v>
      </c>
      <c r="X40" s="3"/>
      <c r="Y40" s="3"/>
      <c r="Z40" s="67">
        <f t="shared" ref="Z40:Z41" si="34">U40+X40+Y40</f>
        <v>0</v>
      </c>
      <c r="AA40" s="67">
        <f t="shared" ref="AA40:AA41" si="35">V40+W40-X40-Y40</f>
        <v>8.6182134000000001</v>
      </c>
      <c r="AB40" s="3">
        <f>L40-AA40</f>
        <v>12.7717866</v>
      </c>
      <c r="AC40" s="3">
        <f>AA40+AB40</f>
        <v>21.39</v>
      </c>
      <c r="AD40" s="3"/>
      <c r="AE40" s="67">
        <f t="shared" ref="AE40:AE41" si="36">Z40+AC40+AD40</f>
        <v>21.39</v>
      </c>
      <c r="AF40" s="67">
        <f t="shared" ref="AF40:AF41" si="37">AA40+AB40-AC40-AD40</f>
        <v>0</v>
      </c>
    </row>
    <row r="41" spans="1:32" ht="46.8">
      <c r="A41" s="41">
        <f t="shared" si="12"/>
        <v>39</v>
      </c>
      <c r="B41" s="41" t="s">
        <v>991</v>
      </c>
      <c r="C41" s="33" t="s">
        <v>876</v>
      </c>
      <c r="D41" s="34" t="s">
        <v>1023</v>
      </c>
      <c r="E41" s="34" t="s">
        <v>30</v>
      </c>
      <c r="F41" s="43" t="s">
        <v>1053</v>
      </c>
      <c r="G41" s="41"/>
      <c r="H41" s="41"/>
      <c r="I41" s="41"/>
      <c r="J41" s="41"/>
      <c r="K41" s="77"/>
      <c r="L41" s="3">
        <v>36.28</v>
      </c>
      <c r="M41" s="3"/>
      <c r="N41" s="36" t="s">
        <v>32</v>
      </c>
      <c r="O41" s="3">
        <v>0</v>
      </c>
      <c r="P41" s="3">
        <v>0</v>
      </c>
      <c r="Q41" s="3">
        <v>0</v>
      </c>
      <c r="R41" s="3"/>
      <c r="S41" s="3"/>
      <c r="T41" s="3"/>
      <c r="U41" s="67">
        <f t="shared" si="32"/>
        <v>0</v>
      </c>
      <c r="V41" s="67">
        <f t="shared" si="33"/>
        <v>0</v>
      </c>
      <c r="W41" s="3">
        <f>0.6184695+1.0917226+0.2338787+0.0585289+0.290575+0.8131824+0.8228357+0.6641078+0.2623731+0.264733+0.1581332+0.1455037+0.0846639+0.1682953+5</f>
        <v>10.6770028</v>
      </c>
      <c r="X41" s="3"/>
      <c r="Y41" s="3"/>
      <c r="Z41" s="67">
        <f t="shared" si="34"/>
        <v>0</v>
      </c>
      <c r="AA41" s="67">
        <f t="shared" si="35"/>
        <v>10.6770028</v>
      </c>
      <c r="AB41" s="3">
        <f>L41-AA41</f>
        <v>25.602997200000001</v>
      </c>
      <c r="AC41" s="3">
        <f>AA41+AB41</f>
        <v>36.28</v>
      </c>
      <c r="AD41" s="3"/>
      <c r="AE41" s="67">
        <f t="shared" si="36"/>
        <v>36.28</v>
      </c>
      <c r="AF41" s="67">
        <f t="shared" si="37"/>
        <v>0</v>
      </c>
    </row>
    <row r="42" spans="1:32" ht="62.4">
      <c r="A42" s="41">
        <f t="shared" si="12"/>
        <v>40</v>
      </c>
      <c r="B42" s="165" t="s">
        <v>1040</v>
      </c>
      <c r="C42" s="31" t="s">
        <v>876</v>
      </c>
      <c r="D42" s="34" t="s">
        <v>1023</v>
      </c>
      <c r="E42" s="34" t="s">
        <v>30</v>
      </c>
      <c r="F42" s="43" t="s">
        <v>1042</v>
      </c>
      <c r="G42" s="31" t="s">
        <v>28</v>
      </c>
      <c r="H42" s="41"/>
      <c r="I42" s="31" t="s">
        <v>854</v>
      </c>
      <c r="J42" s="31" t="s">
        <v>854</v>
      </c>
      <c r="K42" s="31" t="s">
        <v>1043</v>
      </c>
      <c r="L42" s="156">
        <v>138.87</v>
      </c>
      <c r="M42" s="3" t="s">
        <v>30</v>
      </c>
      <c r="N42" s="31" t="s">
        <v>32</v>
      </c>
      <c r="O42" s="156">
        <v>138.87</v>
      </c>
      <c r="P42" s="3">
        <v>0</v>
      </c>
      <c r="Q42" s="3">
        <v>0</v>
      </c>
      <c r="R42" s="25">
        <v>127.9423049</v>
      </c>
      <c r="S42" s="3">
        <f>20.449342+0.2354134+32.4888722+25.9070633+1.859639+0.1883642</f>
        <v>81.128694100000004</v>
      </c>
      <c r="T42" s="3"/>
      <c r="U42" s="67">
        <f>P42+S42+T42</f>
        <v>81.128694100000004</v>
      </c>
      <c r="V42" s="67">
        <f>Q42+R42-S42-T42</f>
        <v>46.813610799999992</v>
      </c>
      <c r="W42" s="154">
        <f>7.0727152+0.9105389+1.2538468+1.3868539+0.3886667+0.7952484+2.2396954+0.6792283</f>
        <v>14.726793600000001</v>
      </c>
      <c r="X42" s="67">
        <f>V42+W42</f>
        <v>61.540404399999993</v>
      </c>
      <c r="Y42" s="3"/>
      <c r="Z42" s="67">
        <f>U42+X42+Y42</f>
        <v>142.66909849999999</v>
      </c>
      <c r="AA42" s="67">
        <f>V42+W42-X42-Y42</f>
        <v>0</v>
      </c>
      <c r="AB42" s="3"/>
      <c r="AC42" s="3"/>
      <c r="AD42" s="3"/>
      <c r="AE42" s="67">
        <f>Z42+AC42+AD42</f>
        <v>142.66909849999999</v>
      </c>
      <c r="AF42" s="67">
        <f>AA42+AB42-AC42-AD42</f>
        <v>0</v>
      </c>
    </row>
    <row r="43" spans="1:32" ht="46.8">
      <c r="A43" s="41">
        <f t="shared" si="12"/>
        <v>41</v>
      </c>
      <c r="B43" s="41" t="s">
        <v>1488</v>
      </c>
      <c r="C43" s="33" t="s">
        <v>876</v>
      </c>
      <c r="D43" s="34"/>
      <c r="E43" s="34" t="s">
        <v>1509</v>
      </c>
      <c r="F43" s="32" t="s">
        <v>1487</v>
      </c>
      <c r="G43" s="41"/>
      <c r="H43" s="41"/>
      <c r="I43" s="41"/>
      <c r="J43" s="41"/>
      <c r="K43" s="77"/>
      <c r="L43" s="3"/>
      <c r="M43" s="3"/>
      <c r="N43" s="36" t="s">
        <v>82</v>
      </c>
      <c r="O43" s="156">
        <v>0</v>
      </c>
      <c r="P43" s="3">
        <v>0</v>
      </c>
      <c r="Q43" s="3">
        <v>0</v>
      </c>
      <c r="R43" s="25">
        <v>0.7079685</v>
      </c>
      <c r="S43" s="3">
        <v>0.1025277</v>
      </c>
      <c r="T43" s="3">
        <v>0</v>
      </c>
      <c r="U43" s="67">
        <f t="shared" ref="U43:U49" si="38">P43+S43+T43</f>
        <v>0.1025277</v>
      </c>
      <c r="V43" s="67">
        <f t="shared" ref="V43:V49" si="39">Q43+R43-S43-T43</f>
        <v>0.6054408</v>
      </c>
      <c r="W43" s="3"/>
      <c r="X43" s="3">
        <f>V43+W43</f>
        <v>0.6054408</v>
      </c>
      <c r="Y43" s="3"/>
      <c r="Z43" s="67">
        <f t="shared" ref="Z43:Z49" si="40">U43+X43+Y43</f>
        <v>0.7079685</v>
      </c>
      <c r="AA43" s="67">
        <f t="shared" ref="AA43:AA49" si="41">V43+W43-X43-Y43</f>
        <v>0</v>
      </c>
      <c r="AB43" s="3"/>
      <c r="AC43" s="3"/>
      <c r="AD43" s="3"/>
      <c r="AE43" s="67">
        <f t="shared" ref="AE43:AE49" si="42">Z43+AC43+AD43</f>
        <v>0.7079685</v>
      </c>
      <c r="AF43" s="67">
        <f t="shared" ref="AF43" si="43">AA43+AB43-AC43-AD43</f>
        <v>0</v>
      </c>
    </row>
    <row r="44" spans="1:32" ht="109.2">
      <c r="A44" s="41">
        <f t="shared" si="12"/>
        <v>42</v>
      </c>
      <c r="B44" s="32" t="s">
        <v>1518</v>
      </c>
      <c r="C44" s="36" t="s">
        <v>876</v>
      </c>
      <c r="D44" s="34" t="s">
        <v>1023</v>
      </c>
      <c r="E44" s="34" t="s">
        <v>1509</v>
      </c>
      <c r="F44" s="32" t="s">
        <v>1502</v>
      </c>
      <c r="G44" s="41"/>
      <c r="H44" s="41"/>
      <c r="I44" s="41"/>
      <c r="J44" s="41"/>
      <c r="K44" s="77"/>
      <c r="L44" s="3"/>
      <c r="M44" s="3">
        <v>99.61</v>
      </c>
      <c r="N44" s="36" t="s">
        <v>1545</v>
      </c>
      <c r="O44" s="3">
        <v>0</v>
      </c>
      <c r="P44" s="3">
        <v>0</v>
      </c>
      <c r="Q44" s="3">
        <v>0</v>
      </c>
      <c r="R44" s="25"/>
      <c r="S44" s="3"/>
      <c r="T44" s="3"/>
      <c r="U44" s="67">
        <f t="shared" si="38"/>
        <v>0</v>
      </c>
      <c r="V44" s="67">
        <f t="shared" si="39"/>
        <v>0</v>
      </c>
      <c r="W44" s="3">
        <f>M44-7.73</f>
        <v>91.88</v>
      </c>
      <c r="X44" s="3"/>
      <c r="Y44" s="3"/>
      <c r="Z44" s="67">
        <f t="shared" si="40"/>
        <v>0</v>
      </c>
      <c r="AA44" s="67">
        <f t="shared" si="41"/>
        <v>91.88</v>
      </c>
      <c r="AB44" s="3">
        <f>M44-AA44</f>
        <v>7.730000000000004</v>
      </c>
      <c r="AC44" s="3">
        <f>AA44+AB44</f>
        <v>99.61</v>
      </c>
      <c r="AD44" s="3"/>
      <c r="AE44" s="67">
        <f t="shared" si="42"/>
        <v>99.61</v>
      </c>
      <c r="AF44" s="67">
        <f t="shared" ref="AF44:AF49" si="44">AA44+AB44-AC44-AD44</f>
        <v>0</v>
      </c>
    </row>
    <row r="45" spans="1:32" ht="78">
      <c r="A45" s="41">
        <f t="shared" si="12"/>
        <v>43</v>
      </c>
      <c r="B45" s="32" t="s">
        <v>1520</v>
      </c>
      <c r="C45" s="36" t="s">
        <v>876</v>
      </c>
      <c r="D45" s="34" t="s">
        <v>1023</v>
      </c>
      <c r="E45" s="34" t="s">
        <v>1509</v>
      </c>
      <c r="F45" s="32" t="s">
        <v>1504</v>
      </c>
      <c r="G45" s="41"/>
      <c r="H45" s="41"/>
      <c r="I45" s="41"/>
      <c r="J45" s="41"/>
      <c r="K45" s="77"/>
      <c r="L45" s="3"/>
      <c r="M45" s="3">
        <v>4.8499999999999996</v>
      </c>
      <c r="N45" s="36" t="s">
        <v>1508</v>
      </c>
      <c r="O45" s="3">
        <v>0</v>
      </c>
      <c r="P45" s="3">
        <v>0</v>
      </c>
      <c r="Q45" s="3">
        <v>0</v>
      </c>
      <c r="R45" s="25"/>
      <c r="S45" s="3"/>
      <c r="T45" s="3"/>
      <c r="U45" s="67">
        <f t="shared" si="38"/>
        <v>0</v>
      </c>
      <c r="V45" s="67">
        <f t="shared" si="39"/>
        <v>0</v>
      </c>
      <c r="W45" s="3">
        <f>M45</f>
        <v>4.8499999999999996</v>
      </c>
      <c r="X45" s="3">
        <f>W45</f>
        <v>4.8499999999999996</v>
      </c>
      <c r="Y45" s="3"/>
      <c r="Z45" s="67">
        <f t="shared" si="40"/>
        <v>4.8499999999999996</v>
      </c>
      <c r="AA45" s="67">
        <f t="shared" si="41"/>
        <v>0</v>
      </c>
      <c r="AB45" s="3"/>
      <c r="AC45" s="3"/>
      <c r="AD45" s="3"/>
      <c r="AE45" s="67">
        <f t="shared" si="42"/>
        <v>4.8499999999999996</v>
      </c>
      <c r="AF45" s="67">
        <f t="shared" si="44"/>
        <v>0</v>
      </c>
    </row>
    <row r="46" spans="1:32" ht="62.4">
      <c r="A46" s="41">
        <f t="shared" si="12"/>
        <v>44</v>
      </c>
      <c r="B46" s="32" t="s">
        <v>1523</v>
      </c>
      <c r="C46" s="33" t="s">
        <v>876</v>
      </c>
      <c r="D46" s="34"/>
      <c r="E46" s="34"/>
      <c r="F46" s="38" t="s">
        <v>1537</v>
      </c>
      <c r="G46" s="41"/>
      <c r="H46" s="41"/>
      <c r="I46" s="41"/>
      <c r="J46" s="41"/>
      <c r="K46" s="77"/>
      <c r="L46" s="3"/>
      <c r="M46" s="3">
        <v>3.25</v>
      </c>
      <c r="N46" s="36"/>
      <c r="O46" s="3">
        <v>0</v>
      </c>
      <c r="P46" s="3">
        <v>0</v>
      </c>
      <c r="Q46" s="3">
        <v>0</v>
      </c>
      <c r="R46" s="25">
        <v>2.1269228999999998</v>
      </c>
      <c r="S46" s="3"/>
      <c r="T46" s="3"/>
      <c r="U46" s="67">
        <f t="shared" si="38"/>
        <v>0</v>
      </c>
      <c r="V46" s="67">
        <f t="shared" si="39"/>
        <v>2.1269228999999998</v>
      </c>
      <c r="W46" s="3"/>
      <c r="X46" s="3">
        <f>V46</f>
        <v>2.1269228999999998</v>
      </c>
      <c r="Y46" s="3"/>
      <c r="Z46" s="67">
        <f t="shared" si="40"/>
        <v>2.1269228999999998</v>
      </c>
      <c r="AA46" s="67">
        <f t="shared" si="41"/>
        <v>0</v>
      </c>
      <c r="AB46" s="3"/>
      <c r="AC46" s="3"/>
      <c r="AD46" s="3"/>
      <c r="AE46" s="67">
        <f t="shared" si="42"/>
        <v>2.1269228999999998</v>
      </c>
      <c r="AF46" s="67">
        <f t="shared" si="44"/>
        <v>0</v>
      </c>
    </row>
    <row r="47" spans="1:32" ht="62.4">
      <c r="A47" s="41">
        <f t="shared" si="12"/>
        <v>45</v>
      </c>
      <c r="B47" s="32" t="s">
        <v>1524</v>
      </c>
      <c r="C47" s="33" t="s">
        <v>876</v>
      </c>
      <c r="D47" s="34"/>
      <c r="E47" s="34" t="s">
        <v>1521</v>
      </c>
      <c r="F47" s="38" t="s">
        <v>1538</v>
      </c>
      <c r="G47" s="41"/>
      <c r="H47" s="41"/>
      <c r="I47" s="41"/>
      <c r="J47" s="41"/>
      <c r="K47" s="77"/>
      <c r="L47" s="3"/>
      <c r="M47" s="3"/>
      <c r="N47" s="36"/>
      <c r="O47" s="3">
        <v>0</v>
      </c>
      <c r="P47" s="3">
        <v>0</v>
      </c>
      <c r="Q47" s="3">
        <v>0</v>
      </c>
      <c r="R47" s="25">
        <v>1.5247842</v>
      </c>
      <c r="S47" s="3"/>
      <c r="T47" s="3"/>
      <c r="U47" s="67">
        <f t="shared" si="38"/>
        <v>0</v>
      </c>
      <c r="V47" s="67">
        <f t="shared" si="39"/>
        <v>1.5247842</v>
      </c>
      <c r="W47" s="3"/>
      <c r="X47" s="3">
        <f>V47</f>
        <v>1.5247842</v>
      </c>
      <c r="Y47" s="3"/>
      <c r="Z47" s="67">
        <f t="shared" si="40"/>
        <v>1.5247842</v>
      </c>
      <c r="AA47" s="67">
        <f t="shared" si="41"/>
        <v>0</v>
      </c>
      <c r="AB47" s="3"/>
      <c r="AC47" s="3"/>
      <c r="AD47" s="3"/>
      <c r="AE47" s="67">
        <f t="shared" si="42"/>
        <v>1.5247842</v>
      </c>
      <c r="AF47" s="67">
        <f t="shared" si="44"/>
        <v>0</v>
      </c>
    </row>
    <row r="48" spans="1:32" ht="62.4">
      <c r="A48" s="41">
        <f t="shared" si="12"/>
        <v>46</v>
      </c>
      <c r="B48" s="32" t="s">
        <v>1527</v>
      </c>
      <c r="C48" s="33" t="s">
        <v>876</v>
      </c>
      <c r="D48" s="34"/>
      <c r="E48" s="34"/>
      <c r="F48" s="38" t="s">
        <v>1536</v>
      </c>
      <c r="G48" s="41"/>
      <c r="H48" s="41"/>
      <c r="I48" s="41"/>
      <c r="J48" s="41"/>
      <c r="K48" s="77"/>
      <c r="L48" s="3"/>
      <c r="M48" s="3"/>
      <c r="N48" s="36"/>
      <c r="O48" s="3">
        <v>0</v>
      </c>
      <c r="P48" s="3">
        <v>0</v>
      </c>
      <c r="Q48" s="3">
        <v>0</v>
      </c>
      <c r="R48" s="25">
        <v>1.3376047</v>
      </c>
      <c r="S48" s="3"/>
      <c r="T48" s="3"/>
      <c r="U48" s="67">
        <f t="shared" si="38"/>
        <v>0</v>
      </c>
      <c r="V48" s="67">
        <f t="shared" si="39"/>
        <v>1.3376047</v>
      </c>
      <c r="W48" s="3"/>
      <c r="X48" s="3">
        <f>V48</f>
        <v>1.3376047</v>
      </c>
      <c r="Y48" s="3"/>
      <c r="Z48" s="67">
        <f t="shared" si="40"/>
        <v>1.3376047</v>
      </c>
      <c r="AA48" s="67">
        <f t="shared" si="41"/>
        <v>0</v>
      </c>
      <c r="AB48" s="3"/>
      <c r="AC48" s="3"/>
      <c r="AD48" s="3"/>
      <c r="AE48" s="67">
        <f t="shared" si="42"/>
        <v>1.3376047</v>
      </c>
      <c r="AF48" s="67">
        <f t="shared" si="44"/>
        <v>0</v>
      </c>
    </row>
    <row r="49" spans="1:32" ht="46.8">
      <c r="A49" s="41">
        <f t="shared" si="12"/>
        <v>47</v>
      </c>
      <c r="B49" s="32" t="s">
        <v>1530</v>
      </c>
      <c r="C49" s="33" t="s">
        <v>876</v>
      </c>
      <c r="D49" s="34"/>
      <c r="E49" s="34" t="s">
        <v>1522</v>
      </c>
      <c r="F49" s="38" t="s">
        <v>1531</v>
      </c>
      <c r="G49" s="41"/>
      <c r="H49" s="41"/>
      <c r="I49" s="41"/>
      <c r="J49" s="41"/>
      <c r="K49" s="77"/>
      <c r="L49" s="3">
        <v>136.13</v>
      </c>
      <c r="M49" s="3"/>
      <c r="N49" s="36"/>
      <c r="O49" s="3">
        <v>0</v>
      </c>
      <c r="P49" s="3">
        <v>0</v>
      </c>
      <c r="Q49" s="3">
        <v>0</v>
      </c>
      <c r="R49" s="25">
        <v>96.072838000000004</v>
      </c>
      <c r="S49" s="3"/>
      <c r="T49" s="3"/>
      <c r="U49" s="67">
        <f t="shared" si="38"/>
        <v>0</v>
      </c>
      <c r="V49" s="67">
        <f t="shared" si="39"/>
        <v>96.072838000000004</v>
      </c>
      <c r="W49" s="154">
        <f>L49-V49</f>
        <v>40.057161999999991</v>
      </c>
      <c r="X49" s="3">
        <f>V49+W49</f>
        <v>136.13</v>
      </c>
      <c r="Y49" s="3"/>
      <c r="Z49" s="67">
        <f t="shared" si="40"/>
        <v>136.13</v>
      </c>
      <c r="AA49" s="67">
        <f t="shared" si="41"/>
        <v>0</v>
      </c>
      <c r="AB49" s="3"/>
      <c r="AC49" s="3"/>
      <c r="AD49" s="3"/>
      <c r="AE49" s="67">
        <f t="shared" si="42"/>
        <v>136.13</v>
      </c>
      <c r="AF49" s="67">
        <f t="shared" si="44"/>
        <v>0</v>
      </c>
    </row>
    <row r="50" spans="1:32">
      <c r="B50" s="56"/>
      <c r="C50" s="56"/>
      <c r="D50" s="56"/>
      <c r="E50" s="56"/>
      <c r="F50" s="57"/>
    </row>
    <row r="51" spans="1:32">
      <c r="B51" s="56"/>
      <c r="C51" s="56"/>
      <c r="D51" s="56"/>
      <c r="E51" s="56"/>
      <c r="F51" s="57"/>
    </row>
    <row r="52" spans="1:32">
      <c r="B52" s="56"/>
      <c r="C52" s="56"/>
      <c r="D52" s="56"/>
      <c r="E52" s="56"/>
      <c r="F52" s="57"/>
    </row>
    <row r="53" spans="1:32">
      <c r="B53" s="56"/>
      <c r="C53" s="56"/>
      <c r="D53" s="56"/>
      <c r="E53" s="56"/>
      <c r="F53" s="57"/>
    </row>
    <row r="54" spans="1:32">
      <c r="B54" s="56"/>
      <c r="C54" s="56"/>
      <c r="D54" s="56"/>
      <c r="E54" s="56"/>
      <c r="F54" s="57"/>
    </row>
    <row r="55" spans="1:32">
      <c r="B55" s="56"/>
      <c r="C55" s="56"/>
      <c r="D55" s="56"/>
      <c r="E55" s="56"/>
      <c r="F55" s="57"/>
      <c r="N55" s="58"/>
      <c r="P55" s="6">
        <f t="shared" ref="P55:AF55" si="45">SUM(P3:P50)</f>
        <v>117.02330190000001</v>
      </c>
      <c r="Q55" s="6">
        <f t="shared" si="45"/>
        <v>1096.3200816000001</v>
      </c>
      <c r="R55" s="6">
        <f t="shared" si="45"/>
        <v>779.89633509999999</v>
      </c>
      <c r="S55" s="6">
        <f t="shared" si="45"/>
        <v>493.9478797815018</v>
      </c>
      <c r="T55" s="6">
        <f t="shared" si="45"/>
        <v>0</v>
      </c>
      <c r="U55" s="6">
        <f t="shared" si="45"/>
        <v>610.97118168150178</v>
      </c>
      <c r="V55" s="6">
        <f t="shared" si="45"/>
        <v>1382.2685369184983</v>
      </c>
      <c r="W55" s="6">
        <f t="shared" si="45"/>
        <v>557.69327199999998</v>
      </c>
      <c r="X55" s="6">
        <f t="shared" si="45"/>
        <v>1678.7498326741279</v>
      </c>
      <c r="Y55" s="6">
        <f t="shared" si="45"/>
        <v>0</v>
      </c>
      <c r="Z55" s="6">
        <f t="shared" si="45"/>
        <v>2289.7210143556299</v>
      </c>
      <c r="AA55" s="6">
        <f t="shared" si="45"/>
        <v>261.21197624437048</v>
      </c>
      <c r="AB55" s="6">
        <f t="shared" si="45"/>
        <v>238.1731006</v>
      </c>
      <c r="AC55" s="6">
        <f t="shared" si="45"/>
        <v>510.65</v>
      </c>
      <c r="AD55" s="6">
        <f t="shared" si="45"/>
        <v>0</v>
      </c>
      <c r="AE55" s="6">
        <f t="shared" si="45"/>
        <v>2800.3710143556295</v>
      </c>
      <c r="AF55" s="6">
        <f t="shared" si="45"/>
        <v>-11.264923155629583</v>
      </c>
    </row>
    <row r="56" spans="1:32">
      <c r="B56" s="56"/>
      <c r="C56" s="56"/>
      <c r="D56" s="56"/>
      <c r="E56" s="56"/>
      <c r="F56" s="59"/>
      <c r="P56" s="60">
        <v>5928.5454609469998</v>
      </c>
      <c r="Q56" s="60">
        <v>2981.6366133530005</v>
      </c>
      <c r="R56" s="60">
        <v>1557.2182424</v>
      </c>
      <c r="S56" s="60">
        <f>13183101509.6194/10^7</f>
        <v>1318.3101509619401</v>
      </c>
      <c r="T56" s="60">
        <v>0</v>
      </c>
      <c r="U56" s="60">
        <v>7246.8556119089362</v>
      </c>
      <c r="V56" s="60">
        <v>3220.5447047910593</v>
      </c>
      <c r="W56" s="60">
        <v>557.69327199999998</v>
      </c>
      <c r="X56" s="60">
        <v>1678.7498326741279</v>
      </c>
      <c r="Y56" s="60">
        <v>0</v>
      </c>
      <c r="Z56" s="60">
        <v>2289.7210143556299</v>
      </c>
      <c r="AA56" s="60">
        <v>261.21197624437048</v>
      </c>
      <c r="AB56" s="60">
        <v>238.1731006</v>
      </c>
      <c r="AC56" s="60">
        <v>510.65</v>
      </c>
      <c r="AD56" s="60">
        <v>0</v>
      </c>
      <c r="AE56" s="60">
        <v>9127.041760854876</v>
      </c>
      <c r="AF56" s="60">
        <v>1753.1853337836985</v>
      </c>
    </row>
    <row r="57" spans="1:32">
      <c r="B57" s="56"/>
      <c r="C57" s="56"/>
      <c r="D57" s="56"/>
      <c r="E57" s="56"/>
      <c r="F57" s="57"/>
      <c r="P57" s="6">
        <f t="shared" ref="P57:Q57" si="46">P55-P56</f>
        <v>-5811.5221590470001</v>
      </c>
      <c r="Q57" s="6">
        <f t="shared" si="46"/>
        <v>-1885.3165317530004</v>
      </c>
      <c r="R57" s="6">
        <f>R55-R56</f>
        <v>-777.32190730000002</v>
      </c>
      <c r="S57" s="6">
        <f t="shared" ref="S57:W57" si="47">S55-S56</f>
        <v>-824.36227118043826</v>
      </c>
      <c r="T57" s="6">
        <f t="shared" si="47"/>
        <v>0</v>
      </c>
      <c r="U57" s="6">
        <f t="shared" si="47"/>
        <v>-6635.8844302274347</v>
      </c>
      <c r="V57" s="6">
        <f t="shared" si="47"/>
        <v>-1838.276167872561</v>
      </c>
      <c r="W57" s="6">
        <f t="shared" si="47"/>
        <v>0</v>
      </c>
      <c r="X57" s="6">
        <f>X55-X56</f>
        <v>0</v>
      </c>
      <c r="Y57" s="6">
        <f t="shared" ref="Y57:AA57" si="48">Y55-Y56</f>
        <v>0</v>
      </c>
      <c r="Z57" s="6">
        <f t="shared" si="48"/>
        <v>0</v>
      </c>
      <c r="AA57" s="6">
        <f t="shared" si="48"/>
        <v>0</v>
      </c>
      <c r="AB57" s="6">
        <f>AB55-AB56</f>
        <v>0</v>
      </c>
      <c r="AC57" s="6">
        <f t="shared" ref="AC57:AF57" si="49">AC55-AC56</f>
        <v>0</v>
      </c>
      <c r="AD57" s="6">
        <f t="shared" si="49"/>
        <v>0</v>
      </c>
      <c r="AE57" s="6">
        <f t="shared" si="49"/>
        <v>-6326.6707464992469</v>
      </c>
      <c r="AF57" s="6">
        <f t="shared" si="49"/>
        <v>-1764.450256939328</v>
      </c>
    </row>
    <row r="58" spans="1:32">
      <c r="B58" s="56"/>
      <c r="C58" s="56"/>
      <c r="D58" s="56"/>
      <c r="E58" s="56"/>
      <c r="F58" s="57"/>
      <c r="N58" s="58"/>
      <c r="V58" s="6">
        <f>3357.35</f>
        <v>3357.35</v>
      </c>
    </row>
    <row r="59" spans="1:32">
      <c r="B59" s="56"/>
      <c r="C59" s="56"/>
      <c r="D59" s="56"/>
      <c r="E59" s="56"/>
      <c r="F59" s="57"/>
      <c r="R59" s="5"/>
      <c r="S59" s="5"/>
      <c r="T59" s="5"/>
      <c r="U59" s="5"/>
      <c r="V59" s="5">
        <f>V58-V55</f>
        <v>1975.0814630815016</v>
      </c>
      <c r="W59" s="157"/>
      <c r="X59" s="4"/>
      <c r="Y59" s="4"/>
      <c r="Z59" s="4"/>
      <c r="AA59" s="4"/>
      <c r="AB59" s="4"/>
      <c r="AC59" s="4"/>
      <c r="AD59" s="4"/>
      <c r="AE59" s="5"/>
      <c r="AF59" s="5"/>
    </row>
    <row r="60" spans="1:32">
      <c r="B60" s="56"/>
      <c r="C60" s="56"/>
      <c r="D60" s="56"/>
      <c r="E60" s="56"/>
      <c r="F60" s="57"/>
      <c r="R60" s="5"/>
      <c r="S60" s="5"/>
      <c r="T60" s="5"/>
      <c r="U60" s="5"/>
      <c r="V60" s="5"/>
      <c r="W60" s="5"/>
      <c r="X60" s="5"/>
      <c r="Y60" s="5"/>
      <c r="Z60" s="5"/>
      <c r="AA60" s="5"/>
      <c r="AB60" s="5"/>
      <c r="AC60" s="5"/>
      <c r="AD60" s="5"/>
      <c r="AE60" s="5"/>
      <c r="AF60" s="5"/>
    </row>
    <row r="61" spans="1:32">
      <c r="B61" s="56"/>
      <c r="C61" s="56"/>
      <c r="D61" s="56"/>
      <c r="E61" s="56"/>
      <c r="F61" s="57"/>
      <c r="N61" s="58"/>
    </row>
    <row r="62" spans="1:32" s="55" customFormat="1">
      <c r="B62" s="56"/>
      <c r="C62" s="56"/>
      <c r="D62" s="56"/>
      <c r="E62" s="56"/>
      <c r="F62" s="57"/>
      <c r="L62" s="5"/>
      <c r="M62" s="5"/>
      <c r="O62" s="5"/>
      <c r="P62" s="5"/>
      <c r="Q62" s="5"/>
      <c r="R62" s="6"/>
      <c r="S62" s="6"/>
      <c r="T62" s="6"/>
      <c r="U62" s="6"/>
      <c r="V62" s="6"/>
      <c r="W62" s="6"/>
      <c r="X62" s="6"/>
      <c r="Y62" s="6"/>
      <c r="Z62" s="6"/>
      <c r="AA62" s="6"/>
      <c r="AB62" s="6"/>
      <c r="AC62" s="6"/>
      <c r="AD62" s="6"/>
      <c r="AE62" s="6"/>
      <c r="AF62" s="6"/>
    </row>
    <row r="63" spans="1:32" s="55" customFormat="1" ht="28.8">
      <c r="B63" s="56"/>
      <c r="C63" s="56"/>
      <c r="D63" s="56"/>
      <c r="E63" s="56"/>
      <c r="F63" s="57"/>
      <c r="L63" s="5"/>
      <c r="M63" s="5"/>
      <c r="N63" s="58"/>
      <c r="O63" s="5"/>
      <c r="P63" s="5"/>
      <c r="Q63" s="5"/>
      <c r="R63" s="6"/>
      <c r="S63" s="24"/>
      <c r="T63" s="6"/>
      <c r="U63" s="6"/>
      <c r="V63" s="21" t="s">
        <v>1047</v>
      </c>
      <c r="W63" s="21"/>
      <c r="X63" s="21"/>
      <c r="Y63" s="21"/>
      <c r="Z63" s="21"/>
      <c r="AA63" s="21" t="s">
        <v>1048</v>
      </c>
      <c r="AB63" s="6"/>
      <c r="AC63" s="6"/>
      <c r="AD63" s="6"/>
      <c r="AE63" s="6"/>
      <c r="AF63" s="6"/>
    </row>
    <row r="64" spans="1:32" s="55" customFormat="1" ht="28.8">
      <c r="B64" s="56"/>
      <c r="C64" s="56"/>
      <c r="D64" s="56"/>
      <c r="E64" s="56"/>
      <c r="F64" s="57"/>
      <c r="L64" s="5"/>
      <c r="M64" s="5"/>
      <c r="O64" s="5"/>
      <c r="P64" s="5"/>
      <c r="Q64" s="5"/>
      <c r="R64" s="6"/>
      <c r="S64" s="24"/>
      <c r="T64" s="6"/>
      <c r="U64" s="6"/>
      <c r="V64" s="21" t="s">
        <v>1050</v>
      </c>
      <c r="W64" s="21"/>
      <c r="X64" s="21"/>
      <c r="Y64" s="21"/>
      <c r="Z64" s="21"/>
      <c r="AA64" s="21" t="s">
        <v>1049</v>
      </c>
      <c r="AB64" s="6"/>
      <c r="AC64" s="6"/>
      <c r="AD64" s="6"/>
      <c r="AE64" s="6"/>
      <c r="AF64" s="6"/>
    </row>
    <row r="65" spans="2:32" s="55" customFormat="1">
      <c r="B65" s="56"/>
      <c r="C65" s="56"/>
      <c r="D65" s="56"/>
      <c r="E65" s="56"/>
      <c r="F65" s="57"/>
      <c r="L65" s="5"/>
      <c r="M65" s="5"/>
      <c r="O65" s="5"/>
      <c r="P65" s="5"/>
      <c r="Q65" s="5"/>
      <c r="R65" s="6"/>
      <c r="S65" s="6"/>
      <c r="T65" s="6"/>
      <c r="U65" s="6"/>
      <c r="V65" s="19"/>
      <c r="W65" s="20"/>
      <c r="X65" s="20"/>
      <c r="Y65" s="20"/>
      <c r="Z65" s="20"/>
      <c r="AA65" s="19"/>
      <c r="AB65" s="6"/>
      <c r="AC65" s="6"/>
      <c r="AD65" s="6"/>
      <c r="AE65" s="6"/>
      <c r="AF65" s="6"/>
    </row>
    <row r="66" spans="2:32" s="55" customFormat="1">
      <c r="B66" s="56"/>
      <c r="C66" s="56"/>
      <c r="D66" s="56"/>
      <c r="E66" s="56"/>
      <c r="F66" s="57"/>
      <c r="L66" s="5"/>
      <c r="M66" s="5"/>
      <c r="O66" s="5"/>
      <c r="P66" s="5"/>
      <c r="Q66" s="5"/>
      <c r="R66" s="6"/>
      <c r="S66" s="6"/>
      <c r="T66" s="6"/>
      <c r="U66" s="6"/>
      <c r="V66" s="6"/>
      <c r="W66" s="6"/>
      <c r="X66" s="6"/>
      <c r="Y66" s="6"/>
      <c r="Z66" s="6"/>
      <c r="AA66" s="6"/>
      <c r="AB66" s="6"/>
      <c r="AC66" s="6"/>
      <c r="AD66" s="6"/>
      <c r="AE66" s="6"/>
      <c r="AF66" s="6"/>
    </row>
    <row r="67" spans="2:32" s="55" customFormat="1">
      <c r="B67" s="56"/>
      <c r="C67" s="56"/>
      <c r="D67" s="56"/>
      <c r="E67" s="56"/>
      <c r="F67" s="57"/>
      <c r="L67" s="5"/>
      <c r="M67" s="5"/>
      <c r="O67" s="5"/>
      <c r="P67" s="5"/>
      <c r="Q67" s="5"/>
      <c r="R67" s="6"/>
      <c r="S67" s="6"/>
      <c r="T67" s="6"/>
      <c r="U67" s="6"/>
      <c r="V67" s="6"/>
      <c r="W67" s="6"/>
      <c r="X67" s="6"/>
      <c r="Y67" s="6"/>
      <c r="Z67" s="6"/>
      <c r="AA67" s="6"/>
      <c r="AB67" s="6"/>
      <c r="AC67" s="6"/>
      <c r="AD67" s="6"/>
      <c r="AE67" s="6"/>
      <c r="AF67" s="6"/>
    </row>
    <row r="68" spans="2:32" s="55" customFormat="1">
      <c r="B68" s="56"/>
      <c r="C68" s="56"/>
      <c r="D68" s="56"/>
      <c r="E68" s="56"/>
      <c r="F68" s="57"/>
      <c r="L68" s="5"/>
      <c r="M68" s="5"/>
      <c r="O68" s="5"/>
      <c r="P68" s="5"/>
      <c r="Q68" s="5"/>
      <c r="R68" s="6"/>
      <c r="S68" s="6"/>
      <c r="T68" s="6"/>
      <c r="U68" s="6"/>
      <c r="V68" s="6"/>
      <c r="W68" s="6"/>
      <c r="X68" s="6"/>
      <c r="Y68" s="6"/>
      <c r="Z68" s="6"/>
      <c r="AA68" s="6"/>
      <c r="AB68" s="6"/>
      <c r="AC68" s="6"/>
      <c r="AD68" s="6"/>
      <c r="AE68" s="6"/>
      <c r="AF68" s="6"/>
    </row>
    <row r="69" spans="2:32" s="55" customFormat="1">
      <c r="B69" s="56"/>
      <c r="C69" s="56"/>
      <c r="D69" s="56"/>
      <c r="E69" s="56"/>
      <c r="F69" s="57"/>
      <c r="L69" s="5"/>
      <c r="M69" s="5"/>
      <c r="O69" s="5"/>
      <c r="P69" s="5"/>
      <c r="Q69" s="5"/>
      <c r="R69" s="6"/>
      <c r="S69" s="6"/>
      <c r="T69" s="6"/>
      <c r="U69" s="6"/>
      <c r="V69" s="6"/>
      <c r="W69" s="6"/>
      <c r="X69" s="6"/>
      <c r="Y69" s="6"/>
      <c r="Z69" s="6"/>
      <c r="AA69" s="6"/>
      <c r="AB69" s="6"/>
      <c r="AC69" s="6"/>
      <c r="AD69" s="6"/>
      <c r="AE69" s="6"/>
      <c r="AF69" s="6"/>
    </row>
  </sheetData>
  <autoFilter ref="A2:AF49" xr:uid="{34D823DB-D417-4BE4-A97A-5F38DEF56512}"/>
  <mergeCells count="4">
    <mergeCell ref="A1:P1"/>
    <mergeCell ref="Q1:V1"/>
    <mergeCell ref="W1:AA1"/>
    <mergeCell ref="AB1:AF1"/>
  </mergeCells>
  <printOptions horizontalCentered="1"/>
  <pageMargins left="0.19685039370078741" right="0.19685039370078741" top="0.19685039370078741" bottom="0.19685039370078741" header="0" footer="0"/>
  <pageSetup paperSize="5"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Capex &amp; Capitalization_Final</vt:lpstr>
      <vt:lpstr>Capex &amp; Capitalization_Old</vt:lpstr>
      <vt:lpstr>Summary Sheet</vt:lpstr>
      <vt:lpstr>Capex &amp; Capitalization_P1</vt:lpstr>
      <vt:lpstr>Capex &amp; Capitalization_P2</vt:lpstr>
      <vt:lpstr>'Capex &amp; Capitalization_Final'!Print_Area</vt:lpstr>
      <vt:lpstr>'Capex &amp; Capitalization_Old'!Print_Area</vt:lpstr>
      <vt:lpstr>'Capex &amp; Capitalization_P1'!Print_Area</vt:lpstr>
      <vt:lpstr>'Capex &amp; Capitalization_P2'!Print_Area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Madhu Dalal</dc:creator>
  <cp:lastModifiedBy>Madhu Dalal</cp:lastModifiedBy>
  <cp:lastPrinted>2022-11-14T17:43:33Z</cp:lastPrinted>
  <dcterms:created xsi:type="dcterms:W3CDTF">2015-06-05T18:17:00Z</dcterms:created>
  <dcterms:modified xsi:type="dcterms:W3CDTF">2023-11-09T07:28:21Z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BCCD5AAC963A45ACBCC84925E3744FED</vt:lpwstr>
  </property>
  <property fmtid="{D5CDD505-2E9C-101B-9397-08002B2CF9AE}" pid="3" name="KSOProductBuildVer">
    <vt:lpwstr>1033-11.2.0.11341</vt:lpwstr>
  </property>
</Properties>
</file>