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1. Office\1. Project\45. BSPTCL 21-22\Corrected by Karan Sir\Final\BSPTCL\"/>
    </mc:Choice>
  </mc:AlternateContent>
  <bookViews>
    <workbookView xWindow="-120" yWindow="-120" windowWidth="20730" windowHeight="11160" tabRatio="944" firstSheet="15" activeTab="16"/>
  </bookViews>
  <sheets>
    <sheet name="Indexw" sheetId="1" state="hidden" r:id="rId1"/>
    <sheet name="Index" sheetId="89" state="hidden" r:id="rId2"/>
    <sheet name="S1" sheetId="88" r:id="rId3"/>
    <sheet name="S2" sheetId="87" r:id="rId4"/>
    <sheet name="S3" sheetId="86" r:id="rId5"/>
    <sheet name="F1" sheetId="2" r:id="rId6"/>
    <sheet name="Carrying Cost" sheetId="109" r:id="rId7"/>
    <sheet name="F2" sheetId="4" r:id="rId8"/>
    <sheet name="F3" sheetId="6" r:id="rId9"/>
    <sheet name="F4" sheetId="58" r:id="rId10"/>
    <sheet name="F5-1" sheetId="132" r:id="rId11"/>
    <sheet name="F5-2" sheetId="95" r:id="rId12"/>
    <sheet name="F5-3" sheetId="9" r:id="rId13"/>
    <sheet name="F5-4" sheetId="13" r:id="rId14"/>
    <sheet name="F5-6" sheetId="133" r:id="rId15"/>
    <sheet name="F5-7" sheetId="16" r:id="rId16"/>
    <sheet name="F5-8" sheetId="19" r:id="rId17"/>
    <sheet name="F5-9" sheetId="96" r:id="rId18"/>
    <sheet name="F6" sheetId="112" r:id="rId19"/>
    <sheet name="F7-1" sheetId="10" r:id="rId20"/>
    <sheet name="F7-2" sheetId="17" r:id="rId21"/>
    <sheet name="F7-3" sheetId="37" r:id="rId22"/>
    <sheet name="F7-4" sheetId="11" r:id="rId23"/>
    <sheet name="F8" sheetId="12" r:id="rId24"/>
    <sheet name="Interest" sheetId="103" r:id="rId25"/>
    <sheet name="F9-1" sheetId="113" r:id="rId26"/>
    <sheet name="F9-2" sheetId="114" r:id="rId27"/>
    <sheet name="F9-3" sheetId="115" r:id="rId28"/>
    <sheet name="F10" sheetId="24" r:id="rId29"/>
    <sheet name="F11" sheetId="116" r:id="rId30"/>
    <sheet name="F12" sheetId="99" r:id="rId31"/>
    <sheet name="F13" sheetId="31" r:id="rId32"/>
    <sheet name="F14-1" sheetId="65" r:id="rId33"/>
    <sheet name="F14-2" sheetId="63" r:id="rId34"/>
    <sheet name="F14-3" sheetId="33" r:id="rId35"/>
    <sheet name="F14-4" sheetId="97" r:id="rId36"/>
    <sheet name="F15" sheetId="34" r:id="rId37"/>
    <sheet name="F16" sheetId="61" r:id="rId38"/>
    <sheet name="F17" sheetId="59" r:id="rId39"/>
    <sheet name="F18" sheetId="100" r:id="rId40"/>
    <sheet name="F19" sheetId="101" r:id="rId41"/>
    <sheet name="F20" sheetId="52" r:id="rId42"/>
    <sheet name="F21" sheetId="47" r:id="rId43"/>
    <sheet name="F22" sheetId="50" r:id="rId44"/>
    <sheet name="F23" sheetId="102" r:id="rId45"/>
    <sheet name="F24" sheetId="72" r:id="rId46"/>
    <sheet name="P1" sheetId="117" r:id="rId47"/>
    <sheet name="P2A" sheetId="118" r:id="rId48"/>
    <sheet name="P2B" sheetId="119" r:id="rId49"/>
    <sheet name="P2C" sheetId="120" r:id="rId50"/>
    <sheet name="P2D" sheetId="121" r:id="rId51"/>
    <sheet name="P3" sheetId="122" r:id="rId52"/>
    <sheet name="P4" sheetId="123" r:id="rId53"/>
    <sheet name="P5" sheetId="124" r:id="rId54"/>
    <sheet name="P6" sheetId="125" r:id="rId55"/>
    <sheet name="P7" sheetId="127" r:id="rId56"/>
    <sheet name="P8" sheetId="128" r:id="rId57"/>
    <sheet name="P9" sheetId="129" r:id="rId58"/>
    <sheet name="P 10" sheetId="130" r:id="rId59"/>
    <sheet name="P11" sheetId="131" r:id="rId60"/>
    <sheet name="P12" sheetId="82" r:id="rId61"/>
    <sheet name="Sheet1" sheetId="90" state="hidden" r:id="rId62"/>
    <sheet name="Sheet2" sheetId="91" state="hidden" r:id="rId63"/>
    <sheet name="Sheet3" sheetId="92" state="hidden" r:id="rId64"/>
    <sheet name="Capex" sheetId="93" state="hidden" r:id="rId65"/>
    <sheet name="Incentive" sheetId="94" r:id="rId66"/>
  </sheets>
  <externalReferences>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xlnm._FilterDatabase" localSheetId="64" hidden="1">Capex!$G$2:$R$49</definedName>
    <definedName name="_xlnm.Print_Area" localSheetId="6">'Carrying Cost'!$A$1:$D$24</definedName>
    <definedName name="_xlnm.Print_Area" localSheetId="5">'F1'!$A$1:$L$47</definedName>
    <definedName name="_xlnm.Print_Area" localSheetId="29">'F11'!$A$1:$H$69</definedName>
    <definedName name="_xlnm.Print_Area" localSheetId="30">'F12'!$A$1:$H$16</definedName>
    <definedName name="_xlnm.Print_Area" localSheetId="31">'F13'!$A$1:$K$32</definedName>
    <definedName name="_xlnm.Print_Area" localSheetId="32">'F14-1'!$A$1:$K$44</definedName>
    <definedName name="_xlnm.Print_Area" localSheetId="33">'F14-2'!$A$1:$H$14</definedName>
    <definedName name="_xlnm.Print_Area" localSheetId="34">'F14-3'!$A$1:$F$32</definedName>
    <definedName name="_xlnm.Print_Area" localSheetId="35">'F14-4'!$A$1:$E$19</definedName>
    <definedName name="_xlnm.Print_Area" localSheetId="36">'F15'!$A$1:$H$37</definedName>
    <definedName name="_xlnm.Print_Area" localSheetId="37">'F16'!$A$1:$K$61</definedName>
    <definedName name="_xlnm.Print_Area" localSheetId="39">'F18'!$A$1:$J$31</definedName>
    <definedName name="_xlnm.Print_Area" localSheetId="40">'F19'!$A$1:$J$15</definedName>
    <definedName name="_xlnm.Print_Area" localSheetId="41">'F20'!$A$1:$G$20</definedName>
    <definedName name="_xlnm.Print_Area" localSheetId="42">'F21'!$A$1:$J$18</definedName>
    <definedName name="_xlnm.Print_Area" localSheetId="43">'F22'!$A$1:$D$35</definedName>
    <definedName name="_xlnm.Print_Area" localSheetId="44">'F23'!$A$1:$E$40</definedName>
    <definedName name="_xlnm.Print_Area" localSheetId="45">'F24'!$A$1:$K$19</definedName>
    <definedName name="_xlnm.Print_Area" localSheetId="10">'F5-1'!$A$1:$K$507</definedName>
    <definedName name="_xlnm.Print_Area" localSheetId="11">'F5-2'!$A$1:$Q$30</definedName>
    <definedName name="_xlnm.Print_Area" localSheetId="12">'F5-3'!$A$1:$I$40</definedName>
    <definedName name="_xlnm.Print_Area" localSheetId="14">'F5-6'!$B$1:$K$147</definedName>
    <definedName name="_xlnm.Print_Area" localSheetId="16">'F5-8'!$A$1:$K$16</definedName>
    <definedName name="_xlnm.Print_Area" localSheetId="18">'F6'!$A$1:$G$32</definedName>
    <definedName name="_xlnm.Print_Area" localSheetId="20">'F7-2'!$A$1:$K$60</definedName>
    <definedName name="_xlnm.Print_Area" localSheetId="21">'F7-3'!$A$1:$V$23</definedName>
    <definedName name="_xlnm.Print_Area" localSheetId="23">'F8'!$A$1:$I$28</definedName>
    <definedName name="_xlnm.Print_Area" localSheetId="25">'F9-1'!$A$1:$I$47</definedName>
    <definedName name="_xlnm.Print_Area" localSheetId="27">'F9-3'!$A$1:$E$18</definedName>
    <definedName name="_xlnm.Print_Area" localSheetId="65">Incentive!$A$1:$D$33</definedName>
    <definedName name="_xlnm.Print_Area" localSheetId="58">'P 10'!$A$1:$M$220</definedName>
    <definedName name="_xlnm.Print_Area" localSheetId="46">'P1'!$A$1:$G$41</definedName>
    <definedName name="_xlnm.Print_Area" localSheetId="59">'P11'!$A$1:$J$26</definedName>
    <definedName name="_xlnm.Print_Area" localSheetId="60">'P12'!$A$1:$E$29</definedName>
    <definedName name="_xlnm.Print_Area" localSheetId="47">P2A!$A$1:$H$204</definedName>
    <definedName name="_xlnm.Print_Area" localSheetId="48">P2B!$A$1:$H$206</definedName>
    <definedName name="_xlnm.Print_Area" localSheetId="49">P2C!$A$1:$H$205</definedName>
    <definedName name="_xlnm.Print_Area" localSheetId="50">P2D!$A$1:$H$205</definedName>
    <definedName name="_xlnm.Print_Area" localSheetId="51">'P3'!$A$1:$G$22</definedName>
    <definedName name="_xlnm.Print_Area" localSheetId="52">'P4'!$A$1:$L$17</definedName>
    <definedName name="_xlnm.Print_Area" localSheetId="54">'P6'!$A$1:$J$16</definedName>
    <definedName name="_xlnm.Print_Area" localSheetId="55">'P7'!$A$1:$P$17</definedName>
    <definedName name="_xlnm.Print_Area" localSheetId="56">'P8'!$A$1:$H$23</definedName>
    <definedName name="_xlnm.Print_Area" localSheetId="57">'P9'!$A$1:$J$22</definedName>
  </definedNames>
  <calcPr calcId="162913" iterate="1"/>
</workbook>
</file>

<file path=xl/calcChain.xml><?xml version="1.0" encoding="utf-8"?>
<calcChain xmlns="http://schemas.openxmlformats.org/spreadsheetml/2006/main">
  <c r="D12" i="115" l="1"/>
  <c r="I27" i="9"/>
  <c r="I33" i="9"/>
  <c r="D38" i="24"/>
  <c r="D25" i="24"/>
  <c r="J12" i="103" l="1"/>
  <c r="J51" i="61" l="1"/>
  <c r="F51" i="61"/>
  <c r="D51" i="61"/>
  <c r="E21" i="33"/>
  <c r="E20" i="33"/>
  <c r="E19" i="33"/>
  <c r="E16" i="33"/>
  <c r="E15" i="33"/>
  <c r="E14" i="33"/>
  <c r="H12" i="113"/>
  <c r="H6" i="113"/>
  <c r="D12" i="113" s="1"/>
  <c r="C9" i="96"/>
  <c r="E5" i="96"/>
  <c r="C5" i="96"/>
  <c r="E17" i="33" l="1"/>
  <c r="J7" i="114" l="1"/>
  <c r="E7" i="114"/>
  <c r="F5" i="113"/>
  <c r="G7" i="114" s="1"/>
  <c r="D5" i="113"/>
  <c r="D7" i="114" l="1"/>
  <c r="M7" i="114" s="1"/>
  <c r="H5" i="113"/>
  <c r="C14" i="33"/>
  <c r="J17" i="4" l="1"/>
  <c r="J10" i="4"/>
  <c r="J9" i="4"/>
  <c r="J15" i="4"/>
  <c r="H15" i="4"/>
  <c r="H17" i="4" s="1"/>
  <c r="H10" i="4"/>
  <c r="H9" i="4"/>
  <c r="D17" i="4"/>
  <c r="D15" i="4"/>
  <c r="D10" i="4"/>
  <c r="D9" i="4"/>
  <c r="L47" i="6"/>
  <c r="J47" i="6"/>
  <c r="F47" i="6"/>
  <c r="G16" i="112"/>
  <c r="F16" i="112"/>
  <c r="E16" i="112"/>
  <c r="E15" i="116"/>
  <c r="E13" i="116"/>
  <c r="D13" i="116"/>
  <c r="C13" i="97" l="1"/>
  <c r="D11" i="97"/>
  <c r="C11" i="97"/>
  <c r="J36" i="24" l="1"/>
  <c r="H36" i="24"/>
  <c r="D38" i="17" l="1"/>
  <c r="I23" i="65" l="1"/>
  <c r="I25" i="65"/>
  <c r="E23" i="65"/>
  <c r="E25" i="65"/>
  <c r="K11" i="19" l="1"/>
  <c r="I9" i="96" s="1"/>
  <c r="K10" i="19"/>
  <c r="K8" i="19"/>
  <c r="K6" i="96" l="1"/>
  <c r="I6" i="96"/>
  <c r="K8" i="96"/>
  <c r="I8" i="96"/>
  <c r="H8" i="58"/>
  <c r="H7" i="58"/>
  <c r="E56" i="61"/>
  <c r="E8" i="58"/>
  <c r="E7" i="58"/>
  <c r="E34" i="24"/>
  <c r="E38" i="24"/>
  <c r="E51" i="17"/>
  <c r="E43" i="17"/>
  <c r="E41" i="17"/>
  <c r="E36" i="17"/>
  <c r="D37" i="24"/>
  <c r="J31" i="24"/>
  <c r="H31" i="24"/>
  <c r="H32" i="24"/>
  <c r="F55" i="61" l="1"/>
  <c r="I28" i="65"/>
  <c r="H16" i="103"/>
  <c r="H27" i="24" l="1"/>
  <c r="H26" i="24"/>
  <c r="H11" i="103"/>
  <c r="H12" i="103"/>
  <c r="H45" i="17"/>
  <c r="H8" i="103" s="1"/>
  <c r="H29" i="17" l="1"/>
  <c r="D18" i="100" l="1"/>
  <c r="D15" i="58"/>
  <c r="D8" i="58"/>
  <c r="D7" i="58"/>
  <c r="D17" i="100"/>
  <c r="D15" i="100"/>
  <c r="D14" i="100"/>
  <c r="D13" i="100"/>
  <c r="D12" i="100"/>
  <c r="D10" i="100"/>
  <c r="D9" i="100"/>
  <c r="D8" i="100"/>
  <c r="D7" i="100"/>
  <c r="D11" i="101"/>
  <c r="D33" i="61" l="1"/>
  <c r="D28" i="61"/>
  <c r="D27" i="61"/>
  <c r="D26" i="61"/>
  <c r="D25" i="61"/>
  <c r="D24" i="61"/>
  <c r="D23" i="61"/>
  <c r="D22" i="61"/>
  <c r="D21" i="61"/>
  <c r="D20" i="61"/>
  <c r="D19" i="61"/>
  <c r="D18" i="61"/>
  <c r="D17" i="61"/>
  <c r="D16" i="61"/>
  <c r="D15" i="61"/>
  <c r="D13" i="61"/>
  <c r="D12" i="61"/>
  <c r="D11" i="61"/>
  <c r="D10" i="61"/>
  <c r="D9" i="61"/>
  <c r="D8" i="61"/>
  <c r="D7" i="61"/>
  <c r="D6" i="61"/>
  <c r="D28" i="34"/>
  <c r="D27" i="34"/>
  <c r="D26" i="34"/>
  <c r="D25" i="34"/>
  <c r="D24" i="34"/>
  <c r="D23" i="34"/>
  <c r="D22" i="34"/>
  <c r="D21" i="34"/>
  <c r="E33" i="65"/>
  <c r="E14" i="65"/>
  <c r="E13" i="65"/>
  <c r="E12" i="65"/>
  <c r="E11" i="65"/>
  <c r="E10" i="65"/>
  <c r="E7" i="65"/>
  <c r="D49" i="61"/>
  <c r="E10" i="63"/>
  <c r="E21" i="65"/>
  <c r="C9" i="63"/>
  <c r="C7" i="63"/>
  <c r="D39" i="17" l="1"/>
  <c r="D24" i="24" l="1"/>
  <c r="D23" i="24"/>
  <c r="N25" i="17"/>
  <c r="D51" i="17"/>
  <c r="D9" i="103" l="1"/>
  <c r="D48" i="17"/>
  <c r="D29" i="17" l="1"/>
  <c r="E15" i="17" l="1"/>
  <c r="E13" i="17"/>
  <c r="E11" i="17"/>
  <c r="E10" i="17"/>
  <c r="D15" i="17"/>
  <c r="D14" i="17"/>
  <c r="D13" i="17"/>
  <c r="D12" i="17"/>
  <c r="D11" i="17"/>
  <c r="D10" i="17"/>
  <c r="D9" i="17"/>
  <c r="D8" i="17"/>
  <c r="D7" i="17"/>
  <c r="D6" i="17"/>
  <c r="C16" i="17"/>
  <c r="C15" i="17" s="1"/>
  <c r="F15" i="17" s="1"/>
  <c r="E10" i="19"/>
  <c r="C8" i="17" l="1"/>
  <c r="F8" i="17" s="1"/>
  <c r="C12" i="17"/>
  <c r="F12" i="17"/>
  <c r="C9" i="17"/>
  <c r="F9" i="17" s="1"/>
  <c r="C13" i="17"/>
  <c r="F13" i="17" s="1"/>
  <c r="C6" i="17"/>
  <c r="C10" i="17"/>
  <c r="F10" i="17" s="1"/>
  <c r="C14" i="17"/>
  <c r="F14" i="17" s="1"/>
  <c r="C7" i="17"/>
  <c r="F7" i="17" s="1"/>
  <c r="C11" i="17"/>
  <c r="F11" i="17" s="1"/>
  <c r="D28" i="94" l="1"/>
  <c r="J25" i="31"/>
  <c r="I25" i="31"/>
  <c r="H25" i="31"/>
  <c r="E25" i="31"/>
  <c r="C25" i="31"/>
  <c r="F10" i="63" l="1"/>
  <c r="D29" i="65"/>
  <c r="D28" i="65"/>
  <c r="D18" i="103" l="1"/>
  <c r="D21" i="116" s="1"/>
  <c r="D22" i="17" l="1"/>
  <c r="C33" i="24" l="1"/>
  <c r="F12" i="128" l="1"/>
  <c r="C17" i="33" l="1"/>
  <c r="N32" i="117"/>
  <c r="D34" i="117"/>
  <c r="D35" i="117"/>
  <c r="H34" i="117" l="1"/>
  <c r="I32" i="117"/>
  <c r="I33" i="117"/>
  <c r="H33" i="117"/>
  <c r="H32" i="117"/>
  <c r="I18" i="129" l="1"/>
  <c r="H18" i="129"/>
  <c r="I16" i="129"/>
  <c r="H16" i="129"/>
  <c r="H11" i="129"/>
  <c r="E34" i="117" l="1"/>
  <c r="I34" i="117" s="1"/>
  <c r="J11" i="101" l="1"/>
  <c r="H11" i="101"/>
  <c r="C17" i="58"/>
  <c r="I17" i="58"/>
  <c r="E17" i="58"/>
  <c r="C38" i="24"/>
  <c r="D11" i="113"/>
  <c r="H11" i="113" s="1"/>
  <c r="I38" i="17"/>
  <c r="D20" i="17"/>
  <c r="C43" i="17"/>
  <c r="C54" i="17" s="1"/>
  <c r="C39" i="17"/>
  <c r="I39" i="17" s="1"/>
  <c r="I51" i="17" s="1"/>
  <c r="C21" i="17"/>
  <c r="C7" i="103" s="1"/>
  <c r="C8" i="103"/>
  <c r="Q9" i="37"/>
  <c r="Q10" i="37"/>
  <c r="Q11" i="37"/>
  <c r="Q12" i="37"/>
  <c r="Q13" i="37"/>
  <c r="Q14" i="37"/>
  <c r="Q15" i="37"/>
  <c r="Q16" i="37"/>
  <c r="Q8" i="37"/>
  <c r="L9" i="37"/>
  <c r="L10" i="37"/>
  <c r="L11" i="37"/>
  <c r="L12" i="37"/>
  <c r="L13" i="37"/>
  <c r="L14" i="37"/>
  <c r="L15" i="37"/>
  <c r="L16" i="37"/>
  <c r="L8" i="37"/>
  <c r="G8" i="37"/>
  <c r="G17" i="37"/>
  <c r="G16" i="37"/>
  <c r="G15" i="37"/>
  <c r="G14" i="37"/>
  <c r="G13" i="37"/>
  <c r="G12" i="37"/>
  <c r="G11" i="37"/>
  <c r="G10" i="37"/>
  <c r="G9" i="37"/>
  <c r="D32" i="17"/>
  <c r="C10" i="103" l="1"/>
  <c r="C31" i="17"/>
  <c r="C41" i="17" s="1"/>
  <c r="B17" i="13" l="1"/>
  <c r="E21" i="17"/>
  <c r="D16" i="17" l="1"/>
  <c r="D12" i="10" s="1"/>
  <c r="D21" i="17" s="1"/>
  <c r="F6" i="17"/>
  <c r="F16" i="17" s="1"/>
  <c r="E16" i="17"/>
  <c r="D16" i="10" s="1"/>
  <c r="D31" i="17" l="1"/>
  <c r="D22" i="24"/>
  <c r="J505" i="132" l="1"/>
  <c r="I505" i="132"/>
  <c r="G505" i="132"/>
  <c r="E505" i="132"/>
  <c r="H353" i="132"/>
  <c r="C24" i="33"/>
  <c r="D9" i="33" s="1"/>
  <c r="C25" i="33"/>
  <c r="D10" i="33" s="1"/>
  <c r="C26" i="33"/>
  <c r="D11" i="33" s="1"/>
  <c r="C12" i="33"/>
  <c r="C22" i="33"/>
  <c r="C27" i="33" l="1"/>
  <c r="D22" i="33"/>
  <c r="D26" i="33"/>
  <c r="E11" i="33" s="1"/>
  <c r="D17" i="33"/>
  <c r="D24" i="33"/>
  <c r="E9" i="33" s="1"/>
  <c r="E12" i="33" s="1"/>
  <c r="D12" i="33"/>
  <c r="D25" i="33"/>
  <c r="E10" i="33" s="1"/>
  <c r="H25" i="100"/>
  <c r="D27" i="100"/>
  <c r="D26" i="100"/>
  <c r="D19" i="100"/>
  <c r="D20" i="100" s="1"/>
  <c r="H18" i="100"/>
  <c r="J18" i="100" s="1"/>
  <c r="H17" i="100"/>
  <c r="J17" i="100" s="1"/>
  <c r="H16" i="100"/>
  <c r="J16" i="100" s="1"/>
  <c r="H15" i="100"/>
  <c r="J15" i="100" s="1"/>
  <c r="H14" i="100"/>
  <c r="J14" i="100" s="1"/>
  <c r="H13" i="100"/>
  <c r="J13" i="100" s="1"/>
  <c r="H12" i="100"/>
  <c r="J12" i="100" s="1"/>
  <c r="H11" i="100"/>
  <c r="J11" i="100" s="1"/>
  <c r="H10" i="100"/>
  <c r="J10" i="100" s="1"/>
  <c r="H9" i="100"/>
  <c r="J9" i="100" s="1"/>
  <c r="H8" i="100"/>
  <c r="J8" i="100" s="1"/>
  <c r="H7" i="100"/>
  <c r="J7" i="100" s="1"/>
  <c r="H6" i="100"/>
  <c r="J6" i="100" s="1"/>
  <c r="D53" i="61"/>
  <c r="C52" i="61"/>
  <c r="I52" i="61" s="1"/>
  <c r="I56" i="61" s="1"/>
  <c r="C56" i="61"/>
  <c r="C50" i="61"/>
  <c r="C55" i="61" s="1"/>
  <c r="D31" i="61"/>
  <c r="D29" i="61"/>
  <c r="E7" i="34"/>
  <c r="E8" i="34" s="1"/>
  <c r="E13" i="34" s="1"/>
  <c r="C8" i="34"/>
  <c r="C13" i="34" s="1"/>
  <c r="D32" i="34"/>
  <c r="D30" i="34"/>
  <c r="C10" i="97"/>
  <c r="D24" i="65"/>
  <c r="F24" i="65" s="1"/>
  <c r="C12" i="97"/>
  <c r="F6" i="63"/>
  <c r="D22" i="65"/>
  <c r="F22" i="65" s="1"/>
  <c r="C26" i="65"/>
  <c r="D26" i="65" s="1"/>
  <c r="E9" i="65"/>
  <c r="E19" i="65" s="1"/>
  <c r="K25" i="65" l="1"/>
  <c r="J53" i="61" s="1"/>
  <c r="I29" i="65"/>
  <c r="D10" i="97"/>
  <c r="I50" i="61"/>
  <c r="I55" i="61" s="1"/>
  <c r="I57" i="61" s="1"/>
  <c r="F53" i="61"/>
  <c r="F56" i="61" s="1"/>
  <c r="D27" i="33"/>
  <c r="K23" i="65"/>
  <c r="J26" i="100"/>
  <c r="J27" i="100" s="1"/>
  <c r="H26" i="100"/>
  <c r="H27" i="100" s="1"/>
  <c r="J25" i="100" s="1"/>
  <c r="C57" i="61"/>
  <c r="C8" i="31" s="1"/>
  <c r="F26" i="65"/>
  <c r="J26" i="65" s="1"/>
  <c r="E10" i="97" l="1"/>
  <c r="D30" i="65"/>
  <c r="D37" i="65" s="1"/>
  <c r="H204" i="121" l="1"/>
  <c r="H203" i="121"/>
  <c r="H202" i="121"/>
  <c r="H201" i="121"/>
  <c r="H200" i="121"/>
  <c r="H199" i="121"/>
  <c r="H198" i="121"/>
  <c r="H197" i="121"/>
  <c r="H196" i="121"/>
  <c r="H195" i="121"/>
  <c r="H194" i="121"/>
  <c r="H193" i="121"/>
  <c r="H192" i="121"/>
  <c r="H191" i="121"/>
  <c r="H190" i="121"/>
  <c r="H189" i="121"/>
  <c r="H188" i="121"/>
  <c r="H187" i="121"/>
  <c r="H186" i="121"/>
  <c r="H185" i="121"/>
  <c r="H184" i="121"/>
  <c r="H183" i="121"/>
  <c r="H182" i="121"/>
  <c r="H181" i="121"/>
  <c r="H180" i="121"/>
  <c r="H179" i="121"/>
  <c r="H178" i="121"/>
  <c r="H177" i="121"/>
  <c r="H176" i="121"/>
  <c r="H175" i="121"/>
  <c r="H174" i="121"/>
  <c r="H173" i="121"/>
  <c r="H172" i="121"/>
  <c r="H171" i="121"/>
  <c r="H170" i="121"/>
  <c r="H169" i="121"/>
  <c r="H168" i="121"/>
  <c r="H167" i="121"/>
  <c r="H166" i="121"/>
  <c r="H165" i="121"/>
  <c r="H164" i="121"/>
  <c r="H163" i="121"/>
  <c r="H162" i="121"/>
  <c r="H161" i="121"/>
  <c r="H160" i="121"/>
  <c r="H159" i="121"/>
  <c r="H158" i="121"/>
  <c r="H157" i="121"/>
  <c r="H156" i="121"/>
  <c r="H155" i="121"/>
  <c r="H154" i="121"/>
  <c r="H153" i="121"/>
  <c r="H152" i="121"/>
  <c r="H151" i="121"/>
  <c r="H150" i="121"/>
  <c r="H149" i="121"/>
  <c r="H148" i="121"/>
  <c r="H147" i="121"/>
  <c r="H146" i="121"/>
  <c r="H145" i="121"/>
  <c r="H144" i="121"/>
  <c r="H143" i="121"/>
  <c r="H142" i="121"/>
  <c r="H141" i="121"/>
  <c r="H140" i="121"/>
  <c r="H139" i="121"/>
  <c r="H138" i="121"/>
  <c r="H137" i="121"/>
  <c r="H136" i="121"/>
  <c r="H135" i="121"/>
  <c r="H134" i="121"/>
  <c r="H133" i="121"/>
  <c r="H132" i="121"/>
  <c r="H131" i="121"/>
  <c r="H130" i="121"/>
  <c r="H129" i="121"/>
  <c r="H128" i="121"/>
  <c r="H127" i="121"/>
  <c r="H126" i="121"/>
  <c r="H125" i="121"/>
  <c r="H124" i="121"/>
  <c r="H123" i="121"/>
  <c r="H122" i="121"/>
  <c r="H121" i="121"/>
  <c r="H120" i="121"/>
  <c r="H119" i="121"/>
  <c r="H118" i="121"/>
  <c r="H117" i="121"/>
  <c r="H116" i="121"/>
  <c r="H115" i="121"/>
  <c r="H114" i="121"/>
  <c r="H113" i="121"/>
  <c r="H112" i="121"/>
  <c r="H111" i="121"/>
  <c r="H110" i="121"/>
  <c r="H109" i="121"/>
  <c r="H108" i="121"/>
  <c r="H107" i="121"/>
  <c r="H106" i="121"/>
  <c r="H105" i="121"/>
  <c r="H104" i="121"/>
  <c r="H103" i="121"/>
  <c r="H102" i="121"/>
  <c r="H101" i="121"/>
  <c r="H100" i="121"/>
  <c r="H99" i="121"/>
  <c r="H98" i="121"/>
  <c r="H97" i="121"/>
  <c r="H96" i="121"/>
  <c r="H95" i="121"/>
  <c r="H94" i="121"/>
  <c r="H93" i="121"/>
  <c r="H92" i="121"/>
  <c r="H91" i="121"/>
  <c r="H90" i="121"/>
  <c r="H89" i="121"/>
  <c r="H88" i="121"/>
  <c r="H87" i="121"/>
  <c r="H86" i="121"/>
  <c r="H85" i="121"/>
  <c r="H84" i="121"/>
  <c r="H83" i="121"/>
  <c r="H82" i="121"/>
  <c r="H81" i="121"/>
  <c r="H80" i="121"/>
  <c r="H79" i="121"/>
  <c r="H78" i="121"/>
  <c r="H77" i="121"/>
  <c r="H76" i="121"/>
  <c r="H75" i="121"/>
  <c r="H74" i="121"/>
  <c r="H73" i="121"/>
  <c r="H72" i="121"/>
  <c r="H71" i="121"/>
  <c r="H70" i="121"/>
  <c r="H69" i="121"/>
  <c r="H68" i="121"/>
  <c r="H67" i="121"/>
  <c r="H66" i="121"/>
  <c r="H65" i="121"/>
  <c r="H64" i="121"/>
  <c r="H63" i="121"/>
  <c r="H62" i="121"/>
  <c r="H61" i="121"/>
  <c r="H60" i="121"/>
  <c r="H59" i="121"/>
  <c r="H58" i="121"/>
  <c r="H57" i="121"/>
  <c r="H56" i="121"/>
  <c r="H55" i="121"/>
  <c r="H54" i="121"/>
  <c r="H53" i="121"/>
  <c r="H52" i="121"/>
  <c r="H51" i="121"/>
  <c r="H49" i="121"/>
  <c r="H48" i="121"/>
  <c r="H47" i="121"/>
  <c r="H46" i="121"/>
  <c r="H45" i="121"/>
  <c r="H44" i="121"/>
  <c r="H43" i="121"/>
  <c r="H42" i="121"/>
  <c r="H41" i="121"/>
  <c r="H40" i="121"/>
  <c r="H39" i="121"/>
  <c r="H38" i="121"/>
  <c r="H37" i="121"/>
  <c r="H36" i="121"/>
  <c r="H35" i="121"/>
  <c r="H34" i="121"/>
  <c r="H33" i="121"/>
  <c r="H32" i="121"/>
  <c r="H31" i="121"/>
  <c r="H30" i="121"/>
  <c r="H29" i="121"/>
  <c r="H28" i="121"/>
  <c r="H27" i="121"/>
  <c r="H26" i="121"/>
  <c r="H25" i="121"/>
  <c r="H24" i="121"/>
  <c r="H23" i="121"/>
  <c r="H22" i="121"/>
  <c r="H21" i="121"/>
  <c r="H20" i="121"/>
  <c r="H19" i="121"/>
  <c r="H18" i="121"/>
  <c r="H17" i="121"/>
  <c r="H16" i="121"/>
  <c r="H15" i="121"/>
  <c r="H14" i="121"/>
  <c r="H13" i="121"/>
  <c r="H12" i="121"/>
  <c r="H11" i="121"/>
  <c r="H10" i="121"/>
  <c r="H204" i="120"/>
  <c r="H203" i="120"/>
  <c r="H202" i="120"/>
  <c r="H201" i="120"/>
  <c r="H200" i="120"/>
  <c r="H199" i="120"/>
  <c r="H198" i="120"/>
  <c r="H197" i="120"/>
  <c r="H196" i="120"/>
  <c r="H195" i="120"/>
  <c r="H194" i="120"/>
  <c r="H193" i="120"/>
  <c r="H192" i="120"/>
  <c r="H191" i="120"/>
  <c r="H190" i="120"/>
  <c r="H189" i="120"/>
  <c r="H188" i="120"/>
  <c r="H187" i="120"/>
  <c r="H186" i="120"/>
  <c r="H185" i="120"/>
  <c r="H184" i="120"/>
  <c r="H183" i="120"/>
  <c r="H182" i="120"/>
  <c r="H181" i="120"/>
  <c r="H180" i="120"/>
  <c r="H179" i="120"/>
  <c r="H178" i="120"/>
  <c r="H177" i="120"/>
  <c r="H176" i="120"/>
  <c r="H175" i="120"/>
  <c r="H174" i="120"/>
  <c r="H173" i="120"/>
  <c r="H172" i="120"/>
  <c r="H171" i="120"/>
  <c r="H170" i="120"/>
  <c r="H169" i="120"/>
  <c r="H168" i="120"/>
  <c r="H167" i="120"/>
  <c r="H166" i="120"/>
  <c r="H165" i="120"/>
  <c r="H164" i="120"/>
  <c r="H163" i="120"/>
  <c r="H162" i="120"/>
  <c r="H161" i="120"/>
  <c r="H160" i="120"/>
  <c r="H159" i="120"/>
  <c r="H158" i="120"/>
  <c r="H157" i="120"/>
  <c r="H156" i="120"/>
  <c r="H155" i="120"/>
  <c r="H154" i="120"/>
  <c r="H153" i="120"/>
  <c r="H152" i="120"/>
  <c r="H151" i="120"/>
  <c r="H150" i="120"/>
  <c r="H149" i="120"/>
  <c r="H148" i="120"/>
  <c r="H147" i="120"/>
  <c r="H146" i="120"/>
  <c r="H145" i="120"/>
  <c r="H144" i="120"/>
  <c r="H143" i="120"/>
  <c r="H142" i="120"/>
  <c r="H141" i="120"/>
  <c r="H140" i="120"/>
  <c r="H139" i="120"/>
  <c r="H138" i="120"/>
  <c r="H137" i="120"/>
  <c r="H136" i="120"/>
  <c r="H135" i="120"/>
  <c r="H134" i="120"/>
  <c r="H133" i="120"/>
  <c r="H132" i="120"/>
  <c r="H131" i="120"/>
  <c r="H130" i="120"/>
  <c r="H129" i="120"/>
  <c r="H128" i="120"/>
  <c r="H127" i="120"/>
  <c r="H126" i="120"/>
  <c r="H125" i="120"/>
  <c r="H124" i="120"/>
  <c r="H123" i="120"/>
  <c r="H122" i="120"/>
  <c r="H121" i="120"/>
  <c r="H120" i="120"/>
  <c r="H119" i="120"/>
  <c r="H118" i="120"/>
  <c r="H117" i="120"/>
  <c r="H116" i="120"/>
  <c r="H115" i="120"/>
  <c r="H114" i="120"/>
  <c r="H113" i="120"/>
  <c r="H112" i="120"/>
  <c r="H111" i="120"/>
  <c r="H110" i="120"/>
  <c r="H109" i="120"/>
  <c r="H108" i="120"/>
  <c r="H107" i="120"/>
  <c r="H106" i="120"/>
  <c r="H105" i="120"/>
  <c r="H104" i="120"/>
  <c r="H103" i="120"/>
  <c r="H102" i="120"/>
  <c r="H101" i="120"/>
  <c r="H100" i="120"/>
  <c r="H99" i="120"/>
  <c r="H98" i="120"/>
  <c r="H97" i="120"/>
  <c r="H96" i="120"/>
  <c r="H95" i="120"/>
  <c r="H94" i="120"/>
  <c r="H93" i="120"/>
  <c r="H92" i="120"/>
  <c r="H91" i="120"/>
  <c r="H90" i="120"/>
  <c r="H89" i="120"/>
  <c r="H88" i="120"/>
  <c r="H87" i="120"/>
  <c r="H86" i="120"/>
  <c r="H85" i="120"/>
  <c r="H84" i="120"/>
  <c r="H83" i="120"/>
  <c r="H82" i="120"/>
  <c r="H81" i="120"/>
  <c r="H80" i="120"/>
  <c r="H79" i="120"/>
  <c r="H78" i="120"/>
  <c r="H77" i="120"/>
  <c r="H76" i="120"/>
  <c r="H75" i="120"/>
  <c r="H74" i="120"/>
  <c r="H73" i="120"/>
  <c r="H72" i="120"/>
  <c r="H71" i="120"/>
  <c r="H70" i="120"/>
  <c r="H69" i="120"/>
  <c r="H68" i="120"/>
  <c r="H67" i="120"/>
  <c r="H66" i="120"/>
  <c r="H65" i="120"/>
  <c r="H64" i="120"/>
  <c r="H63" i="120"/>
  <c r="H62" i="120"/>
  <c r="H61" i="120"/>
  <c r="H60" i="120"/>
  <c r="H59" i="120"/>
  <c r="H58" i="120"/>
  <c r="H57" i="120"/>
  <c r="H56" i="120"/>
  <c r="H55" i="120"/>
  <c r="H54" i="120"/>
  <c r="H53" i="120"/>
  <c r="H52" i="120"/>
  <c r="H51" i="120"/>
  <c r="H49" i="120"/>
  <c r="H48" i="120"/>
  <c r="H47" i="120"/>
  <c r="H46" i="120"/>
  <c r="H45" i="120"/>
  <c r="H44" i="120"/>
  <c r="H43" i="120"/>
  <c r="H42" i="120"/>
  <c r="H41" i="120"/>
  <c r="H40" i="120"/>
  <c r="H39" i="120"/>
  <c r="H38" i="120"/>
  <c r="H37" i="120"/>
  <c r="H36" i="120"/>
  <c r="H35" i="120"/>
  <c r="H34" i="120"/>
  <c r="H33" i="120"/>
  <c r="H32" i="120"/>
  <c r="H31" i="120"/>
  <c r="H30" i="120"/>
  <c r="H29" i="120"/>
  <c r="H28" i="120"/>
  <c r="H27" i="120"/>
  <c r="H26" i="120"/>
  <c r="H25" i="120"/>
  <c r="H24" i="120"/>
  <c r="H23" i="120"/>
  <c r="H22" i="120"/>
  <c r="H21" i="120"/>
  <c r="H20" i="120"/>
  <c r="H19" i="120"/>
  <c r="H18" i="120"/>
  <c r="H17" i="120"/>
  <c r="H16" i="120"/>
  <c r="H15" i="120"/>
  <c r="H14" i="120"/>
  <c r="H13" i="120"/>
  <c r="H12" i="120"/>
  <c r="H11" i="120"/>
  <c r="H10" i="120"/>
  <c r="E192" i="118"/>
  <c r="L217" i="130" l="1"/>
  <c r="H215" i="130"/>
  <c r="H214" i="130"/>
  <c r="H213" i="130"/>
  <c r="H212" i="130"/>
  <c r="H211" i="130"/>
  <c r="L209" i="130"/>
  <c r="H209" i="130"/>
  <c r="L208" i="130"/>
  <c r="H208" i="130"/>
  <c r="L207" i="130"/>
  <c r="L206" i="130"/>
  <c r="L205" i="130"/>
  <c r="H205" i="130"/>
  <c r="H204" i="130"/>
  <c r="L203" i="130"/>
  <c r="H203" i="130"/>
  <c r="L202" i="130"/>
  <c r="H202" i="130"/>
  <c r="L201" i="130"/>
  <c r="H201" i="130"/>
  <c r="L200" i="130"/>
  <c r="H200" i="130"/>
  <c r="L199" i="130"/>
  <c r="L198" i="130"/>
  <c r="H198" i="130"/>
  <c r="L197" i="130"/>
  <c r="H197" i="130"/>
  <c r="H196" i="130"/>
  <c r="L195" i="130"/>
  <c r="H195" i="130"/>
  <c r="L194" i="130"/>
  <c r="H194" i="130"/>
  <c r="L193" i="130"/>
  <c r="H192" i="130"/>
  <c r="H191" i="130"/>
  <c r="H190" i="130"/>
  <c r="H189" i="130"/>
  <c r="H188" i="130"/>
  <c r="L187" i="130"/>
  <c r="H187" i="130"/>
  <c r="L186" i="130"/>
  <c r="H186" i="130"/>
  <c r="L185" i="130"/>
  <c r="H185" i="130"/>
  <c r="L184" i="130"/>
  <c r="H184" i="130"/>
  <c r="H183" i="130"/>
  <c r="L182" i="130"/>
  <c r="H182" i="130"/>
  <c r="L181" i="130"/>
  <c r="H181" i="130"/>
  <c r="L180" i="130"/>
  <c r="H180" i="130"/>
  <c r="L179" i="130"/>
  <c r="H179" i="130"/>
  <c r="H178" i="130"/>
  <c r="H177" i="130"/>
  <c r="L176" i="130"/>
  <c r="L175" i="130"/>
  <c r="H175" i="130"/>
  <c r="L174" i="130"/>
  <c r="H174" i="130"/>
  <c r="L173" i="130"/>
  <c r="H173" i="130"/>
  <c r="L172" i="130"/>
  <c r="H172" i="130"/>
  <c r="L171" i="130"/>
  <c r="H171" i="130"/>
  <c r="H170" i="130"/>
  <c r="H169" i="130"/>
  <c r="H168" i="130"/>
  <c r="H167" i="130"/>
  <c r="L166" i="130"/>
  <c r="L165" i="130"/>
  <c r="H165" i="130"/>
  <c r="L164" i="130"/>
  <c r="H164" i="130"/>
  <c r="L163" i="130"/>
  <c r="H163" i="130"/>
  <c r="L162" i="130"/>
  <c r="H162" i="130"/>
  <c r="H161" i="130"/>
  <c r="H160" i="130"/>
  <c r="L159" i="130"/>
  <c r="L158" i="130"/>
  <c r="H158" i="130"/>
  <c r="L157" i="130"/>
  <c r="L156" i="130"/>
  <c r="H156" i="130"/>
  <c r="L155" i="130"/>
  <c r="L154" i="130"/>
  <c r="H154" i="130"/>
  <c r="L153" i="130"/>
  <c r="H153" i="130"/>
  <c r="L152" i="130"/>
  <c r="H152" i="130"/>
  <c r="L151" i="130"/>
  <c r="H151" i="130"/>
  <c r="L150" i="130"/>
  <c r="H150" i="130"/>
  <c r="L149" i="130"/>
  <c r="L148" i="130"/>
  <c r="L147" i="130"/>
  <c r="H147" i="130"/>
  <c r="L146" i="130"/>
  <c r="H146" i="130"/>
  <c r="L145" i="130"/>
  <c r="H145" i="130"/>
  <c r="H143" i="130"/>
  <c r="H142" i="130"/>
  <c r="L141" i="130"/>
  <c r="H141" i="130"/>
  <c r="L140" i="130"/>
  <c r="H140" i="130"/>
  <c r="L139" i="130"/>
  <c r="H139" i="130"/>
  <c r="L138" i="130"/>
  <c r="H138" i="130"/>
  <c r="L137" i="130"/>
  <c r="H137" i="130"/>
  <c r="H136" i="130"/>
  <c r="L135" i="130"/>
  <c r="H135" i="130"/>
  <c r="L134" i="130"/>
  <c r="H134" i="130"/>
  <c r="L133" i="130"/>
  <c r="L132" i="130"/>
  <c r="L131" i="130"/>
  <c r="L130" i="130"/>
  <c r="H130" i="130"/>
  <c r="H129" i="130"/>
  <c r="L128" i="130"/>
  <c r="H128" i="130"/>
  <c r="L127" i="130"/>
  <c r="H127" i="130"/>
  <c r="L126" i="130"/>
  <c r="H126" i="130"/>
  <c r="L125" i="130"/>
  <c r="H125" i="130"/>
  <c r="H124" i="130"/>
  <c r="L123" i="130"/>
  <c r="H123" i="130"/>
  <c r="L122" i="130"/>
  <c r="H122" i="130"/>
  <c r="L121" i="130"/>
  <c r="H121" i="130"/>
  <c r="L120" i="130"/>
  <c r="L119" i="130"/>
  <c r="H119" i="130"/>
  <c r="L118" i="130"/>
  <c r="L117" i="130"/>
  <c r="L116" i="130"/>
  <c r="L115" i="130"/>
  <c r="H115" i="130"/>
  <c r="L114" i="130"/>
  <c r="H114" i="130"/>
  <c r="H113" i="130"/>
  <c r="L112" i="130"/>
  <c r="H112" i="130"/>
  <c r="L111" i="130"/>
  <c r="H111" i="130"/>
  <c r="L110" i="130"/>
  <c r="H110" i="130"/>
  <c r="H109" i="130"/>
  <c r="H108" i="130"/>
  <c r="H107" i="130"/>
  <c r="L106" i="130"/>
  <c r="H106" i="130"/>
  <c r="L105" i="130"/>
  <c r="H105" i="130"/>
  <c r="L104" i="130"/>
  <c r="H104" i="130"/>
  <c r="H103" i="130"/>
  <c r="H102" i="130"/>
  <c r="H101" i="130"/>
  <c r="L100" i="130"/>
  <c r="L99" i="130"/>
  <c r="H99" i="130"/>
  <c r="L98" i="130"/>
  <c r="H98" i="130"/>
  <c r="L97" i="130"/>
  <c r="H97" i="130"/>
  <c r="L96" i="130"/>
  <c r="H96" i="130"/>
  <c r="L95" i="130"/>
  <c r="H95" i="130"/>
  <c r="L94" i="130"/>
  <c r="H94" i="130"/>
  <c r="L93" i="130"/>
  <c r="H93" i="130"/>
  <c r="H92" i="130"/>
  <c r="H91" i="130"/>
  <c r="H90" i="130"/>
  <c r="L89" i="130"/>
  <c r="H89" i="130"/>
  <c r="L88" i="130"/>
  <c r="H88" i="130"/>
  <c r="L87" i="130"/>
  <c r="L86" i="130"/>
  <c r="H86" i="130"/>
  <c r="L85" i="130"/>
  <c r="H85" i="130"/>
  <c r="L84" i="130"/>
  <c r="H84" i="130"/>
  <c r="L83" i="130"/>
  <c r="H83" i="130"/>
  <c r="L82" i="130"/>
  <c r="H82" i="130"/>
  <c r="L81" i="130"/>
  <c r="L80" i="130"/>
  <c r="L79" i="130"/>
  <c r="H79" i="130"/>
  <c r="L78" i="130"/>
  <c r="H78" i="130"/>
  <c r="L77" i="130"/>
  <c r="L76" i="130"/>
  <c r="L75" i="130"/>
  <c r="H75" i="130"/>
  <c r="L74" i="130"/>
  <c r="H74" i="130"/>
  <c r="L73" i="130"/>
  <c r="L72" i="130"/>
  <c r="H72" i="130"/>
  <c r="L71" i="130"/>
  <c r="H71" i="130"/>
  <c r="L70" i="130"/>
  <c r="L69" i="130"/>
  <c r="L68" i="130"/>
  <c r="H67" i="130"/>
  <c r="H66" i="130"/>
  <c r="H65" i="130"/>
  <c r="L64" i="130"/>
  <c r="H64" i="130"/>
  <c r="L63" i="130"/>
  <c r="H63" i="130"/>
  <c r="L62" i="130"/>
  <c r="H62" i="130"/>
  <c r="L61" i="130"/>
  <c r="H61" i="130"/>
  <c r="L60" i="130"/>
  <c r="L59" i="130"/>
  <c r="H59" i="130"/>
  <c r="L58" i="130"/>
  <c r="H58" i="130"/>
  <c r="L57" i="130"/>
  <c r="H57" i="130"/>
  <c r="L56" i="130"/>
  <c r="H56" i="130"/>
  <c r="H55" i="130"/>
  <c r="L54" i="130"/>
  <c r="H54" i="130"/>
  <c r="L53" i="130"/>
  <c r="H53" i="130"/>
  <c r="L52" i="130"/>
  <c r="H52" i="130"/>
  <c r="L51" i="130"/>
  <c r="H51" i="130"/>
  <c r="L50" i="130"/>
  <c r="H49" i="130"/>
  <c r="L48" i="130"/>
  <c r="H48" i="130"/>
  <c r="L47" i="130"/>
  <c r="H47" i="130"/>
  <c r="L44" i="130"/>
  <c r="H44" i="130"/>
  <c r="L43" i="130"/>
  <c r="H43" i="130"/>
  <c r="L42" i="130"/>
  <c r="H42" i="130"/>
  <c r="H41" i="130"/>
  <c r="H40" i="130"/>
  <c r="H39" i="130"/>
  <c r="H38" i="130"/>
  <c r="H37" i="130"/>
  <c r="L36" i="130"/>
  <c r="L35" i="130"/>
  <c r="L34" i="130"/>
  <c r="H34" i="130"/>
  <c r="L33" i="130"/>
  <c r="H33" i="130"/>
  <c r="L32" i="130"/>
  <c r="H32" i="130"/>
  <c r="L31" i="130"/>
  <c r="H30" i="130"/>
  <c r="H29" i="130"/>
  <c r="L28" i="130"/>
  <c r="H28" i="130"/>
  <c r="L27" i="130"/>
  <c r="L26" i="130"/>
  <c r="L25" i="130"/>
  <c r="H25" i="130"/>
  <c r="L24" i="130"/>
  <c r="H24" i="130"/>
  <c r="L23" i="130"/>
  <c r="H23" i="130"/>
  <c r="L22" i="130"/>
  <c r="H22" i="130"/>
  <c r="L21" i="130"/>
  <c r="H21" i="130"/>
  <c r="L20" i="130"/>
  <c r="H20" i="130"/>
  <c r="L19" i="130"/>
  <c r="H19" i="130"/>
  <c r="L18" i="130"/>
  <c r="H18" i="130"/>
  <c r="L17" i="130"/>
  <c r="H17" i="130"/>
  <c r="L16" i="130"/>
  <c r="H16" i="130"/>
  <c r="L15" i="130"/>
  <c r="H15" i="130"/>
  <c r="L14" i="130"/>
  <c r="L13" i="130"/>
  <c r="L12" i="130"/>
  <c r="H24" i="131" l="1"/>
  <c r="G24" i="131"/>
  <c r="E24" i="131"/>
  <c r="D24" i="131"/>
  <c r="D20" i="94"/>
  <c r="E5" i="112" s="1"/>
  <c r="F5" i="112" s="1"/>
  <c r="G5" i="112" s="1"/>
  <c r="D21" i="94" l="1"/>
  <c r="I8" i="58"/>
  <c r="I7" i="58"/>
  <c r="C8" i="58"/>
  <c r="C7" i="58"/>
  <c r="D17" i="58" l="1"/>
  <c r="J15" i="58"/>
  <c r="J17" i="58" s="1"/>
  <c r="H17" i="58"/>
  <c r="C9" i="88"/>
  <c r="C7" i="88"/>
  <c r="C8" i="88"/>
  <c r="D9" i="88" l="1"/>
  <c r="L32" i="6"/>
  <c r="K32" i="6"/>
  <c r="E32" i="6"/>
  <c r="G32" i="6"/>
  <c r="J32" i="6"/>
  <c r="F32" i="6" l="1"/>
  <c r="J17" i="6"/>
  <c r="L17" i="6"/>
  <c r="F17" i="6"/>
  <c r="V8" i="37" l="1"/>
  <c r="V9" i="37"/>
  <c r="V10" i="37"/>
  <c r="V11" i="37"/>
  <c r="V12" i="37"/>
  <c r="V13" i="37"/>
  <c r="V14" i="37"/>
  <c r="V15" i="37"/>
  <c r="V16" i="37"/>
  <c r="Q17" i="37"/>
  <c r="Q18" i="37" s="1"/>
  <c r="C18" i="37"/>
  <c r="V17" i="37" l="1"/>
  <c r="V18" i="37" s="1"/>
  <c r="L18" i="37"/>
  <c r="G18" i="37"/>
  <c r="I13" i="129" l="1"/>
  <c r="H13" i="129"/>
  <c r="I11" i="129"/>
  <c r="G15" i="128"/>
  <c r="G12" i="128" s="1"/>
  <c r="F15" i="128"/>
  <c r="E15" i="128"/>
  <c r="D15" i="128"/>
  <c r="D12" i="128" s="1"/>
  <c r="G13" i="128"/>
  <c r="F13" i="128"/>
  <c r="E13" i="128"/>
  <c r="G11" i="128"/>
  <c r="E11" i="128"/>
  <c r="E10" i="128"/>
  <c r="K12" i="123"/>
  <c r="G12" i="123"/>
  <c r="K11" i="123"/>
  <c r="G11" i="123"/>
  <c r="E35" i="117"/>
  <c r="I15" i="47"/>
  <c r="G15" i="47"/>
  <c r="F15" i="47"/>
  <c r="E15" i="47"/>
  <c r="C6" i="47"/>
  <c r="C15" i="47" s="1"/>
  <c r="C26" i="100"/>
  <c r="C27" i="100" s="1"/>
  <c r="E25" i="100" s="1"/>
  <c r="E26" i="100" s="1"/>
  <c r="E27" i="100" s="1"/>
  <c r="I25" i="100" s="1"/>
  <c r="I26" i="100" s="1"/>
  <c r="I27" i="100" s="1"/>
  <c r="C8" i="59"/>
  <c r="D8" i="59"/>
  <c r="C9" i="59"/>
  <c r="D9" i="59"/>
  <c r="D13" i="97"/>
  <c r="E13" i="97" s="1"/>
  <c r="E11" i="97"/>
  <c r="E19" i="82" s="1"/>
  <c r="E9" i="97"/>
  <c r="D9" i="97"/>
  <c r="C9" i="97"/>
  <c r="E26" i="33"/>
  <c r="E25" i="33"/>
  <c r="E24" i="33"/>
  <c r="G62" i="116"/>
  <c r="G63" i="116" s="1"/>
  <c r="G65" i="116" s="1"/>
  <c r="G67" i="116" s="1"/>
  <c r="G60" i="116"/>
  <c r="E37" i="116"/>
  <c r="D37" i="116"/>
  <c r="C37" i="116"/>
  <c r="E36" i="116"/>
  <c r="D36" i="116"/>
  <c r="C36" i="116"/>
  <c r="E35" i="116"/>
  <c r="D35" i="116"/>
  <c r="I20" i="116"/>
  <c r="J20" i="116" s="1"/>
  <c r="K20" i="116" s="1"/>
  <c r="I18" i="116"/>
  <c r="I16" i="116"/>
  <c r="I17" i="116" s="1"/>
  <c r="H14" i="116"/>
  <c r="H16" i="116" s="1"/>
  <c r="H18" i="116" s="1"/>
  <c r="H20" i="116" s="1"/>
  <c r="H22" i="116" s="1"/>
  <c r="G14" i="116"/>
  <c r="G16" i="116" s="1"/>
  <c r="G18" i="116" s="1"/>
  <c r="G20" i="116" s="1"/>
  <c r="G22" i="116" s="1"/>
  <c r="F14" i="116"/>
  <c r="F16" i="116" s="1"/>
  <c r="F18" i="116" s="1"/>
  <c r="F20" i="116" s="1"/>
  <c r="F22" i="116" s="1"/>
  <c r="E14" i="116"/>
  <c r="E16" i="116" s="1"/>
  <c r="E18" i="116" s="1"/>
  <c r="E20" i="116" s="1"/>
  <c r="E22" i="116" s="1"/>
  <c r="D14" i="116"/>
  <c r="D16" i="116" s="1"/>
  <c r="A6" i="116"/>
  <c r="A7" i="116" s="1"/>
  <c r="A8" i="116" s="1"/>
  <c r="A9" i="116" s="1"/>
  <c r="A10" i="116" s="1"/>
  <c r="A11" i="116" s="1"/>
  <c r="A12" i="116" s="1"/>
  <c r="A13" i="116" s="1"/>
  <c r="A14" i="116" s="1"/>
  <c r="A15" i="116" s="1"/>
  <c r="A16" i="116" s="1"/>
  <c r="A17" i="116" s="1"/>
  <c r="A18" i="116" s="1"/>
  <c r="A19" i="116" s="1"/>
  <c r="A20" i="116" s="1"/>
  <c r="A21" i="116" s="1"/>
  <c r="A22" i="116" s="1"/>
  <c r="B4" i="116"/>
  <c r="C4" i="116" s="1"/>
  <c r="D4" i="116" s="1"/>
  <c r="E4" i="116" s="1"/>
  <c r="F4" i="116" s="1"/>
  <c r="G4" i="116" s="1"/>
  <c r="H4" i="116" s="1"/>
  <c r="G6" i="115"/>
  <c r="H6" i="115" s="1"/>
  <c r="G5" i="115"/>
  <c r="H5" i="115" s="1"/>
  <c r="G2" i="115"/>
  <c r="N14" i="114"/>
  <c r="M14" i="114"/>
  <c r="K14" i="114"/>
  <c r="J14" i="114"/>
  <c r="I14" i="114"/>
  <c r="H14" i="114"/>
  <c r="G14" i="114"/>
  <c r="F14" i="114"/>
  <c r="E14" i="114"/>
  <c r="D14" i="114"/>
  <c r="C14" i="114"/>
  <c r="K8" i="114"/>
  <c r="J8" i="114"/>
  <c r="J15" i="114" s="1"/>
  <c r="I8" i="114"/>
  <c r="I15" i="114" s="1"/>
  <c r="H8" i="114"/>
  <c r="G8" i="114"/>
  <c r="E8" i="114"/>
  <c r="E15" i="114" s="1"/>
  <c r="D8" i="114"/>
  <c r="D15" i="114" s="1"/>
  <c r="C8" i="114"/>
  <c r="C15" i="114" s="1"/>
  <c r="N7" i="114"/>
  <c r="N8" i="114" s="1"/>
  <c r="F7" i="114"/>
  <c r="M8" i="114" s="1"/>
  <c r="F14" i="12"/>
  <c r="D14" i="12"/>
  <c r="H13" i="12"/>
  <c r="F13" i="12"/>
  <c r="D13" i="12"/>
  <c r="C6" i="12"/>
  <c r="C14" i="12" s="1"/>
  <c r="A9" i="112"/>
  <c r="A10" i="112" s="1"/>
  <c r="A11" i="112" s="1"/>
  <c r="A12" i="112" s="1"/>
  <c r="A13" i="112" s="1"/>
  <c r="A14" i="112" s="1"/>
  <c r="A15" i="112" s="1"/>
  <c r="A16" i="112" s="1"/>
  <c r="A17" i="112" s="1"/>
  <c r="A18" i="112" s="1"/>
  <c r="A19" i="112" s="1"/>
  <c r="H15" i="114" l="1"/>
  <c r="E17" i="82"/>
  <c r="E14" i="97"/>
  <c r="M15" i="114"/>
  <c r="N15" i="114"/>
  <c r="G15" i="114"/>
  <c r="K15" i="114"/>
  <c r="F11" i="128"/>
  <c r="F10" i="128"/>
  <c r="E22" i="33"/>
  <c r="G10" i="128"/>
  <c r="D13" i="128"/>
  <c r="C19" i="82"/>
  <c r="C17" i="82"/>
  <c r="C18" i="82"/>
  <c r="C14" i="97"/>
  <c r="D19" i="82"/>
  <c r="D17" i="82"/>
  <c r="D14" i="97"/>
  <c r="D10" i="128"/>
  <c r="D11" i="128"/>
  <c r="I21" i="116"/>
  <c r="J21" i="116" s="1"/>
  <c r="K21" i="116" s="1"/>
  <c r="H59" i="116"/>
  <c r="J11" i="116"/>
  <c r="K11" i="116" s="1"/>
  <c r="F8" i="114"/>
  <c r="F15" i="114" s="1"/>
  <c r="C13" i="12"/>
  <c r="E6" i="12"/>
  <c r="H62" i="116" l="1"/>
  <c r="I59" i="116" s="1"/>
  <c r="E14" i="12"/>
  <c r="G6" i="12"/>
  <c r="E13" i="12"/>
  <c r="I62" i="116" l="1"/>
  <c r="K59" i="116" s="1"/>
  <c r="H63" i="116"/>
  <c r="H65" i="116" s="1"/>
  <c r="H67" i="116" s="1"/>
  <c r="G14" i="12"/>
  <c r="G13" i="12"/>
  <c r="K62" i="116" l="1"/>
  <c r="K63" i="116" s="1"/>
  <c r="K65" i="116" s="1"/>
  <c r="K67" i="116" s="1"/>
  <c r="I63" i="116"/>
  <c r="I65" i="116" s="1"/>
  <c r="I67" i="116" s="1"/>
  <c r="I13" i="12"/>
  <c r="E9" i="88" l="1"/>
  <c r="H6" i="12" l="1"/>
  <c r="H14" i="12" l="1"/>
  <c r="I6" i="12"/>
  <c r="I14" i="12" s="1"/>
  <c r="D8" i="103" l="1"/>
  <c r="D6" i="47"/>
  <c r="D15" i="47" s="1"/>
  <c r="A1" i="16"/>
  <c r="D49" i="17" l="1"/>
  <c r="H44" i="17"/>
  <c r="E12" i="97"/>
  <c r="E18" i="82" s="1"/>
  <c r="D12" i="97"/>
  <c r="D18" i="82" s="1"/>
  <c r="D16" i="103"/>
  <c r="C11" i="82" s="1"/>
  <c r="E41" i="2" l="1"/>
  <c r="C27" i="88" s="1"/>
  <c r="I41" i="2"/>
  <c r="D27" i="88" s="1"/>
  <c r="Q9" i="93" l="1"/>
  <c r="Q12" i="93"/>
  <c r="Q27" i="93"/>
  <c r="Q30" i="93"/>
  <c r="Q34" i="93"/>
  <c r="Q36" i="93"/>
  <c r="Q38" i="93"/>
  <c r="G12" i="10" l="1"/>
  <c r="F12" i="10" l="1"/>
  <c r="J37" i="2" l="1"/>
  <c r="J39" i="2" s="1"/>
  <c r="H37" i="2"/>
  <c r="H39" i="2" s="1"/>
  <c r="H40" i="2" s="1"/>
  <c r="G37" i="2"/>
  <c r="G39" i="2" s="1"/>
  <c r="G40" i="2" s="1"/>
  <c r="F37" i="2"/>
  <c r="F39" i="2" s="1"/>
  <c r="D28" i="2"/>
  <c r="C21" i="88"/>
  <c r="H29" i="2"/>
  <c r="G29" i="2"/>
  <c r="H27" i="2"/>
  <c r="G27" i="2"/>
  <c r="H25" i="2"/>
  <c r="G25" i="2"/>
  <c r="J23" i="2"/>
  <c r="H23" i="2"/>
  <c r="G23" i="2"/>
  <c r="F23" i="2"/>
  <c r="D23" i="2"/>
  <c r="H22" i="2"/>
  <c r="G22" i="2"/>
  <c r="H21" i="2"/>
  <c r="G21" i="2"/>
  <c r="H20" i="2"/>
  <c r="G20" i="2"/>
  <c r="G15" i="2"/>
  <c r="G17" i="2" s="1"/>
  <c r="F30" i="4" s="1"/>
  <c r="H15" i="2"/>
  <c r="H17" i="2" s="1"/>
  <c r="G30" i="4" s="1"/>
  <c r="H24" i="2" l="1"/>
  <c r="I12" i="58"/>
  <c r="I18" i="58" s="1"/>
  <c r="G24" i="2"/>
  <c r="I6" i="101" l="1"/>
  <c r="J15" i="2"/>
  <c r="J17" i="2" s="1"/>
  <c r="I30" i="4" s="1"/>
  <c r="E12" i="58"/>
  <c r="E18" i="58" s="1"/>
  <c r="D37" i="2"/>
  <c r="D39" i="2" s="1"/>
  <c r="J32" i="24"/>
  <c r="H9" i="31"/>
  <c r="C43" i="61"/>
  <c r="C44" i="61" s="1"/>
  <c r="D22" i="2" s="1"/>
  <c r="F7" i="34"/>
  <c r="G7" i="34"/>
  <c r="E6" i="31"/>
  <c r="C6" i="31"/>
  <c r="F9" i="63"/>
  <c r="E9" i="63"/>
  <c r="D9" i="63"/>
  <c r="D7" i="63"/>
  <c r="F7" i="63"/>
  <c r="E7" i="63"/>
  <c r="E22" i="65" l="1"/>
  <c r="E24" i="65"/>
  <c r="I6" i="31"/>
  <c r="J21" i="2" s="1"/>
  <c r="H7" i="34"/>
  <c r="G8" i="34"/>
  <c r="G13" i="34" s="1"/>
  <c r="F15" i="2"/>
  <c r="E22" i="4" s="1"/>
  <c r="I22" i="4"/>
  <c r="E57" i="61"/>
  <c r="E8" i="31" s="1"/>
  <c r="F22" i="2" s="1"/>
  <c r="E26" i="65"/>
  <c r="C12" i="58"/>
  <c r="C18" i="58" s="1"/>
  <c r="G7" i="63"/>
  <c r="H7" i="63" s="1"/>
  <c r="K21" i="65" s="1"/>
  <c r="G9" i="63"/>
  <c r="H53" i="61"/>
  <c r="D12" i="58"/>
  <c r="D29" i="34"/>
  <c r="D31" i="34" s="1"/>
  <c r="D21" i="2"/>
  <c r="F21" i="2"/>
  <c r="E23" i="2"/>
  <c r="C18" i="88" s="1"/>
  <c r="E37" i="2"/>
  <c r="C12" i="88" s="1"/>
  <c r="D30" i="61"/>
  <c r="D32" i="61" s="1"/>
  <c r="J24" i="65"/>
  <c r="J29" i="65" s="1"/>
  <c r="J22" i="65"/>
  <c r="J28" i="65" s="1"/>
  <c r="D33" i="65"/>
  <c r="D35" i="65" s="1"/>
  <c r="I36" i="24"/>
  <c r="I35" i="24"/>
  <c r="J35" i="24" s="1"/>
  <c r="I32" i="24"/>
  <c r="I31" i="24"/>
  <c r="H37" i="24"/>
  <c r="H38" i="24" s="1"/>
  <c r="H35" i="24"/>
  <c r="H33" i="24"/>
  <c r="E37" i="24"/>
  <c r="E33" i="24"/>
  <c r="E29" i="24"/>
  <c r="E30" i="24" s="1"/>
  <c r="D41" i="24"/>
  <c r="D35" i="24"/>
  <c r="D33" i="24"/>
  <c r="I23" i="24"/>
  <c r="I22" i="24"/>
  <c r="E22" i="24"/>
  <c r="E25" i="24" s="1"/>
  <c r="I16" i="103"/>
  <c r="H18" i="103"/>
  <c r="J18" i="103" s="1"/>
  <c r="C23" i="24"/>
  <c r="I10" i="103"/>
  <c r="E10" i="103"/>
  <c r="J8" i="103"/>
  <c r="J23" i="24" s="1"/>
  <c r="G8" i="103"/>
  <c r="F17" i="2" l="1"/>
  <c r="E30" i="4" s="1"/>
  <c r="E29" i="65"/>
  <c r="E28" i="65"/>
  <c r="D52" i="61"/>
  <c r="D50" i="61"/>
  <c r="J16" i="103"/>
  <c r="D11" i="82"/>
  <c r="D15" i="2"/>
  <c r="C6" i="101"/>
  <c r="J30" i="65"/>
  <c r="J37" i="65" s="1"/>
  <c r="J20" i="2" s="1"/>
  <c r="I8" i="31"/>
  <c r="D18" i="58"/>
  <c r="G10" i="63"/>
  <c r="D17" i="2"/>
  <c r="C30" i="4" s="1"/>
  <c r="C22" i="4"/>
  <c r="E39" i="2"/>
  <c r="C13" i="88"/>
  <c r="I21" i="65"/>
  <c r="I26" i="65" s="1"/>
  <c r="H9" i="63"/>
  <c r="H10" i="63" s="1"/>
  <c r="J9" i="31"/>
  <c r="K23" i="2" s="1"/>
  <c r="E18" i="88" s="1"/>
  <c r="I37" i="24"/>
  <c r="I38" i="24" s="1"/>
  <c r="I33" i="24"/>
  <c r="J37" i="24"/>
  <c r="J38" i="24" s="1"/>
  <c r="F29" i="65"/>
  <c r="D33" i="34"/>
  <c r="D10" i="34" s="1"/>
  <c r="J33" i="24"/>
  <c r="D34" i="61"/>
  <c r="D24" i="31" s="1"/>
  <c r="F28" i="65"/>
  <c r="F8" i="103"/>
  <c r="H23" i="24" s="1"/>
  <c r="E35" i="65"/>
  <c r="E38" i="65" s="1"/>
  <c r="D23" i="31" s="1"/>
  <c r="I25" i="24"/>
  <c r="I27" i="24" s="1"/>
  <c r="D16" i="31" l="1"/>
  <c r="D25" i="31" s="1"/>
  <c r="D12" i="34"/>
  <c r="I24" i="65"/>
  <c r="K24" i="65" s="1"/>
  <c r="E11" i="82"/>
  <c r="H49" i="61"/>
  <c r="H50" i="61" s="1"/>
  <c r="F49" i="61"/>
  <c r="F50" i="61" s="1"/>
  <c r="J49" i="61"/>
  <c r="D55" i="61"/>
  <c r="I22" i="65"/>
  <c r="K22" i="65" s="1"/>
  <c r="D56" i="61"/>
  <c r="E30" i="65"/>
  <c r="E37" i="65" s="1"/>
  <c r="D7" i="31" s="1"/>
  <c r="D29" i="31" s="1"/>
  <c r="E29" i="31" s="1"/>
  <c r="H29" i="31" s="1"/>
  <c r="E15" i="2"/>
  <c r="C20" i="82" s="1"/>
  <c r="D6" i="101"/>
  <c r="J22" i="2"/>
  <c r="J24" i="2" s="1"/>
  <c r="I12" i="31"/>
  <c r="F30" i="65"/>
  <c r="K26" i="65"/>
  <c r="I23" i="2"/>
  <c r="D18" i="88" s="1"/>
  <c r="D20" i="2"/>
  <c r="D24" i="2" s="1"/>
  <c r="C12" i="31"/>
  <c r="H52" i="61"/>
  <c r="E39" i="24"/>
  <c r="F25" i="2" s="1"/>
  <c r="I28" i="24"/>
  <c r="J50" i="61" l="1"/>
  <c r="J55" i="61" s="1"/>
  <c r="F52" i="61"/>
  <c r="D57" i="61"/>
  <c r="D8" i="31" s="1"/>
  <c r="C8" i="101"/>
  <c r="C7" i="101"/>
  <c r="D22" i="4"/>
  <c r="E17" i="2"/>
  <c r="D30" i="4" s="1"/>
  <c r="I7" i="101"/>
  <c r="I8" i="101"/>
  <c r="K29" i="65"/>
  <c r="F37" i="65"/>
  <c r="K28" i="65"/>
  <c r="E20" i="2"/>
  <c r="C15" i="97"/>
  <c r="C16" i="97" s="1"/>
  <c r="H56" i="61"/>
  <c r="H55" i="61"/>
  <c r="I29" i="24"/>
  <c r="I30" i="24" s="1"/>
  <c r="I34" i="24" s="1"/>
  <c r="I39" i="24" s="1"/>
  <c r="J25" i="2" s="1"/>
  <c r="O29" i="93"/>
  <c r="N29" i="93"/>
  <c r="J27" i="93"/>
  <c r="I27" i="93"/>
  <c r="O49" i="93"/>
  <c r="N49" i="93"/>
  <c r="O48" i="93"/>
  <c r="N48" i="93"/>
  <c r="O47" i="93"/>
  <c r="N47" i="93"/>
  <c r="O46" i="93"/>
  <c r="N46" i="93"/>
  <c r="O45" i="93"/>
  <c r="N45" i="93"/>
  <c r="O44" i="93"/>
  <c r="N44" i="93"/>
  <c r="O43" i="93"/>
  <c r="N43" i="93"/>
  <c r="O42" i="93"/>
  <c r="N42" i="93"/>
  <c r="O41" i="93"/>
  <c r="N41" i="93"/>
  <c r="O40" i="93"/>
  <c r="N40" i="93"/>
  <c r="O39" i="93"/>
  <c r="N39" i="93"/>
  <c r="O38" i="93"/>
  <c r="N38" i="93"/>
  <c r="O37" i="93"/>
  <c r="N37" i="93"/>
  <c r="O36" i="93"/>
  <c r="N36" i="93"/>
  <c r="O35" i="93"/>
  <c r="N35" i="93"/>
  <c r="O34" i="93"/>
  <c r="N34" i="93"/>
  <c r="O33" i="93"/>
  <c r="N33" i="93"/>
  <c r="O32" i="93"/>
  <c r="N32" i="93"/>
  <c r="O31" i="93"/>
  <c r="N31" i="93"/>
  <c r="O30" i="93"/>
  <c r="N30" i="93"/>
  <c r="O28" i="93"/>
  <c r="N28" i="93"/>
  <c r="O27" i="93"/>
  <c r="N27" i="93"/>
  <c r="O26" i="93"/>
  <c r="N26" i="93"/>
  <c r="O25" i="93"/>
  <c r="N25" i="93"/>
  <c r="O24" i="93"/>
  <c r="N24" i="93"/>
  <c r="O23" i="93"/>
  <c r="N23" i="93"/>
  <c r="O22" i="93"/>
  <c r="N22" i="93"/>
  <c r="O21" i="93"/>
  <c r="N21" i="93"/>
  <c r="O20" i="93"/>
  <c r="N20" i="93"/>
  <c r="O19" i="93"/>
  <c r="N19" i="93"/>
  <c r="O18" i="93"/>
  <c r="N18" i="93"/>
  <c r="O17" i="93"/>
  <c r="N17" i="93"/>
  <c r="O16" i="93"/>
  <c r="N16" i="93"/>
  <c r="O15" i="93"/>
  <c r="N15" i="93"/>
  <c r="O14" i="93"/>
  <c r="N14" i="93"/>
  <c r="O13" i="93"/>
  <c r="N13" i="93"/>
  <c r="O12" i="93"/>
  <c r="N12" i="93"/>
  <c r="O11" i="93"/>
  <c r="N11" i="93"/>
  <c r="O10" i="93"/>
  <c r="N10" i="93"/>
  <c r="J9" i="93"/>
  <c r="I9" i="93"/>
  <c r="O9" i="93"/>
  <c r="N9" i="93"/>
  <c r="O8" i="93"/>
  <c r="N8" i="93"/>
  <c r="I57" i="93" s="1"/>
  <c r="O7" i="93"/>
  <c r="N7" i="93"/>
  <c r="O6" i="93"/>
  <c r="N6" i="93"/>
  <c r="O5" i="93"/>
  <c r="N5" i="93"/>
  <c r="O4" i="93"/>
  <c r="N4" i="93"/>
  <c r="O3" i="93"/>
  <c r="N3" i="93"/>
  <c r="D30" i="31" l="1"/>
  <c r="E30" i="31" s="1"/>
  <c r="H30" i="31" s="1"/>
  <c r="E22" i="2"/>
  <c r="C17" i="88" s="1"/>
  <c r="J52" i="61"/>
  <c r="J56" i="61" s="1"/>
  <c r="J57" i="61" s="1"/>
  <c r="J8" i="31" s="1"/>
  <c r="K22" i="2" s="1"/>
  <c r="E17" i="88" s="1"/>
  <c r="F57" i="61"/>
  <c r="H8" i="31" s="1"/>
  <c r="K30" i="65"/>
  <c r="K37" i="65" s="1"/>
  <c r="E15" i="97" s="1"/>
  <c r="E16" i="97" s="1"/>
  <c r="E12" i="31"/>
  <c r="F20" i="2"/>
  <c r="F24" i="2" s="1"/>
  <c r="I30" i="65"/>
  <c r="I37" i="65" s="1"/>
  <c r="H7" i="31" s="1"/>
  <c r="I20" i="2" s="1"/>
  <c r="D16" i="88" s="1"/>
  <c r="C16" i="88"/>
  <c r="H57" i="61"/>
  <c r="J56" i="93"/>
  <c r="I56" i="93"/>
  <c r="J57" i="93"/>
  <c r="H26" i="2"/>
  <c r="G26" i="2"/>
  <c r="J25" i="17"/>
  <c r="I25" i="17"/>
  <c r="H25" i="17"/>
  <c r="E25" i="17"/>
  <c r="C25" i="17"/>
  <c r="C48" i="17"/>
  <c r="I21" i="17"/>
  <c r="I31" i="17" s="1"/>
  <c r="I41" i="17" s="1"/>
  <c r="C28" i="17"/>
  <c r="C29" i="17" s="1"/>
  <c r="C22" i="24"/>
  <c r="C25" i="24" s="1"/>
  <c r="D10" i="10"/>
  <c r="C10" i="10"/>
  <c r="J49" i="93"/>
  <c r="I49" i="93"/>
  <c r="H49" i="93"/>
  <c r="Q49" i="93" s="1"/>
  <c r="I48" i="93"/>
  <c r="H48" i="93"/>
  <c r="J47" i="93"/>
  <c r="I47" i="93"/>
  <c r="H47" i="93"/>
  <c r="Q47" i="93" s="1"/>
  <c r="J46" i="93"/>
  <c r="I46" i="93"/>
  <c r="H46" i="93"/>
  <c r="Q46" i="93" s="1"/>
  <c r="J45" i="93"/>
  <c r="I45" i="93"/>
  <c r="H45" i="93"/>
  <c r="Q45" i="93" s="1"/>
  <c r="J44" i="93"/>
  <c r="I44" i="93"/>
  <c r="H44" i="93"/>
  <c r="Q44" i="93" s="1"/>
  <c r="J43" i="93"/>
  <c r="I43" i="93"/>
  <c r="H43" i="93"/>
  <c r="Q43" i="93" s="1"/>
  <c r="J42" i="93"/>
  <c r="I42" i="93"/>
  <c r="H42" i="93"/>
  <c r="Q42" i="93" s="1"/>
  <c r="J41" i="93"/>
  <c r="I41" i="93"/>
  <c r="H41" i="93"/>
  <c r="Q41" i="93" s="1"/>
  <c r="J40" i="93"/>
  <c r="I40" i="93"/>
  <c r="H40" i="93"/>
  <c r="Q40" i="93" s="1"/>
  <c r="I39" i="93"/>
  <c r="H39" i="93"/>
  <c r="J38" i="93"/>
  <c r="I38" i="93"/>
  <c r="I37" i="93"/>
  <c r="H37" i="93"/>
  <c r="J36" i="93"/>
  <c r="I36" i="93"/>
  <c r="I35" i="93"/>
  <c r="H35" i="93"/>
  <c r="J34" i="93"/>
  <c r="I34" i="93"/>
  <c r="I33" i="93"/>
  <c r="H33" i="93"/>
  <c r="J32" i="93"/>
  <c r="I32" i="93"/>
  <c r="H32" i="93"/>
  <c r="Q32" i="93" s="1"/>
  <c r="J31" i="93"/>
  <c r="I31" i="93"/>
  <c r="H31" i="93"/>
  <c r="Q31" i="93" s="1"/>
  <c r="J30" i="93"/>
  <c r="I30" i="93"/>
  <c r="J29" i="93"/>
  <c r="I29" i="93"/>
  <c r="H29" i="93"/>
  <c r="Q29" i="93" s="1"/>
  <c r="I28" i="93"/>
  <c r="H28" i="93"/>
  <c r="J26" i="93"/>
  <c r="I26" i="93"/>
  <c r="H26" i="93"/>
  <c r="Q26" i="93" s="1"/>
  <c r="I25" i="93"/>
  <c r="H25" i="93"/>
  <c r="I24" i="93"/>
  <c r="H24" i="93"/>
  <c r="H23" i="93"/>
  <c r="I23" i="93"/>
  <c r="I22" i="93"/>
  <c r="H22" i="93"/>
  <c r="I21" i="93"/>
  <c r="H21" i="93"/>
  <c r="I20" i="93"/>
  <c r="H20" i="93"/>
  <c r="I19" i="93"/>
  <c r="H19" i="93"/>
  <c r="I18" i="93"/>
  <c r="H18" i="93"/>
  <c r="J17" i="93"/>
  <c r="I17" i="93"/>
  <c r="H17" i="93"/>
  <c r="J16" i="93"/>
  <c r="I16" i="93"/>
  <c r="H16" i="93"/>
  <c r="J15" i="93"/>
  <c r="I15" i="93"/>
  <c r="H15" i="93"/>
  <c r="I14" i="93"/>
  <c r="H14" i="93"/>
  <c r="I13" i="93"/>
  <c r="H13" i="93"/>
  <c r="J12" i="93"/>
  <c r="I12" i="93"/>
  <c r="I11" i="93"/>
  <c r="H11" i="93"/>
  <c r="J10" i="93"/>
  <c r="I10" i="93"/>
  <c r="H10" i="93"/>
  <c r="Q10" i="93" s="1"/>
  <c r="J8" i="93"/>
  <c r="I8" i="93"/>
  <c r="H8" i="93"/>
  <c r="Q8" i="93" s="1"/>
  <c r="I7" i="93"/>
  <c r="H7" i="93"/>
  <c r="I6" i="93"/>
  <c r="H6" i="93"/>
  <c r="I5" i="93"/>
  <c r="H5" i="93"/>
  <c r="I4" i="93"/>
  <c r="H4" i="93"/>
  <c r="I3" i="93"/>
  <c r="H3" i="93"/>
  <c r="D12" i="19"/>
  <c r="F6" i="19" s="1"/>
  <c r="F12" i="19" s="1"/>
  <c r="J6" i="19" s="1"/>
  <c r="J12" i="19" s="1"/>
  <c r="I22" i="2" l="1"/>
  <c r="D17" i="88" s="1"/>
  <c r="R19" i="93"/>
  <c r="R21" i="93"/>
  <c r="R25" i="93"/>
  <c r="R48" i="93"/>
  <c r="E8" i="101"/>
  <c r="E7" i="101"/>
  <c r="C49" i="17"/>
  <c r="J7" i="31"/>
  <c r="K20" i="2" s="1"/>
  <c r="E16" i="88" s="1"/>
  <c r="D15" i="97"/>
  <c r="D16" i="97" s="1"/>
  <c r="R18" i="93"/>
  <c r="R20" i="93"/>
  <c r="R22" i="93"/>
  <c r="R24" i="93"/>
  <c r="R33" i="93"/>
  <c r="R35" i="93"/>
  <c r="R37" i="93"/>
  <c r="R39" i="93"/>
  <c r="D25" i="17"/>
  <c r="D7" i="103"/>
  <c r="D10" i="103" s="1"/>
  <c r="D11" i="103" s="1"/>
  <c r="J52" i="93"/>
  <c r="J60" i="93" s="1"/>
  <c r="J61" i="93" s="1"/>
  <c r="R23" i="93"/>
  <c r="R28" i="93"/>
  <c r="C17" i="10"/>
  <c r="E7" i="10" s="1"/>
  <c r="E20" i="17" s="1"/>
  <c r="H52" i="93"/>
  <c r="R3" i="93"/>
  <c r="Q3" i="93"/>
  <c r="Q7" i="93"/>
  <c r="R7" i="93"/>
  <c r="Q11" i="93"/>
  <c r="R11" i="93"/>
  <c r="Q23" i="93"/>
  <c r="Q28" i="93"/>
  <c r="Q18" i="93"/>
  <c r="Q20" i="93"/>
  <c r="Q22" i="93"/>
  <c r="Q24" i="93"/>
  <c r="Q33" i="93"/>
  <c r="Q35" i="93"/>
  <c r="Q37" i="93"/>
  <c r="Q39" i="93"/>
  <c r="Q13" i="93"/>
  <c r="R13" i="93"/>
  <c r="Q4" i="93"/>
  <c r="R4" i="93"/>
  <c r="R6" i="93"/>
  <c r="Q6" i="93"/>
  <c r="I52" i="93"/>
  <c r="R14" i="93"/>
  <c r="Q14" i="93"/>
  <c r="Q5" i="93"/>
  <c r="R5" i="93"/>
  <c r="Q19" i="93"/>
  <c r="Q21" i="93"/>
  <c r="Q25" i="93"/>
  <c r="Q48" i="93"/>
  <c r="D17" i="10"/>
  <c r="I53" i="93"/>
  <c r="C29" i="24"/>
  <c r="C30" i="24" s="1"/>
  <c r="D28" i="17"/>
  <c r="D30" i="17" s="1"/>
  <c r="J53" i="93"/>
  <c r="D35" i="17" l="1"/>
  <c r="D26" i="17"/>
  <c r="E50" i="17"/>
  <c r="E53" i="17" s="1"/>
  <c r="E48" i="17"/>
  <c r="I44" i="17" s="1"/>
  <c r="C34" i="24"/>
  <c r="C39" i="24" s="1"/>
  <c r="C9" i="101" s="1"/>
  <c r="C10" i="101" s="1"/>
  <c r="C12" i="101" s="1"/>
  <c r="D29" i="2" s="1"/>
  <c r="D26" i="24"/>
  <c r="D29" i="24" s="1"/>
  <c r="D6" i="34"/>
  <c r="D8" i="34" s="1"/>
  <c r="D13" i="34" s="1"/>
  <c r="D6" i="31" s="1"/>
  <c r="D28" i="31" s="1"/>
  <c r="E28" i="31" s="1"/>
  <c r="H28" i="31" s="1"/>
  <c r="H7" i="10"/>
  <c r="B13" i="13"/>
  <c r="B23" i="13" s="1"/>
  <c r="D6" i="9"/>
  <c r="D11" i="9" s="1"/>
  <c r="D17" i="9" s="1"/>
  <c r="E6" i="9"/>
  <c r="E11" i="9" s="1"/>
  <c r="E17" i="9" s="1"/>
  <c r="Q52" i="93"/>
  <c r="I60" i="93"/>
  <c r="I61" i="93" s="1"/>
  <c r="H60" i="93"/>
  <c r="H61" i="93" s="1"/>
  <c r="C26" i="17"/>
  <c r="G7" i="103"/>
  <c r="G10" i="103" s="1"/>
  <c r="G11" i="103" s="1"/>
  <c r="C30" i="17"/>
  <c r="C40" i="17" s="1"/>
  <c r="C42" i="17" s="1"/>
  <c r="C36" i="17"/>
  <c r="C37" i="17" s="1"/>
  <c r="F7" i="103"/>
  <c r="F17" i="10"/>
  <c r="E49" i="17" l="1"/>
  <c r="E54" i="17" s="1"/>
  <c r="E13" i="103" s="1"/>
  <c r="H38" i="17"/>
  <c r="D50" i="17"/>
  <c r="D53" i="17" s="1"/>
  <c r="D55" i="17" s="1"/>
  <c r="D31" i="31"/>
  <c r="E21" i="2"/>
  <c r="D12" i="31"/>
  <c r="D25" i="2"/>
  <c r="I48" i="17"/>
  <c r="I49" i="17" s="1"/>
  <c r="I53" i="17" s="1"/>
  <c r="I54" i="17" s="1"/>
  <c r="I50" i="17"/>
  <c r="D40" i="17"/>
  <c r="C12" i="82"/>
  <c r="E10" i="10"/>
  <c r="E17" i="10" s="1"/>
  <c r="H28" i="24"/>
  <c r="D14" i="24"/>
  <c r="E27" i="9"/>
  <c r="E30" i="9" s="1"/>
  <c r="E33" i="9"/>
  <c r="E34" i="9" s="1"/>
  <c r="H10" i="10"/>
  <c r="H20" i="17"/>
  <c r="F10" i="103"/>
  <c r="F11" i="103" s="1"/>
  <c r="G17" i="10"/>
  <c r="E31" i="31" l="1"/>
  <c r="F26" i="2"/>
  <c r="E9" i="101"/>
  <c r="E10" i="101" s="1"/>
  <c r="E12" i="101" s="1"/>
  <c r="F29" i="2" s="1"/>
  <c r="H50" i="17"/>
  <c r="J38" i="17"/>
  <c r="D7" i="101"/>
  <c r="D8" i="101"/>
  <c r="C15" i="88"/>
  <c r="E24" i="2"/>
  <c r="C10" i="82" s="1"/>
  <c r="I9" i="101"/>
  <c r="I10" i="101" s="1"/>
  <c r="I12" i="101" s="1"/>
  <c r="J29" i="2" s="1"/>
  <c r="I13" i="103"/>
  <c r="J26" i="2"/>
  <c r="H28" i="17"/>
  <c r="H30" i="17" s="1"/>
  <c r="H40" i="17" s="1"/>
  <c r="E28" i="17"/>
  <c r="E29" i="17" s="1"/>
  <c r="E26" i="17"/>
  <c r="I7" i="10"/>
  <c r="I20" i="17" s="1"/>
  <c r="F6" i="9"/>
  <c r="F11" i="9" s="1"/>
  <c r="F17" i="9" s="1"/>
  <c r="D30" i="24"/>
  <c r="E35" i="9"/>
  <c r="D26" i="2"/>
  <c r="C13" i="103"/>
  <c r="C14" i="103" s="1"/>
  <c r="E31" i="2" l="1"/>
  <c r="H31" i="31"/>
  <c r="C15" i="103"/>
  <c r="C17" i="103" s="1"/>
  <c r="C19" i="103" s="1"/>
  <c r="D27" i="2" s="1"/>
  <c r="D34" i="2" s="1"/>
  <c r="D40" i="2" s="1"/>
  <c r="D42" i="2" s="1"/>
  <c r="E14" i="103"/>
  <c r="D34" i="24"/>
  <c r="D39" i="24" s="1"/>
  <c r="E25" i="2" s="1"/>
  <c r="C25" i="88" s="1"/>
  <c r="I10" i="10"/>
  <c r="I17" i="10" s="1"/>
  <c r="F6" i="34"/>
  <c r="F8" i="34" s="1"/>
  <c r="I6" i="103" l="1"/>
  <c r="I14" i="103" s="1"/>
  <c r="I15" i="103" s="1"/>
  <c r="I17" i="103" s="1"/>
  <c r="I19" i="103" s="1"/>
  <c r="J27" i="2" s="1"/>
  <c r="J34" i="2" s="1"/>
  <c r="J40" i="2" s="1"/>
  <c r="E15" i="103"/>
  <c r="E17" i="103" s="1"/>
  <c r="E19" i="103" s="1"/>
  <c r="F27" i="2" s="1"/>
  <c r="F34" i="2" s="1"/>
  <c r="F40" i="2" s="1"/>
  <c r="F42" i="2" s="1"/>
  <c r="E40" i="17"/>
  <c r="E42" i="17" s="1"/>
  <c r="H6" i="9"/>
  <c r="H11" i="9" s="1"/>
  <c r="H17" i="9" s="1"/>
  <c r="I28" i="17"/>
  <c r="I29" i="17" s="1"/>
  <c r="I26" i="17"/>
  <c r="H6" i="31"/>
  <c r="I21" i="2" s="1"/>
  <c r="F13" i="34"/>
  <c r="H12" i="31" l="1"/>
  <c r="H7" i="101" s="1"/>
  <c r="I30" i="17"/>
  <c r="I36" i="17"/>
  <c r="I24" i="2"/>
  <c r="D15" i="88"/>
  <c r="I37" i="17" l="1"/>
  <c r="I40" i="17"/>
  <c r="I42" i="17" s="1"/>
  <c r="H8" i="101"/>
  <c r="K16" i="72"/>
  <c r="H16" i="72"/>
  <c r="E16" i="72"/>
  <c r="A15" i="50"/>
  <c r="A16" i="50" s="1"/>
  <c r="A17" i="50" s="1"/>
  <c r="A18" i="50" s="1"/>
  <c r="A19" i="50" s="1"/>
  <c r="A20" i="50" s="1"/>
  <c r="A8" i="100"/>
  <c r="A9" i="100" s="1"/>
  <c r="A10" i="100" s="1"/>
  <c r="A11" i="100" s="1"/>
  <c r="A12" i="100" s="1"/>
  <c r="A13" i="100" s="1"/>
  <c r="A14" i="100" s="1"/>
  <c r="A15" i="100" s="1"/>
  <c r="A16" i="100" s="1"/>
  <c r="A28" i="34"/>
  <c r="A29" i="34" s="1"/>
  <c r="A30" i="34" s="1"/>
  <c r="A31" i="34" s="1"/>
  <c r="A33" i="34" s="1"/>
  <c r="A24" i="24"/>
  <c r="A25" i="24" s="1"/>
  <c r="A26" i="24" s="1"/>
  <c r="A29" i="24" s="1"/>
  <c r="A30" i="24" s="1"/>
  <c r="A31" i="24" s="1"/>
  <c r="A9" i="12"/>
  <c r="A10" i="12" s="1"/>
  <c r="A13" i="12" s="1"/>
  <c r="A14" i="12" s="1"/>
  <c r="A17" i="12" s="1"/>
  <c r="A18" i="12" s="1"/>
  <c r="F8" i="11"/>
  <c r="E8" i="11"/>
  <c r="C8" i="11"/>
  <c r="A37" i="2"/>
  <c r="A38" i="2" s="1"/>
  <c r="A26" i="2"/>
  <c r="A27" i="2" s="1"/>
  <c r="A29" i="2" s="1"/>
  <c r="A30" i="2" s="1"/>
  <c r="A31" i="2" s="1"/>
  <c r="A1" i="13" l="1"/>
  <c r="A9" i="89" l="1"/>
  <c r="A10" i="89" s="1"/>
  <c r="A11" i="89" s="1"/>
  <c r="A12" i="89" s="1"/>
  <c r="A13" i="89" l="1"/>
  <c r="A14" i="89" s="1"/>
  <c r="A15" i="89" s="1"/>
  <c r="A16" i="89" s="1"/>
  <c r="A17" i="89" s="1"/>
  <c r="A18" i="89" s="1"/>
  <c r="A19" i="89" s="1"/>
  <c r="A20" i="89" s="1"/>
  <c r="A21" i="89" s="1"/>
  <c r="A22" i="89" s="1"/>
  <c r="A23" i="89" s="1"/>
  <c r="A24" i="89" s="1"/>
  <c r="A25" i="89" s="1"/>
  <c r="A26" i="89" s="1"/>
  <c r="A27" i="89" s="1"/>
  <c r="A28" i="89" s="1"/>
  <c r="A29" i="89" s="1"/>
  <c r="A30" i="89" s="1"/>
  <c r="A31" i="89" s="1"/>
  <c r="A33" i="89" l="1"/>
  <c r="A34" i="89" s="1"/>
  <c r="A35" i="89" s="1"/>
  <c r="A36" i="89" s="1"/>
  <c r="A37" i="89" s="1"/>
  <c r="A38" i="89" s="1"/>
  <c r="A39" i="89" s="1"/>
  <c r="A40" i="89" s="1"/>
  <c r="A41" i="89" s="1"/>
  <c r="A42" i="89" s="1"/>
  <c r="A43" i="89" s="1"/>
  <c r="A44" i="89" s="1"/>
  <c r="A5" i="89" l="1"/>
  <c r="G18" i="16" l="1"/>
  <c r="D18" i="16"/>
  <c r="B14" i="13"/>
  <c r="B18" i="13"/>
  <c r="E23" i="12" l="1"/>
  <c r="C23" i="12" l="1"/>
  <c r="D33" i="17" l="1"/>
  <c r="D41" i="17" s="1"/>
  <c r="D43" i="17" l="1"/>
  <c r="D54" i="17" s="1"/>
  <c r="D56" i="17" s="1"/>
  <c r="D9" i="101" s="1"/>
  <c r="D36" i="17"/>
  <c r="D13" i="103" l="1"/>
  <c r="E26" i="2"/>
  <c r="H39" i="17"/>
  <c r="D42" i="17"/>
  <c r="D37" i="17"/>
  <c r="D10" i="101"/>
  <c r="D12" i="101" s="1"/>
  <c r="J39" i="17" l="1"/>
  <c r="J51" i="17" s="1"/>
  <c r="C22" i="88"/>
  <c r="D14" i="103"/>
  <c r="C14" i="82"/>
  <c r="E29" i="2"/>
  <c r="C19" i="88" s="1"/>
  <c r="D15" i="103" l="1"/>
  <c r="D17" i="103" s="1"/>
  <c r="D19" i="103" s="1"/>
  <c r="E27" i="2" s="1"/>
  <c r="C23" i="88" s="1"/>
  <c r="C12" i="115"/>
  <c r="C14" i="115" s="1"/>
  <c r="H6" i="103"/>
  <c r="H46" i="17" l="1"/>
  <c r="H9" i="103" s="1"/>
  <c r="H24" i="24" s="1"/>
  <c r="H51" i="17" l="1"/>
  <c r="H53" i="17" s="1"/>
  <c r="H48" i="17"/>
  <c r="J21" i="17"/>
  <c r="J31" i="17" s="1"/>
  <c r="H55" i="17" l="1"/>
  <c r="G23" i="12"/>
  <c r="J44" i="17"/>
  <c r="H49" i="17"/>
  <c r="D17" i="13"/>
  <c r="J6" i="47"/>
  <c r="J15" i="47" s="1"/>
  <c r="J22" i="17"/>
  <c r="J33" i="17" s="1"/>
  <c r="J41" i="17" s="1"/>
  <c r="J12" i="10"/>
  <c r="J7" i="103" l="1"/>
  <c r="J10" i="103" s="1"/>
  <c r="J50" i="17"/>
  <c r="J48" i="17"/>
  <c r="J49" i="17" s="1"/>
  <c r="J32" i="17"/>
  <c r="J15" i="10" s="1"/>
  <c r="J22" i="24" s="1"/>
  <c r="J25" i="24" s="1"/>
  <c r="D13" i="13"/>
  <c r="D18" i="13"/>
  <c r="J27" i="24" l="1"/>
  <c r="H14" i="24" s="1"/>
  <c r="J53" i="17"/>
  <c r="J55" i="17" s="1"/>
  <c r="D23" i="13"/>
  <c r="D14" i="13"/>
  <c r="I23" i="12" l="1"/>
  <c r="H23" i="12" s="1"/>
  <c r="I8" i="19"/>
  <c r="H6" i="96" l="1"/>
  <c r="F6" i="96"/>
  <c r="D7" i="82"/>
  <c r="I10" i="19"/>
  <c r="F14" i="24" l="1"/>
  <c r="H29" i="24"/>
  <c r="J28" i="24" l="1"/>
  <c r="J29" i="24" s="1"/>
  <c r="J30" i="24" s="1"/>
  <c r="J34" i="24" s="1"/>
  <c r="J39" i="24" s="1"/>
  <c r="K25" i="2" s="1"/>
  <c r="E25" i="88" s="1"/>
  <c r="H30" i="24"/>
  <c r="H34" i="24" s="1"/>
  <c r="H39" i="24" s="1"/>
  <c r="I25" i="2" s="1"/>
  <c r="D25" i="88" s="1"/>
  <c r="D7" i="88" l="1"/>
  <c r="H12" i="58"/>
  <c r="H18" i="58" s="1"/>
  <c r="I15" i="2" s="1"/>
  <c r="D8" i="88"/>
  <c r="I17" i="2" l="1"/>
  <c r="H30" i="4" s="1"/>
  <c r="D10" i="82"/>
  <c r="H22" i="4"/>
  <c r="D12" i="82"/>
  <c r="D20" i="82"/>
  <c r="I11" i="19" l="1"/>
  <c r="F9" i="96" s="1"/>
  <c r="H6" i="47" l="1"/>
  <c r="H15" i="47" s="1"/>
  <c r="H22" i="17"/>
  <c r="H33" i="17" s="1"/>
  <c r="C17" i="13"/>
  <c r="C13" i="13" s="1"/>
  <c r="C23" i="13" s="1"/>
  <c r="H12" i="10"/>
  <c r="H21" i="17" l="1"/>
  <c r="H17" i="10"/>
  <c r="J7" i="10" l="1"/>
  <c r="G6" i="9"/>
  <c r="G11" i="9" s="1"/>
  <c r="G17" i="9" s="1"/>
  <c r="H31" i="17"/>
  <c r="H26" i="17"/>
  <c r="H7" i="103"/>
  <c r="H10" i="103" s="1"/>
  <c r="H43" i="17" l="1"/>
  <c r="H54" i="17" s="1"/>
  <c r="H41" i="17"/>
  <c r="H42" i="17" s="1"/>
  <c r="H32" i="17"/>
  <c r="H15" i="10" s="1"/>
  <c r="H22" i="24" s="1"/>
  <c r="H25" i="24" s="1"/>
  <c r="J20" i="17"/>
  <c r="J10" i="10"/>
  <c r="J17" i="10" s="1"/>
  <c r="I6" i="9" s="1"/>
  <c r="I11" i="9" s="1"/>
  <c r="I17" i="9" s="1"/>
  <c r="G27" i="9"/>
  <c r="G30" i="9" s="1"/>
  <c r="G33" i="9"/>
  <c r="G34" i="9" s="1"/>
  <c r="H36" i="17" l="1"/>
  <c r="H37" i="17" s="1"/>
  <c r="G35" i="9"/>
  <c r="I30" i="9"/>
  <c r="I34" i="9"/>
  <c r="J26" i="17"/>
  <c r="J28" i="17"/>
  <c r="H56" i="17"/>
  <c r="H9" i="101"/>
  <c r="I35" i="9" l="1"/>
  <c r="J29" i="17"/>
  <c r="J30" i="17" s="1"/>
  <c r="I26" i="2"/>
  <c r="D22" i="88" s="1"/>
  <c r="H13" i="103"/>
  <c r="H14" i="103" s="1"/>
  <c r="D14" i="115" s="1"/>
  <c r="E7" i="82"/>
  <c r="J36" i="17" l="1"/>
  <c r="J37" i="17" s="1"/>
  <c r="J6" i="103"/>
  <c r="H15" i="103"/>
  <c r="H17" i="103" s="1"/>
  <c r="H19" i="103" s="1"/>
  <c r="I27" i="2" s="1"/>
  <c r="D23" i="88" s="1"/>
  <c r="J40" i="17"/>
  <c r="J42" i="17" s="1"/>
  <c r="J43" i="17"/>
  <c r="J54" i="17" s="1"/>
  <c r="H6" i="34"/>
  <c r="H8" i="34" s="1"/>
  <c r="H13" i="34" s="1"/>
  <c r="J6" i="31" s="1"/>
  <c r="J56" i="17" l="1"/>
  <c r="J9" i="101"/>
  <c r="J12" i="31"/>
  <c r="K21" i="2"/>
  <c r="K24" i="2" l="1"/>
  <c r="E15" i="88"/>
  <c r="J8" i="101"/>
  <c r="J7" i="101"/>
  <c r="J13" i="103"/>
  <c r="J14" i="103" s="1"/>
  <c r="J15" i="103" s="1"/>
  <c r="J17" i="103" s="1"/>
  <c r="J19" i="103" s="1"/>
  <c r="K27" i="2" s="1"/>
  <c r="E23" i="88" s="1"/>
  <c r="K26" i="2"/>
  <c r="E22" i="88" s="1"/>
  <c r="D17" i="116" l="1"/>
  <c r="E52" i="116" l="1"/>
  <c r="D18" i="116"/>
  <c r="D20" i="116" s="1"/>
  <c r="D22" i="116" s="1"/>
  <c r="D8" i="96"/>
  <c r="E8" i="96" l="1"/>
  <c r="C8" i="96"/>
  <c r="E17" i="116" l="1"/>
  <c r="F52" i="116" s="1"/>
  <c r="D6" i="96" l="1"/>
  <c r="D11" i="96" l="1"/>
  <c r="G5" i="96" s="1"/>
  <c r="E8" i="19"/>
  <c r="E6" i="96" s="1"/>
  <c r="E11" i="96" s="1"/>
  <c r="H5" i="96" s="1"/>
  <c r="E12" i="19" l="1"/>
  <c r="I6" i="19" s="1"/>
  <c r="I12" i="19" s="1"/>
  <c r="K6" i="19" s="1"/>
  <c r="K12" i="19" s="1"/>
  <c r="C7" i="82"/>
  <c r="C6" i="96"/>
  <c r="C11" i="96" s="1"/>
  <c r="F5" i="96" s="1"/>
  <c r="G8" i="96"/>
  <c r="G11" i="96" s="1"/>
  <c r="J5" i="96" s="1"/>
  <c r="J11" i="96" s="1"/>
  <c r="H8" i="96" l="1"/>
  <c r="H11" i="96" s="1"/>
  <c r="K5" i="96" s="1"/>
  <c r="K11" i="96" s="1"/>
  <c r="F8" i="96"/>
  <c r="F11" i="96" s="1"/>
  <c r="I5" i="96" s="1"/>
  <c r="I11" i="96" s="1"/>
  <c r="D6" i="109"/>
  <c r="D7" i="109"/>
  <c r="D8" i="109"/>
  <c r="D9" i="109"/>
  <c r="D10" i="109"/>
  <c r="D11" i="109"/>
  <c r="D17" i="109"/>
  <c r="D20" i="109"/>
  <c r="K15" i="2"/>
  <c r="K17" i="2"/>
  <c r="I29" i="2"/>
  <c r="K29" i="2"/>
  <c r="E32" i="2"/>
  <c r="E34" i="2"/>
  <c r="I34" i="2"/>
  <c r="K34" i="2"/>
  <c r="I37" i="2"/>
  <c r="K37" i="2"/>
  <c r="I39" i="2"/>
  <c r="K39" i="2"/>
  <c r="E40" i="2"/>
  <c r="I40" i="2"/>
  <c r="K40" i="2"/>
  <c r="E42" i="2"/>
  <c r="I42" i="2"/>
  <c r="K44" i="2"/>
  <c r="K58" i="2"/>
  <c r="H19" i="100"/>
  <c r="J19" i="100"/>
  <c r="L19" i="100"/>
  <c r="H20" i="100"/>
  <c r="J20" i="100"/>
  <c r="L20" i="100"/>
  <c r="H21" i="100"/>
  <c r="J21" i="100"/>
  <c r="H6" i="101"/>
  <c r="J6" i="101"/>
  <c r="H10" i="101"/>
  <c r="J10" i="101"/>
  <c r="H12" i="101"/>
  <c r="J12" i="101"/>
  <c r="J22" i="4"/>
  <c r="J30" i="4"/>
  <c r="J7" i="58"/>
  <c r="J8" i="58"/>
  <c r="J12" i="58"/>
  <c r="J18" i="58"/>
  <c r="C24" i="58"/>
  <c r="C25" i="58"/>
  <c r="C29" i="58"/>
  <c r="C31" i="58"/>
  <c r="C33" i="58"/>
  <c r="C34" i="58"/>
  <c r="D22" i="94"/>
  <c r="D23" i="94"/>
  <c r="D29" i="94"/>
  <c r="D30" i="94"/>
  <c r="C8" i="82"/>
  <c r="D8" i="82"/>
  <c r="E8" i="82"/>
  <c r="C9" i="82"/>
  <c r="D9" i="82"/>
  <c r="E9" i="82"/>
  <c r="E10" i="82"/>
  <c r="E12" i="82"/>
  <c r="D14" i="82"/>
  <c r="E14" i="82"/>
  <c r="E20" i="82"/>
  <c r="E7" i="88"/>
  <c r="E8" i="88"/>
  <c r="D12" i="88"/>
  <c r="E12" i="88"/>
  <c r="D13" i="88"/>
  <c r="E13" i="88"/>
  <c r="D19" i="88"/>
  <c r="E19" i="88"/>
  <c r="C20" i="88"/>
  <c r="C26" i="88"/>
  <c r="D26" i="88"/>
  <c r="E26" i="88"/>
  <c r="C28" i="88"/>
  <c r="D28" i="88"/>
</calcChain>
</file>

<file path=xl/comments1.xml><?xml version="1.0" encoding="utf-8"?>
<comments xmlns="http://schemas.openxmlformats.org/spreadsheetml/2006/main">
  <authors>
    <author>palaniappan</author>
  </authors>
  <commentList>
    <comment ref="G5" authorId="0" shapeId="0">
      <text>
        <r>
          <rPr>
            <b/>
            <sz val="9"/>
            <color indexed="81"/>
            <rFont val="Tahoma"/>
            <family val="2"/>
          </rPr>
          <t>palaniappan:</t>
        </r>
        <r>
          <rPr>
            <sz val="9"/>
            <color indexed="81"/>
            <rFont val="Tahoma"/>
            <family val="2"/>
          </rPr>
          <t xml:space="preserve">
this column will have to be filled</t>
        </r>
      </text>
    </comment>
  </commentList>
</comments>
</file>

<file path=xl/comments10.xml><?xml version="1.0" encoding="utf-8"?>
<comments xmlns="http://schemas.openxmlformats.org/spreadsheetml/2006/main">
  <authors>
    <author>ABPS</author>
  </authors>
  <commentList>
    <comment ref="D51" authorId="0" shapeId="0">
      <text>
        <r>
          <rPr>
            <b/>
            <sz val="9"/>
            <color indexed="81"/>
            <rFont val="Tahoma"/>
            <family val="2"/>
          </rPr>
          <t>ABPS:</t>
        </r>
        <r>
          <rPr>
            <sz val="9"/>
            <color indexed="81"/>
            <rFont val="Tahoma"/>
            <family val="2"/>
          </rPr>
          <t xml:space="preserve">
As per Accounts</t>
        </r>
      </text>
    </comment>
  </commentList>
</comments>
</file>

<file path=xl/comments11.xml><?xml version="1.0" encoding="utf-8"?>
<comments xmlns="http://schemas.openxmlformats.org/spreadsheetml/2006/main">
  <authors>
    <author>tc={4FFE7A21-72FF-4FE1-B9D8-2FD04E986FE9}</author>
    <author>tc={4FFE7A21-72FF-4FE2-B9D8-2FD04E986FE9}</author>
  </authors>
  <commentList>
    <comment ref="H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SBI MCLR rate 8.55% as on 1.04.2019 plus 150 basis points</t>
        </r>
      </text>
    </comment>
    <comment ref="J1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SBI MCLR rate 8.55% as on 1.04.2019 plus 150 basis points</t>
        </r>
      </text>
    </comment>
  </commentList>
</comments>
</file>

<file path=xl/comments12.xml><?xml version="1.0" encoding="utf-8"?>
<comments xmlns="http://schemas.openxmlformats.org/spreadsheetml/2006/main">
  <authors>
    <author>ABPS</author>
  </authors>
  <commentList>
    <comment ref="D6" authorId="0" shapeId="0">
      <text>
        <r>
          <rPr>
            <b/>
            <sz val="9"/>
            <color indexed="81"/>
            <rFont val="Tahoma"/>
            <family val="2"/>
          </rPr>
          <t>ABPS:</t>
        </r>
        <r>
          <rPr>
            <sz val="9"/>
            <color indexed="81"/>
            <rFont val="Tahoma"/>
            <family val="2"/>
          </rPr>
          <t xml:space="preserve">
As per TO 20-21</t>
        </r>
      </text>
    </comment>
  </commentList>
</comments>
</file>

<file path=xl/comments2.xml><?xml version="1.0" encoding="utf-8"?>
<comments xmlns="http://schemas.openxmlformats.org/spreadsheetml/2006/main">
  <authors>
    <author>tc={1A2EC9FD-C30D-4A1F-A9BF-4CCDCB85D113}</author>
    <author>ABPS</author>
    <author>tc={ABCBDCDC-889B-444E-92B8-FF666C8D614A}</author>
    <author>tc={2FF332D5-38C4-42F8-AE54-4E0E850700AE}</author>
  </authors>
  <commentList>
    <comment ref="D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Tariff Order FY 2018-19 Pg. 112</t>
        </r>
      </text>
    </comment>
    <comment ref="E6" authorId="1" shapeId="0">
      <text>
        <r>
          <rPr>
            <b/>
            <sz val="9"/>
            <color indexed="81"/>
            <rFont val="Tahoma"/>
            <family val="2"/>
          </rPr>
          <t>ABPS:</t>
        </r>
        <r>
          <rPr>
            <sz val="9"/>
            <color indexed="81"/>
            <rFont val="Tahoma"/>
            <family val="2"/>
          </rPr>
          <t xml:space="preserve">
Approved as last Tariff Order</t>
        </r>
      </text>
    </comment>
    <comment ref="F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Tariff Order for FY 2019-20 Pg. 118</t>
        </r>
      </text>
    </comment>
    <comment ref="J10"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MYT Order for FY 2020-21 Pg. 115</t>
        </r>
      </text>
    </comment>
    <comment ref="E11" authorId="1" shapeId="0">
      <text>
        <r>
          <rPr>
            <b/>
            <sz val="9"/>
            <color indexed="81"/>
            <rFont val="Tahoma"/>
            <family val="2"/>
          </rPr>
          <t>ABPS:</t>
        </r>
        <r>
          <rPr>
            <sz val="9"/>
            <color indexed="81"/>
            <rFont val="Tahoma"/>
            <family val="2"/>
          </rPr>
          <t xml:space="preserve">
IDC as provided by accounts</t>
        </r>
      </text>
    </comment>
  </commentList>
</comments>
</file>

<file path=xl/comments3.xml><?xml version="1.0" encoding="utf-8"?>
<comments xmlns="http://schemas.openxmlformats.org/spreadsheetml/2006/main">
  <authors>
    <author>tc={8F8C0D63-1490-4A3B-90A2-A3730834F9FC}</author>
    <author>tc={816A81D9-8565-4397-B0D9-C5711CF2DA82}</author>
    <author>tc={8F8C0D63-1490-4A3C-90A2-A3730834F9FC}</author>
    <author>tc={43BCB957-4C1B-4DC4-A6FB-C09BD63B425F}</author>
    <author>tc={B0ABE639-24B1-40EF-A8AC-6B03E8A9EF05}</author>
  </authors>
  <commentList>
    <comment ref="C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MYT Order 19-20 Pg. 121</t>
        </r>
      </text>
    </comment>
    <comment ref="D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Closing of True-up of FY 2018-19 Pg. 48 (table 4.10) of Tariff Order</t>
        </r>
      </text>
    </comment>
    <comment ref="E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MYT Order 19-20 Pg. 121</t>
        </r>
      </text>
    </comment>
    <comment ref="E1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MYT Order Pg. 121</t>
        </r>
      </text>
    </comment>
    <comment ref="I1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MYT Order Pg. 121</t>
        </r>
      </text>
    </comment>
  </commentList>
</comments>
</file>

<file path=xl/comments4.xml><?xml version="1.0" encoding="utf-8"?>
<comments xmlns="http://schemas.openxmlformats.org/spreadsheetml/2006/main">
  <authors>
    <author>tc={121CF1E6-316C-4605-A35E-AACC6F766E5A}</author>
    <author>tc={D7353A56-4418-4044-A771-F72F82432D21}</author>
    <author>tc={F2B94E08-E7B9-4482-A424-8105541B0D1A}</author>
    <author>ABPS</author>
    <author>tc={150856DE-8F98-4C71-82B5-50F02A8A5806}</author>
    <author>tc={150856DE-8F98-4C72-82B5-50F02A8A5806}</author>
  </authors>
  <commentList>
    <comment ref="J3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in proportion to approved land cost for 20-21</t>
        </r>
      </text>
    </comment>
    <comment ref="I4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MYT Order Pg. 122</t>
        </r>
      </text>
    </comment>
    <comment ref="D4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closing balance of FY 2018-19 in True-up Table 4.12</t>
        </r>
      </text>
    </comment>
    <comment ref="D45" authorId="3" shapeId="0">
      <text>
        <r>
          <rPr>
            <b/>
            <sz val="11"/>
            <color indexed="81"/>
            <rFont val="Tahoma"/>
            <family val="2"/>
          </rPr>
          <t>ABPS:</t>
        </r>
        <r>
          <rPr>
            <sz val="11"/>
            <color indexed="81"/>
            <rFont val="Tahoma"/>
            <family val="2"/>
          </rPr>
          <t xml:space="preserve">
PSDF capitalisation considered as grant</t>
        </r>
      </text>
    </comment>
    <comment ref="H5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same as above</t>
        </r>
      </text>
    </comment>
    <comment ref="J52"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same as above</t>
        </r>
      </text>
    </comment>
  </commentList>
</comments>
</file>

<file path=xl/comments5.xml><?xml version="1.0" encoding="utf-8"?>
<comments xmlns="http://schemas.openxmlformats.org/spreadsheetml/2006/main">
  <authors>
    <author>tc={02A5D656-BECE-4A07-86EC-A1742F241313}</author>
    <author>tc={DD4EDC5D-70D9-4BEE-A34A-34DDA9F73DA8}</author>
    <author>tc={34BAC914-74FD-4DE2-904E-7E4EC29A9E31}</author>
    <author>tc={1C0FE782-960D-4237-8455-21874FBB1E5A}</author>
  </authors>
  <commentList>
    <comment ref="D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closing balance of FY 2017-18 in True-up Order Pg.28</t>
        </r>
      </text>
    </comment>
    <comment ref="D1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per accounts</t>
        </r>
      </text>
    </comment>
    <comment ref="H1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same as per accounts of FY 2018-19</t>
        </r>
      </text>
    </comment>
    <comment ref="J1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same as per accounts of 18-19</t>
        </r>
      </text>
    </comment>
  </commentList>
</comments>
</file>

<file path=xl/comments6.xml><?xml version="1.0" encoding="utf-8"?>
<comments xmlns="http://schemas.openxmlformats.org/spreadsheetml/2006/main">
  <authors>
    <author>ABPS</author>
    <author>tc={3145D17E-E2B4-4D6D-AA2B-BEE2D5E0CA5B}</author>
    <author>tc={87315FBE-C470-443E-AA54-1B28EE033F56}</author>
    <author>tc={87315FBE-C470-443F-AA54-1B28EE033F56}</author>
  </authors>
  <commentList>
    <comment ref="C26" authorId="0" shapeId="0">
      <text>
        <r>
          <rPr>
            <b/>
            <sz val="9"/>
            <color indexed="81"/>
            <rFont val="Tahoma"/>
            <family val="2"/>
          </rPr>
          <t>ABPS:</t>
        </r>
        <r>
          <rPr>
            <sz val="9"/>
            <color indexed="81"/>
            <rFont val="Tahoma"/>
            <family val="2"/>
          </rPr>
          <t xml:space="preserve">
Pg 135 of MYT order</t>
        </r>
      </text>
    </comment>
    <comment ref="D2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from closing balance of FY 2018-19 True up Order</t>
        </r>
      </text>
    </comment>
    <comment ref="D31" authorId="0" shapeId="0">
      <text>
        <r>
          <rPr>
            <b/>
            <sz val="9"/>
            <color indexed="81"/>
            <rFont val="Tahoma"/>
            <family val="2"/>
          </rPr>
          <t>ABPS:</t>
        </r>
        <r>
          <rPr>
            <sz val="9"/>
            <color indexed="81"/>
            <rFont val="Tahoma"/>
            <family val="2"/>
          </rPr>
          <t xml:space="preserve">
</t>
        </r>
      </text>
    </comment>
    <comment ref="D3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 Rate considered as discussed</t>
        </r>
      </text>
    </comment>
    <comment ref="H3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MAT Rate considered as discussed</t>
        </r>
      </text>
    </comment>
    <comment ref="D36" authorId="0" shapeId="0">
      <text>
        <r>
          <rPr>
            <b/>
            <sz val="9"/>
            <color indexed="81"/>
            <rFont val="Tahoma"/>
            <family val="2"/>
          </rPr>
          <t>ABPS:</t>
        </r>
        <r>
          <rPr>
            <sz val="9"/>
            <color indexed="81"/>
            <rFont val="Tahoma"/>
            <family val="2"/>
          </rPr>
          <t xml:space="preserve">
</t>
        </r>
      </text>
    </comment>
  </commentList>
</comments>
</file>

<file path=xl/comments7.xml><?xml version="1.0" encoding="utf-8"?>
<comments xmlns="http://schemas.openxmlformats.org/spreadsheetml/2006/main">
  <authors>
    <author>ABPS</author>
    <author>palaniappan</author>
  </authors>
  <commentList>
    <comment ref="D9" authorId="0" shapeId="0">
      <text>
        <r>
          <rPr>
            <b/>
            <sz val="9"/>
            <color indexed="81"/>
            <rFont val="Tahoma"/>
            <family val="2"/>
          </rPr>
          <t>ABPS:</t>
        </r>
        <r>
          <rPr>
            <sz val="9"/>
            <color indexed="81"/>
            <rFont val="Tahoma"/>
            <family val="2"/>
          </rPr>
          <t xml:space="preserve">
As per accounts</t>
        </r>
      </text>
    </comment>
    <comment ref="H9" authorId="0" shapeId="0">
      <text>
        <r>
          <rPr>
            <b/>
            <sz val="9"/>
            <color indexed="81"/>
            <rFont val="Tahoma"/>
            <family val="2"/>
          </rPr>
          <t>ABPS:</t>
        </r>
        <r>
          <rPr>
            <sz val="9"/>
            <color indexed="81"/>
            <rFont val="Tahoma"/>
            <family val="2"/>
          </rPr>
          <t xml:space="preserve">
Considered same as Previous Year</t>
        </r>
      </text>
    </comment>
    <comment ref="J9" authorId="1" shapeId="0">
      <text>
        <r>
          <rPr>
            <b/>
            <sz val="9"/>
            <color indexed="81"/>
            <rFont val="Tahoma"/>
            <family val="2"/>
          </rPr>
          <t>palaniappan:</t>
        </r>
        <r>
          <rPr>
            <sz val="9"/>
            <color indexed="81"/>
            <rFont val="Tahoma"/>
            <family val="2"/>
          </rPr>
          <t xml:space="preserve">
assumed same level as FY20</t>
        </r>
      </text>
    </comment>
    <comment ref="D19" authorId="0" shapeId="0">
      <text>
        <r>
          <rPr>
            <b/>
            <sz val="9"/>
            <color indexed="81"/>
            <rFont val="Tahoma"/>
            <family val="2"/>
          </rPr>
          <t>ABPS:</t>
        </r>
        <r>
          <rPr>
            <sz val="9"/>
            <color indexed="81"/>
            <rFont val="Tahoma"/>
            <family val="2"/>
          </rPr>
          <t xml:space="preserve">
Same as approved in TUP of 2018-19</t>
        </r>
      </text>
    </comment>
    <comment ref="H19" authorId="0" shapeId="0">
      <text>
        <r>
          <rPr>
            <b/>
            <sz val="9"/>
            <color indexed="81"/>
            <rFont val="Tahoma"/>
            <family val="2"/>
          </rPr>
          <t>ABPS:</t>
        </r>
        <r>
          <rPr>
            <sz val="9"/>
            <color indexed="81"/>
            <rFont val="Tahoma"/>
            <family val="2"/>
          </rPr>
          <t xml:space="preserve">
Considered same as Previous Year</t>
        </r>
      </text>
    </comment>
    <comment ref="J19" authorId="1" shapeId="0">
      <text>
        <r>
          <rPr>
            <b/>
            <sz val="9"/>
            <color indexed="81"/>
            <rFont val="Tahoma"/>
            <family val="2"/>
          </rPr>
          <t>palaniappan:</t>
        </r>
        <r>
          <rPr>
            <sz val="9"/>
            <color indexed="81"/>
            <rFont val="Tahoma"/>
            <family val="2"/>
          </rPr>
          <t xml:space="preserve">
assumed same level as FY20</t>
        </r>
      </text>
    </comment>
  </commentList>
</comments>
</file>

<file path=xl/comments8.xml><?xml version="1.0" encoding="utf-8"?>
<comments xmlns="http://schemas.openxmlformats.org/spreadsheetml/2006/main">
  <authors>
    <author>ABPS</author>
  </authors>
  <commentList>
    <comment ref="E23" authorId="0" shapeId="0">
      <text>
        <r>
          <rPr>
            <b/>
            <sz val="9"/>
            <color indexed="81"/>
            <rFont val="Tahoma"/>
            <family val="2"/>
          </rPr>
          <t>ABPS:</t>
        </r>
        <r>
          <rPr>
            <sz val="9"/>
            <color indexed="81"/>
            <rFont val="Tahoma"/>
            <family val="2"/>
          </rPr>
          <t xml:space="preserve">
As per accounts</t>
        </r>
      </text>
    </comment>
    <comment ref="E25" authorId="0" shapeId="0">
      <text>
        <r>
          <rPr>
            <b/>
            <sz val="9"/>
            <color indexed="81"/>
            <rFont val="Tahoma"/>
            <family val="2"/>
          </rPr>
          <t>ABPS:</t>
        </r>
        <r>
          <rPr>
            <sz val="9"/>
            <color indexed="81"/>
            <rFont val="Tahoma"/>
            <family val="2"/>
          </rPr>
          <t xml:space="preserve">
As per accounts</t>
        </r>
      </text>
    </comment>
  </commentList>
</comments>
</file>

<file path=xl/comments9.xml><?xml version="1.0" encoding="utf-8"?>
<comments xmlns="http://schemas.openxmlformats.org/spreadsheetml/2006/main">
  <authors>
    <author>ABPS</author>
  </authors>
  <commentList>
    <comment ref="F6" authorId="0" shapeId="0">
      <text>
        <r>
          <rPr>
            <b/>
            <sz val="9"/>
            <color indexed="81"/>
            <rFont val="Tahoma"/>
            <family val="2"/>
          </rPr>
          <t>ABPS:</t>
        </r>
        <r>
          <rPr>
            <sz val="9"/>
            <color indexed="81"/>
            <rFont val="Tahoma"/>
            <family val="2"/>
          </rPr>
          <t xml:space="preserve">
Average Till march 20 
http://labourbureau.gov.in/LBO_Press_Release.htm</t>
        </r>
      </text>
    </comment>
    <comment ref="F8" authorId="0" shapeId="0">
      <text>
        <r>
          <rPr>
            <b/>
            <sz val="9"/>
            <color indexed="81"/>
            <rFont val="Tahoma"/>
            <family val="2"/>
          </rPr>
          <t>ABPS:</t>
        </r>
        <r>
          <rPr>
            <sz val="9"/>
            <color indexed="81"/>
            <rFont val="Tahoma"/>
            <family val="2"/>
          </rPr>
          <t xml:space="preserve">
Average till Mar 2020
https://eaindustry.nic.in/display_data_201112.asp</t>
        </r>
      </text>
    </comment>
  </commentList>
</comments>
</file>

<file path=xl/sharedStrings.xml><?xml version="1.0" encoding="utf-8"?>
<sst xmlns="http://schemas.openxmlformats.org/spreadsheetml/2006/main" count="7119" uniqueCount="2602">
  <si>
    <t>Name of Company:</t>
  </si>
  <si>
    <t>Name of the Project:</t>
  </si>
  <si>
    <t>Name of the Transmission Element:</t>
  </si>
  <si>
    <t xml:space="preserve">INDEX OF FORMATS </t>
  </si>
  <si>
    <t>PARTICULARS</t>
  </si>
  <si>
    <t>Form</t>
  </si>
  <si>
    <t>Annual Revenue Requirement Summary</t>
  </si>
  <si>
    <t>Projection of Sales, Connected Load and Demand</t>
  </si>
  <si>
    <t>Details of Transmission Lines and Substations</t>
  </si>
  <si>
    <t>Statement of Assets not in Use</t>
  </si>
  <si>
    <t>Normative Parameters Considered for Tariff Computations</t>
  </si>
  <si>
    <t>Abstract of admitted Capital Cost for the existing Project</t>
  </si>
  <si>
    <t>Details of Foreign Loans</t>
  </si>
  <si>
    <t>Details of Foreign Equity</t>
  </si>
  <si>
    <t>Capital Cost Estimates and Schedule of Commissioning for New projects</t>
  </si>
  <si>
    <t>Break-up of Project Cost for Transmission System</t>
  </si>
  <si>
    <t>Break-up of Construction/ Supply/ Service packages</t>
  </si>
  <si>
    <t>Draw Down Schedule for Calculation of IDC &amp; Financing Charges</t>
  </si>
  <si>
    <t>Financial Package Upto CoD</t>
  </si>
  <si>
    <t>Details of Project Specific Loans</t>
  </si>
  <si>
    <t>Details of Allocation of corporate loans to various transmission projects</t>
  </si>
  <si>
    <t>Statement of Additional Capitalisation after COD</t>
  </si>
  <si>
    <t>Financing of Additional Capitalisation</t>
  </si>
  <si>
    <t>Statement of Capital Cost</t>
  </si>
  <si>
    <t>Statement of Capital Works in Progress</t>
  </si>
  <si>
    <t>R&amp;M Expenses</t>
  </si>
  <si>
    <t>Employee Expenses</t>
  </si>
  <si>
    <t>Employee Strength</t>
  </si>
  <si>
    <t>Administration &amp; General Expenses</t>
  </si>
  <si>
    <t>Fixed Assets and Depreciation</t>
  </si>
  <si>
    <t>Consumer contributions and grants towards cost of capital assets</t>
  </si>
  <si>
    <t xml:space="preserve">Interest and Finance Charges </t>
  </si>
  <si>
    <t>Statement of Equity</t>
  </si>
  <si>
    <t>Working Capital Requirements</t>
  </si>
  <si>
    <t>Details of Non-tariff Income</t>
  </si>
  <si>
    <t>Details of Income from Other Business</t>
  </si>
  <si>
    <t>Details of Expenses Capitalised</t>
  </si>
  <si>
    <t>Income Tax Provisions</t>
  </si>
  <si>
    <t>Instructions for the Applicant</t>
  </si>
  <si>
    <t>1)</t>
  </si>
  <si>
    <t>Electronic copy in the form of CD/ Floppy Disc shall also be furnished</t>
  </si>
  <si>
    <t>2)</t>
  </si>
  <si>
    <t>These formats are indicative in nature and the utility may align the line items to its chart of accounts</t>
  </si>
  <si>
    <t>Regulation Ref.</t>
  </si>
  <si>
    <t>S.No</t>
  </si>
  <si>
    <t>Format</t>
  </si>
  <si>
    <t>No.</t>
  </si>
  <si>
    <t>Name of Transmission Licensee</t>
  </si>
  <si>
    <t>Particulars</t>
  </si>
  <si>
    <t>I.</t>
  </si>
  <si>
    <t>Energy Available (MU)</t>
  </si>
  <si>
    <t>II.</t>
  </si>
  <si>
    <t>Energy Transmitted/Wheeled (MU)</t>
  </si>
  <si>
    <t>III.</t>
  </si>
  <si>
    <t>Loss %</t>
  </si>
  <si>
    <t>IV.</t>
  </si>
  <si>
    <t>Transmission Cost per unit (Rs/U)</t>
  </si>
  <si>
    <t>V</t>
  </si>
  <si>
    <t>Total Transmission System Capacity (in MW)</t>
  </si>
  <si>
    <t>VI.</t>
  </si>
  <si>
    <t>Transmission Cost per MW</t>
  </si>
  <si>
    <t>VII.</t>
  </si>
  <si>
    <t>Max Demand handled by the transmission system  (in MW)</t>
  </si>
  <si>
    <t>Receipts</t>
  </si>
  <si>
    <t>a</t>
  </si>
  <si>
    <t>b</t>
  </si>
  <si>
    <t>c</t>
  </si>
  <si>
    <t xml:space="preserve">Subsidy from Govt. (If any) </t>
  </si>
  <si>
    <t>Total</t>
  </si>
  <si>
    <t>Expenditure</t>
  </si>
  <si>
    <t>R&amp;M Expense</t>
  </si>
  <si>
    <t>A&amp;G Expense</t>
  </si>
  <si>
    <t>Depreciation</t>
  </si>
  <si>
    <t>f</t>
  </si>
  <si>
    <t>g</t>
  </si>
  <si>
    <t>Extraordinary Items</t>
  </si>
  <si>
    <t>Operations  &amp; Maintenance Cost</t>
  </si>
  <si>
    <t>Alloted Transmission Capacity  of  Long Term Transmission Customers ( CL)</t>
  </si>
  <si>
    <t xml:space="preserve">Charges to be paid by Long Term Transmission Customers/month </t>
  </si>
  <si>
    <t>Actual Cash Expenditure</t>
  </si>
  <si>
    <t>Reconciliation of Capital Cost with Gross Block</t>
  </si>
  <si>
    <t>Reconciliation of Capital WIP with Financial Accounts</t>
  </si>
  <si>
    <t>Reconcilation of Capital Liabilties with Finacial Accounts</t>
  </si>
  <si>
    <t>Retirement Pattern</t>
  </si>
  <si>
    <t>Calculation of Weighted Average Rate of Interest on Actual Loans</t>
  </si>
  <si>
    <t>Calculation of Interest on Normative Loan</t>
  </si>
  <si>
    <t>Calculation of Depreciation Rate</t>
  </si>
  <si>
    <t>Statement of Depreciation</t>
  </si>
  <si>
    <t>Return on Equity</t>
  </si>
  <si>
    <t xml:space="preserve">Domestic loans,bonds and financial leasing </t>
  </si>
  <si>
    <t>Net Prior Period Expenses/Income</t>
  </si>
  <si>
    <t>Investments</t>
  </si>
  <si>
    <t>Current Assets and Liabilities</t>
  </si>
  <si>
    <t>Other Debits</t>
  </si>
  <si>
    <t>New</t>
  </si>
  <si>
    <t>UPERC</t>
  </si>
  <si>
    <t>DERC</t>
  </si>
  <si>
    <t>CERC/DERC</t>
  </si>
  <si>
    <t>CERC</t>
  </si>
  <si>
    <t>JERC</t>
  </si>
  <si>
    <t>F1</t>
  </si>
  <si>
    <t>S4</t>
  </si>
  <si>
    <t>F2</t>
  </si>
  <si>
    <t>F1a</t>
  </si>
  <si>
    <t>F3</t>
  </si>
  <si>
    <t>F5</t>
  </si>
  <si>
    <t>F4</t>
  </si>
  <si>
    <t>F16</t>
  </si>
  <si>
    <t>F2a</t>
  </si>
  <si>
    <t>F14</t>
  </si>
  <si>
    <t>F13</t>
  </si>
  <si>
    <t>F21a</t>
  </si>
  <si>
    <t>F5A</t>
  </si>
  <si>
    <t>F7</t>
  </si>
  <si>
    <t>F5B</t>
  </si>
  <si>
    <t>F5C</t>
  </si>
  <si>
    <t>F8</t>
  </si>
  <si>
    <t>F9</t>
  </si>
  <si>
    <t>F9A</t>
  </si>
  <si>
    <t>F9B</t>
  </si>
  <si>
    <t>F15</t>
  </si>
  <si>
    <t>F17</t>
  </si>
  <si>
    <t>F14A</t>
  </si>
  <si>
    <t>F4A</t>
  </si>
  <si>
    <t>F6</t>
  </si>
  <si>
    <t>F10</t>
  </si>
  <si>
    <t>F11</t>
  </si>
  <si>
    <t>F8B</t>
  </si>
  <si>
    <t>F12</t>
  </si>
  <si>
    <t>F8a</t>
  </si>
  <si>
    <t>F5a</t>
  </si>
  <si>
    <t>F19</t>
  </si>
  <si>
    <t>F19a</t>
  </si>
  <si>
    <t>F5b</t>
  </si>
  <si>
    <t>F18</t>
  </si>
  <si>
    <t>F20</t>
  </si>
  <si>
    <t>F21</t>
  </si>
  <si>
    <t>F22</t>
  </si>
  <si>
    <t>F13A</t>
  </si>
  <si>
    <t>F23</t>
  </si>
  <si>
    <t>F24</t>
  </si>
  <si>
    <t>F25</t>
  </si>
  <si>
    <t>F26</t>
  </si>
  <si>
    <t>F27</t>
  </si>
  <si>
    <t>F28</t>
  </si>
  <si>
    <t>F29</t>
  </si>
  <si>
    <t>S5</t>
  </si>
  <si>
    <t>S7</t>
  </si>
  <si>
    <t>S6</t>
  </si>
  <si>
    <t>(16.5.2)</t>
  </si>
  <si>
    <t>(4.8),( 5.1),(6)</t>
  </si>
  <si>
    <t>21(b), (16.5.1)</t>
  </si>
  <si>
    <t>(17.1.3)</t>
  </si>
  <si>
    <t>17.1.1</t>
  </si>
  <si>
    <t>(26), (22)</t>
  </si>
  <si>
    <t>(17.1), 34</t>
  </si>
  <si>
    <t>17, 18, 22</t>
  </si>
  <si>
    <t>26, 19</t>
  </si>
  <si>
    <t>FY (n-1)</t>
  </si>
  <si>
    <t>PY 1</t>
  </si>
  <si>
    <t>FY (n+1)</t>
  </si>
  <si>
    <t>A</t>
  </si>
  <si>
    <t>Distribution Licensees</t>
  </si>
  <si>
    <t xml:space="preserve">Others </t>
  </si>
  <si>
    <t xml:space="preserve">i. </t>
  </si>
  <si>
    <t xml:space="preserve">ii. </t>
  </si>
  <si>
    <t>B</t>
  </si>
  <si>
    <t xml:space="preserve">Bulk Consumers/Long Term Open Access Customers  (If any) </t>
  </si>
  <si>
    <t xml:space="preserve">Bulk Consumers/Long Term Open Access Consumers  (If any) </t>
  </si>
  <si>
    <t>Form No: F1</t>
  </si>
  <si>
    <t>Others</t>
  </si>
  <si>
    <t xml:space="preserve">TOTAL </t>
  </si>
  <si>
    <t>B) Projection of Connected Load (in KW)</t>
  </si>
  <si>
    <t>Transmission Lines</t>
  </si>
  <si>
    <t>No</t>
  </si>
  <si>
    <t>-</t>
  </si>
  <si>
    <t>%</t>
  </si>
  <si>
    <t>Target Availability</t>
  </si>
  <si>
    <t>% of O&amp;M</t>
  </si>
  <si>
    <t>Receivebles for Working Capital</t>
  </si>
  <si>
    <t>in Months</t>
  </si>
  <si>
    <t>Rs Crores</t>
  </si>
  <si>
    <t>Financial Year*</t>
  </si>
  <si>
    <t>Sl. No.</t>
  </si>
  <si>
    <t>Date of Acquisition/Installation</t>
  </si>
  <si>
    <t>Historical Cost/Cost of Acquisition</t>
  </si>
  <si>
    <t xml:space="preserve">Date of withdrawal operations </t>
  </si>
  <si>
    <t>Accumulated Depreciation on date of withdrawal</t>
  </si>
  <si>
    <t>Written down value on date of withdrawal</t>
  </si>
  <si>
    <t>Balance at the start of the year</t>
  </si>
  <si>
    <t>Balance at the end of the Year</t>
  </si>
  <si>
    <t>Grant Towards Cost Of Capital Assets</t>
  </si>
  <si>
    <t>Date of approval of the Capital cost estimates:</t>
  </si>
  <si>
    <t xml:space="preserve">Present Day Cost  </t>
  </si>
  <si>
    <t xml:space="preserve">Completed Cost </t>
  </si>
  <si>
    <t>Price level of approved estimates</t>
  </si>
  <si>
    <t>As of End of ________
Qtr. Of the year _________</t>
  </si>
  <si>
    <t>Foreign Exchange rate considered for the Capital cost estimates</t>
  </si>
  <si>
    <t>Capital Cost excluding IDC, FC, FERC &amp; Hedging Cost</t>
  </si>
  <si>
    <t>Foreign Component, if any (In Million US $ or the relevant Currency)</t>
  </si>
  <si>
    <t>IDC, FC, FERC &amp; Hedging Cost</t>
  </si>
  <si>
    <t>Capital cost Including IDC, FC, FERC &amp; Hedging Cost</t>
  </si>
  <si>
    <t>Schedule of Commissioning</t>
  </si>
  <si>
    <t>-------------------------</t>
  </si>
  <si>
    <t>---------------------------</t>
  </si>
  <si>
    <t>COD of last Unit/ Block</t>
  </si>
  <si>
    <t xml:space="preserve">Note:   </t>
  </si>
  <si>
    <t>1. Copy of approval letter should be enclosed.</t>
  </si>
  <si>
    <t>C</t>
  </si>
  <si>
    <t>D</t>
  </si>
  <si>
    <t>E</t>
  </si>
  <si>
    <t>F</t>
  </si>
  <si>
    <t>Note:</t>
  </si>
  <si>
    <t>Date of Award</t>
  </si>
  <si>
    <t>Year</t>
  </si>
  <si>
    <t>Work/ Equipment proposed to be added after COD up to Cut off Date/ Beyond Cut off Date</t>
  </si>
  <si>
    <t>Amount capitalised and Proposed to be capitalised</t>
  </si>
  <si>
    <t>Justification</t>
  </si>
  <si>
    <t>Regulations under which covered</t>
  </si>
  <si>
    <t xml:space="preserve"> Note:</t>
  </si>
  <si>
    <t xml:space="preserve">   </t>
  </si>
  <si>
    <t>Amount of IDC, FC, FERV &amp; Hedging cost included in B(a) above</t>
  </si>
  <si>
    <t>Amount of IEDC (excluding IDC, FC, FERV &amp; Hedging cost) included in B(a)</t>
  </si>
  <si>
    <t>Amount of IDC, FC, FERV &amp; Hedging cost included in a above</t>
  </si>
  <si>
    <t>Date</t>
  </si>
  <si>
    <t>Amount (Foreign Currency)</t>
  </si>
  <si>
    <t>Exchange Rate</t>
  </si>
  <si>
    <t>Scheduled Principal Repayment</t>
  </si>
  <si>
    <t>Scheduled Interest payment</t>
  </si>
  <si>
    <t>Period of hedging</t>
  </si>
  <si>
    <t>Cost of hedging</t>
  </si>
  <si>
    <t>Quantum in Foreign currency</t>
  </si>
  <si>
    <t>Exchange Rate on draw down date</t>
  </si>
  <si>
    <t>Amount in Indian Rupee</t>
  </si>
  <si>
    <t>Loans</t>
  </si>
  <si>
    <t>Foreign Loans</t>
  </si>
  <si>
    <t>1.1.1</t>
  </si>
  <si>
    <t>Foreign Loan 1</t>
  </si>
  <si>
    <t xml:space="preserve">Draw down Amount </t>
  </si>
  <si>
    <t>IDC</t>
  </si>
  <si>
    <t>Financing charges</t>
  </si>
  <si>
    <t>1.1.2</t>
  </si>
  <si>
    <t>Foreign Loan 2</t>
  </si>
  <si>
    <t>- -</t>
  </si>
  <si>
    <t>Equity</t>
  </si>
  <si>
    <t>Currency</t>
  </si>
  <si>
    <t>Amount</t>
  </si>
  <si>
    <t>Loan-I</t>
  </si>
  <si>
    <t>Loan-II</t>
  </si>
  <si>
    <t>and so on</t>
  </si>
  <si>
    <t>Total Loan</t>
  </si>
  <si>
    <t>Foreign</t>
  </si>
  <si>
    <t>Domestic</t>
  </si>
  <si>
    <t>Total Equity</t>
  </si>
  <si>
    <t xml:space="preserve">Debt : Equity Ratio </t>
  </si>
  <si>
    <t>Actual</t>
  </si>
  <si>
    <t>Opening Balance at the beginning of the year</t>
  </si>
  <si>
    <t>Amount received during the year</t>
  </si>
  <si>
    <t>Principal repayment</t>
  </si>
  <si>
    <t>Interest</t>
  </si>
  <si>
    <t>Closing Balance</t>
  </si>
  <si>
    <t>Principal not overdue</t>
  </si>
  <si>
    <t>Principal overdue</t>
  </si>
  <si>
    <t>Interest overdue</t>
  </si>
  <si>
    <t>Due</t>
  </si>
  <si>
    <t>Paid</t>
  </si>
  <si>
    <t>Principal</t>
  </si>
  <si>
    <t>Interest Overdue</t>
  </si>
  <si>
    <t>LONG-TERM</t>
  </si>
  <si>
    <t>LIC</t>
  </si>
  <si>
    <t>REC</t>
  </si>
  <si>
    <t>PFC</t>
  </si>
  <si>
    <t>Bank</t>
  </si>
  <si>
    <t>SHORT-TERM</t>
  </si>
  <si>
    <t>Sl.No.</t>
  </si>
  <si>
    <t xml:space="preserve">Repair &amp; Maintenance Expenses </t>
  </si>
  <si>
    <t xml:space="preserve">Employee Expenses </t>
  </si>
  <si>
    <t xml:space="preserve">Administrative and General Expenses </t>
  </si>
  <si>
    <t xml:space="preserve">Less : </t>
  </si>
  <si>
    <t xml:space="preserve">Expenses Capitalized </t>
  </si>
  <si>
    <t xml:space="preserve">Net  O&amp;M Expenses </t>
  </si>
  <si>
    <t>Others (please specify)</t>
  </si>
  <si>
    <t>Building</t>
  </si>
  <si>
    <t>Equity (Opening Balance)</t>
  </si>
  <si>
    <t>Equity (Closing Balance)</t>
  </si>
  <si>
    <t xml:space="preserve">Average Equity </t>
  </si>
  <si>
    <t>S.No.</t>
  </si>
  <si>
    <t>Form No: F10</t>
  </si>
  <si>
    <t>Interest &amp; Finance charges Capitalised</t>
  </si>
  <si>
    <t>Other expenses capitalised:</t>
  </si>
  <si>
    <t>a. Employee expenses</t>
  </si>
  <si>
    <t>b. R&amp;M Expenses</t>
  </si>
  <si>
    <t>c. A&amp;G Expenses</t>
  </si>
  <si>
    <t>d. Depreciation</t>
  </si>
  <si>
    <t>e. Others, if any</t>
  </si>
  <si>
    <t>Total of 2</t>
  </si>
  <si>
    <t>Grand Total</t>
  </si>
  <si>
    <t>Extraordinary Credits</t>
  </si>
  <si>
    <t>TOTAL CREDITS</t>
  </si>
  <si>
    <t xml:space="preserve">Extraordinary Debits </t>
  </si>
  <si>
    <t>TOTAL DEBITS</t>
  </si>
  <si>
    <t>Net Prior Period Expenses / Income</t>
  </si>
  <si>
    <t>Income relating to previous years:</t>
  </si>
  <si>
    <t>Interest income for prior periods</t>
  </si>
  <si>
    <t>Income Tax prior period</t>
  </si>
  <si>
    <t>Excess Provision for Depreciation</t>
  </si>
  <si>
    <t>Excess Provision for Interest and Fin. Charges</t>
  </si>
  <si>
    <t>Other Excess Provision</t>
  </si>
  <si>
    <t>Sub-Total A</t>
  </si>
  <si>
    <t>Expenditure relating to previous years</t>
  </si>
  <si>
    <t>Employee Cost</t>
  </si>
  <si>
    <t>Interest and Finance Charges</t>
  </si>
  <si>
    <t>Admn. Expenses</t>
  </si>
  <si>
    <t>Withdrawal of Revenue Demand</t>
  </si>
  <si>
    <t xml:space="preserve">Material Related </t>
  </si>
  <si>
    <t>Sub-Total B</t>
  </si>
  <si>
    <t>Net prior period Credit/(Charges) : A-B</t>
  </si>
  <si>
    <t>Investments in Non business related activities</t>
  </si>
  <si>
    <t>Description of investment</t>
  </si>
  <si>
    <t>Balance at the beginning of the year</t>
  </si>
  <si>
    <t>Further Investments during the year</t>
  </si>
  <si>
    <t>Investments realised during the year</t>
  </si>
  <si>
    <t>Balance at the end of the year</t>
  </si>
  <si>
    <t>Remarks</t>
  </si>
  <si>
    <t>Form No: F11</t>
  </si>
  <si>
    <t>Sl.No</t>
  </si>
  <si>
    <t>O&amp;M Expenses</t>
  </si>
  <si>
    <t>i</t>
  </si>
  <si>
    <t>ii</t>
  </si>
  <si>
    <t>Interest on Loan</t>
  </si>
  <si>
    <t>Income from other Business</t>
  </si>
  <si>
    <t>A.</t>
  </si>
  <si>
    <t>Income from Transmission Function</t>
  </si>
  <si>
    <t>iii</t>
  </si>
  <si>
    <t>Total O&amp;M expenses ( i+ii+iii)</t>
  </si>
  <si>
    <t>Total Receipts ( A)</t>
  </si>
  <si>
    <t>Total Expenditure ( B)</t>
  </si>
  <si>
    <t>Other Deductions</t>
  </si>
  <si>
    <t>Total Other Deductions ( C)</t>
  </si>
  <si>
    <t>G</t>
  </si>
  <si>
    <t>Net ARR for Transmission Function ( B-C)</t>
  </si>
  <si>
    <t>Tariff Revision Impact</t>
  </si>
  <si>
    <t>I</t>
  </si>
  <si>
    <t>Transmission/Wheeling Charges at current tariff rates</t>
  </si>
  <si>
    <t>6.1,6.3,20.1,12.3,12.6,28,16.5.2</t>
  </si>
  <si>
    <t>Rs. Crores</t>
  </si>
  <si>
    <t>Domestic Component (Rs. crores)</t>
  </si>
  <si>
    <t>Capital cost excluding IDC, FC, FERC &amp; Hedging Cost (Rs. crores)</t>
  </si>
  <si>
    <t>Total IDC, FC, FERC &amp; Hedging Cost (Rs. crores)</t>
  </si>
  <si>
    <t>Capital cost Including IDC, FC, FERC &amp; Hedging Cost (Rs. crores)</t>
  </si>
  <si>
    <t>% of GFA</t>
  </si>
  <si>
    <t xml:space="preserve">Normative R&amp;M expenses </t>
  </si>
  <si>
    <t xml:space="preserve">*Note:- Information to be provided for Previous Year, Current Year &amp; Ensuing Control Period </t>
  </si>
  <si>
    <t>NIL</t>
  </si>
  <si>
    <t xml:space="preserve">Regulatory Refernce: </t>
  </si>
  <si>
    <t>ARR linkage:</t>
  </si>
  <si>
    <t>Requirement:</t>
  </si>
  <si>
    <t>Truing Up linkage:</t>
  </si>
  <si>
    <t>Direct linkage to ARR</t>
  </si>
  <si>
    <t>Additional Information to be used at the time of truing up &amp; prudence check of Capital cost estimate.</t>
  </si>
  <si>
    <t>Yes</t>
  </si>
  <si>
    <t>Short Term Open Access Consumers</t>
  </si>
  <si>
    <t>16.5.2</t>
  </si>
  <si>
    <t>75% of Charges recovered from  Short Term open access customers shall be deducted while computing ARR.</t>
  </si>
  <si>
    <t>Provided in :</t>
  </si>
  <si>
    <t>UPERC  &amp; DERC Regulations</t>
  </si>
  <si>
    <t>YES</t>
  </si>
  <si>
    <t>Not provided in any Regulations</t>
  </si>
  <si>
    <t xml:space="preserve">Regulatory Reference: </t>
  </si>
  <si>
    <t>Capital Cost</t>
  </si>
  <si>
    <t>Percentage point as per the norm (%)</t>
  </si>
  <si>
    <t>Repair &amp; Maintenance Expenses</t>
  </si>
  <si>
    <t>WPI Inflation</t>
  </si>
  <si>
    <t>Administration and General Expenses</t>
  </si>
  <si>
    <t>Insurance</t>
  </si>
  <si>
    <t>CPI Inflation</t>
  </si>
  <si>
    <t>UPERC 2006, JERC   Regulations</t>
  </si>
  <si>
    <t>CERC, DERC   Regulations</t>
  </si>
  <si>
    <t>Additional information for the purpose of determining capital cost.</t>
  </si>
  <si>
    <t>Supplementary information.Amt to be reconcliled with AFS. It shall be the starting point to assess sources of loans,o and quantum</t>
  </si>
  <si>
    <t>Increase /Decrease due to FERV</t>
  </si>
  <si>
    <t>CERC, DERC Regulations</t>
  </si>
  <si>
    <t>UPERC,  DERC Regulations</t>
  </si>
  <si>
    <t>Form a basis for computation of Normative expenses to be claimed in ARR viz. Employee expenses, A &amp; G expenses.</t>
  </si>
  <si>
    <t>CERC, JERC,UPERC, DERC  Regulations</t>
  </si>
  <si>
    <t>For computation of ARR.</t>
  </si>
  <si>
    <t>Base Rate of Reserve Bank  as on ________________</t>
  </si>
  <si>
    <t>Relevant at the time of truing up</t>
  </si>
  <si>
    <t>Inteest on Working Capital</t>
  </si>
  <si>
    <t>220 KV</t>
  </si>
  <si>
    <t>Add:Repayment Made till Date</t>
  </si>
  <si>
    <t xml:space="preserve">Gross Actual Loan </t>
  </si>
  <si>
    <t>Add:Equity considered as normative loan</t>
  </si>
  <si>
    <t xml:space="preserve">Gross Normative Loan </t>
  </si>
  <si>
    <t>Less : Depreciation Recovered as per ARR till Date</t>
  </si>
  <si>
    <t>Net Normative Loan</t>
  </si>
  <si>
    <t>Dometic</t>
  </si>
  <si>
    <t>Total Captal cost</t>
  </si>
  <si>
    <t>NEW</t>
  </si>
  <si>
    <t>Sub Total (A)</t>
  </si>
  <si>
    <t>Total (A+B)</t>
  </si>
  <si>
    <t>Less</t>
  </si>
  <si>
    <t>Tariff at Current Rates</t>
  </si>
  <si>
    <t>Impact of Tariff Revision</t>
  </si>
  <si>
    <t>F30</t>
  </si>
  <si>
    <t>F31</t>
  </si>
  <si>
    <t>F33</t>
  </si>
  <si>
    <t>F35</t>
  </si>
  <si>
    <t>F39</t>
  </si>
  <si>
    <t>F36</t>
  </si>
  <si>
    <t>F43</t>
  </si>
  <si>
    <t>F42</t>
  </si>
  <si>
    <t>F46</t>
  </si>
  <si>
    <t>F44</t>
  </si>
  <si>
    <t>F45</t>
  </si>
  <si>
    <t>F41</t>
  </si>
  <si>
    <t>F40</t>
  </si>
  <si>
    <t>F40A</t>
  </si>
  <si>
    <t>F4B</t>
  </si>
  <si>
    <t>Projection of expected revenue at current tariif rates</t>
  </si>
  <si>
    <t>Projection of expected revenue at projected tariif rates</t>
  </si>
  <si>
    <t>Details of  Loans</t>
  </si>
  <si>
    <t>F32</t>
  </si>
  <si>
    <t>F34</t>
  </si>
  <si>
    <t>Short Term Open access consumers</t>
  </si>
  <si>
    <t>F47</t>
  </si>
  <si>
    <t>F48</t>
  </si>
  <si>
    <t>Signature of Petitioner</t>
  </si>
  <si>
    <t>Provides a tie up of capital cost with Gross Block.</t>
  </si>
  <si>
    <t>Yes through Form F33</t>
  </si>
  <si>
    <t>Required for computing Depreciation which Shall form part of ARR.</t>
  </si>
  <si>
    <t>Net Actual Loan as per Books of Accounts as on :</t>
  </si>
  <si>
    <t>NOT PROVIDED</t>
  </si>
  <si>
    <t>YES Through Form F27</t>
  </si>
  <si>
    <t>Required to calculate CPI Inflation.</t>
  </si>
  <si>
    <t>Form No: F2</t>
  </si>
  <si>
    <t>Form No: F4</t>
  </si>
  <si>
    <t>AC System</t>
  </si>
  <si>
    <t xml:space="preserve">HVDC bi-pole links </t>
  </si>
  <si>
    <t xml:space="preserve">HVDC back-to-back Stations </t>
  </si>
  <si>
    <t>Total Capital Cost admitted</t>
  </si>
  <si>
    <t xml:space="preserve">Note </t>
  </si>
  <si>
    <t>Annual Average CPI Index</t>
  </si>
  <si>
    <t>Additions</t>
  </si>
  <si>
    <t>Annual Average WPI Index</t>
  </si>
  <si>
    <t>Number of Short Term Open Access Customers</t>
  </si>
  <si>
    <t>Allocation statement of Expenses of SLDC</t>
  </si>
  <si>
    <t>Total Expenditure</t>
  </si>
  <si>
    <t>Allocated %</t>
  </si>
  <si>
    <t>SLDC Share</t>
  </si>
  <si>
    <t>Total Expenses of STU</t>
  </si>
  <si>
    <t>iv</t>
  </si>
  <si>
    <t>v</t>
  </si>
  <si>
    <t>Failure of Transformers</t>
  </si>
  <si>
    <t>No. of failures</t>
  </si>
  <si>
    <t>Total Duration of failure (hrs.)</t>
  </si>
  <si>
    <t>Transmission Losses (For Transmission Licensee)</t>
  </si>
  <si>
    <t>Transmission loss in system (A1-A2-A3)</t>
  </si>
  <si>
    <t>Transmission loss in system (B1-B2-B3)</t>
  </si>
  <si>
    <t xml:space="preserve"> Energy Delivered by Transmission licensee to the distribution Distribution Licensees/ Bulk consumers  at interface points </t>
  </si>
  <si>
    <t>Voltage level</t>
  </si>
  <si>
    <t>Name of Sub-Station</t>
  </si>
  <si>
    <t>Distribution Licensee / Bulk Consumer</t>
  </si>
  <si>
    <t>Details of Electrical Accidents</t>
  </si>
  <si>
    <t>Detail</t>
  </si>
  <si>
    <t>Total Duration of Trippings (hrs.)</t>
  </si>
  <si>
    <t>Total Duration (Hrs.)</t>
  </si>
  <si>
    <t>Estimated unserved energy due to such interruptions</t>
  </si>
  <si>
    <t>Other Transmission disturbamces when  DISCOM supply has got effected</t>
  </si>
  <si>
    <t xml:space="preserve">Major System Disturbances                                                                                                                                                                        </t>
  </si>
  <si>
    <t>Frequency Variation</t>
  </si>
  <si>
    <t>No. of Hours</t>
  </si>
  <si>
    <t>As percentage of total hours in the year (%)</t>
  </si>
  <si>
    <t>49.8 - 49.5 Hz</t>
  </si>
  <si>
    <t xml:space="preserve"> Abstract of Outages due to feeder tripping                                                                 </t>
  </si>
  <si>
    <t>Voltage Fluctuation</t>
  </si>
  <si>
    <t>More than upper limit in %age</t>
  </si>
  <si>
    <t>Between upper &amp; lower limit</t>
  </si>
  <si>
    <t>Less than lower limit in %age</t>
  </si>
  <si>
    <t>%age</t>
  </si>
  <si>
    <t>Time during which voltage in an year</t>
  </si>
  <si>
    <t>Licensee wise Load shedding carried out during the year</t>
  </si>
  <si>
    <t xml:space="preserve">Detailss of Overloaded Feeders </t>
  </si>
  <si>
    <t>Voltage Level</t>
  </si>
  <si>
    <t>No. of feeders</t>
  </si>
  <si>
    <t>Previous Year</t>
  </si>
  <si>
    <t>Current Year</t>
  </si>
  <si>
    <t xml:space="preserve">Details of over loaded Transformers </t>
  </si>
  <si>
    <t xml:space="preserve">% of Transformers over loaded </t>
  </si>
  <si>
    <t>Key Ratios</t>
  </si>
  <si>
    <t>S. No</t>
  </si>
  <si>
    <t>Financial &amp; Material Management</t>
  </si>
  <si>
    <t>Annual capital expenditure/net book value</t>
  </si>
  <si>
    <t xml:space="preserve">Total Transmission  cost/Energy Transmitted </t>
  </si>
  <si>
    <t>Employee cost as a percentage of total cost</t>
  </si>
  <si>
    <t>Operating expenses / Revenue from Transmission of power</t>
  </si>
  <si>
    <t xml:space="preserve">Cost of capital invested </t>
  </si>
  <si>
    <t>Debt Service Coverage Ratio</t>
  </si>
  <si>
    <t>Working Capital to Revenue from Transmission of power</t>
  </si>
  <si>
    <t>HR Management</t>
  </si>
  <si>
    <t>Energy Transmitted (MU) per Employee</t>
  </si>
  <si>
    <t>Connected Load per Employee (MVA)</t>
  </si>
  <si>
    <t>Training participation days per employee</t>
  </si>
  <si>
    <t>Operational Performance</t>
  </si>
  <si>
    <t>Unplanned outage/total outage (Fault breakdown / total outage)</t>
  </si>
  <si>
    <t>Annual replacement rate of Transmission transformers (%): (Transmission Transformers replaced / Transformers in service)</t>
  </si>
  <si>
    <t>Profit &amp; Loss Account</t>
  </si>
  <si>
    <t>Form No: S1</t>
  </si>
  <si>
    <t xml:space="preserve">Revenue/Income </t>
  </si>
  <si>
    <t>Non-tariff income</t>
  </si>
  <si>
    <t>Revenues through subsidies &amp; grants (If any)</t>
  </si>
  <si>
    <t>Any other Income</t>
  </si>
  <si>
    <t>Repair and Maintenance Cost</t>
  </si>
  <si>
    <t>Employee costs</t>
  </si>
  <si>
    <t>Depreciation and Related debits</t>
  </si>
  <si>
    <t>Interest &amp; Finance Charges</t>
  </si>
  <si>
    <t>Less: Interest Capitalized</t>
  </si>
  <si>
    <t>Balance Sheet</t>
  </si>
  <si>
    <t>Form No: S2</t>
  </si>
  <si>
    <t>Form No: S3</t>
  </si>
  <si>
    <t>Summary Formats</t>
  </si>
  <si>
    <t>Sheet</t>
  </si>
  <si>
    <t>S1</t>
  </si>
  <si>
    <t>S2</t>
  </si>
  <si>
    <t>S3</t>
  </si>
  <si>
    <t>Cash flow statement</t>
  </si>
  <si>
    <t>Financial Formats</t>
  </si>
  <si>
    <t>Administrative &amp; General Expenses</t>
  </si>
  <si>
    <t>Performance Formats</t>
  </si>
  <si>
    <t>P1</t>
  </si>
  <si>
    <t>P2</t>
  </si>
  <si>
    <t>P3</t>
  </si>
  <si>
    <t>P4</t>
  </si>
  <si>
    <t>P5</t>
  </si>
  <si>
    <t>P6</t>
  </si>
  <si>
    <t>P7</t>
  </si>
  <si>
    <t>P8</t>
  </si>
  <si>
    <t>P9</t>
  </si>
  <si>
    <t>P10</t>
  </si>
  <si>
    <t>P11</t>
  </si>
  <si>
    <t>Annual Revenue Requirement</t>
  </si>
  <si>
    <t>Employee expenses</t>
  </si>
  <si>
    <t>Allocation Statement of Expenses of SLDC</t>
  </si>
  <si>
    <t>P12</t>
  </si>
  <si>
    <t xml:space="preserve">Sum of Total Alloted Transmission Capacity to all the long term Transmission system customers (SCL) </t>
  </si>
  <si>
    <t>Form No: F6</t>
  </si>
  <si>
    <t>Adjustments For</t>
  </si>
  <si>
    <t>Cash Flow from Investing Activities</t>
  </si>
  <si>
    <t>Net Cash used in Investing Activities</t>
  </si>
  <si>
    <t>Cash Flow from Financing Activities</t>
  </si>
  <si>
    <t>Net Cash generated from Financing Activities</t>
  </si>
  <si>
    <t>Cash &amp; Cash Equivalants  as at beginning of the Financial Year</t>
  </si>
  <si>
    <t>Cash &amp; Cash Equivalants  as at end of the Financial Year</t>
  </si>
  <si>
    <t>Form No: F12</t>
  </si>
  <si>
    <t>Form No: P12</t>
  </si>
  <si>
    <t>Form No: F8</t>
  </si>
  <si>
    <t>North Bihar Power Distribution Company Limited</t>
  </si>
  <si>
    <t>South Bihar Power Distribution Company Limited</t>
  </si>
  <si>
    <t>(Give reference of the BERC relevant Order with Petition No. &amp; Date )</t>
  </si>
  <si>
    <t>SBPDCL</t>
  </si>
  <si>
    <t>Cost of total Stores Inventory/100 Km of transmission lines</t>
  </si>
  <si>
    <t>Statement of Projected Profit and Loss</t>
  </si>
  <si>
    <t>Administration expenses</t>
  </si>
  <si>
    <t xml:space="preserve">Other Expenses </t>
  </si>
  <si>
    <t xml:space="preserve">Non-current assets </t>
  </si>
  <si>
    <t xml:space="preserve">Current assets </t>
  </si>
  <si>
    <t>`-------</t>
  </si>
  <si>
    <t>Assets</t>
  </si>
  <si>
    <t>Total Assets</t>
  </si>
  <si>
    <t xml:space="preserve">EQUITY AND LIABILITIES </t>
  </si>
  <si>
    <t>LIABILITIES</t>
  </si>
  <si>
    <t>Total Equity and Liabilities</t>
  </si>
  <si>
    <t>Projected Balance Sheet</t>
  </si>
  <si>
    <t>Cash flows from operating activities</t>
  </si>
  <si>
    <t>`----------</t>
  </si>
  <si>
    <t>Net Cash flows from operating activities</t>
  </si>
  <si>
    <t>Total Cash generated/(lost)</t>
  </si>
  <si>
    <t>Projected Cash Flow Statement</t>
  </si>
  <si>
    <t>Approved in MYT/RE</t>
  </si>
  <si>
    <t>Less: IDC, if any</t>
  </si>
  <si>
    <t>Contribution towards Contingency Reserve</t>
  </si>
  <si>
    <t xml:space="preserve">Note: </t>
  </si>
  <si>
    <t>Charges to be paid by Long Term Transmission Customers/month</t>
  </si>
  <si>
    <t>Alloted Transmission Capacity and Charges to be paid by Long Term Transmission Customers</t>
  </si>
  <si>
    <t xml:space="preserve">Alloted Transmission Capacity and Charges to be paid by Long Term Transmission Customers </t>
  </si>
  <si>
    <t>`--</t>
  </si>
  <si>
    <t>At Current Tariff Rates</t>
  </si>
  <si>
    <t xml:space="preserve">Revenue </t>
  </si>
  <si>
    <t>Bank Rate as on ___</t>
  </si>
  <si>
    <t>Capital cost admitted as on--------</t>
  </si>
  <si>
    <t>`-Foreign Component</t>
  </si>
  <si>
    <t>`-Domestic Component</t>
  </si>
  <si>
    <t>Foreign Exchange rate considered for the admitted cost</t>
  </si>
  <si>
    <t>Name of scheme / Project</t>
  </si>
  <si>
    <t>Previous year</t>
  </si>
  <si>
    <t>Current year (RE)</t>
  </si>
  <si>
    <t>Capitalization</t>
  </si>
  <si>
    <t>Capital Expenditure(CWIP)</t>
  </si>
  <si>
    <t> Capitalization</t>
  </si>
  <si>
    <t>Revenue at current tariif rates and at proposed tariif rates</t>
  </si>
  <si>
    <t>(Rs. in Cr.)</t>
  </si>
  <si>
    <t>Progressive upto the begining of previous year</t>
  </si>
  <si>
    <t>Approved Outlay</t>
  </si>
  <si>
    <t>Ensuing Years (Projection)</t>
  </si>
  <si>
    <t>Progressive Capital expenditure upto the end of ensuing year (s)</t>
  </si>
  <si>
    <t>Capital Cost for Purposes of ARR*</t>
  </si>
  <si>
    <t>**Must be in agreement with the figures shown in audited account, otherwise a reconciliation statement must be accompanied.</t>
  </si>
  <si>
    <t>*Must be in agreement with the figures shown in Form No: F5 (page-2), otherwise a reconciliation statement must be accompanied.</t>
  </si>
  <si>
    <t>Note</t>
  </si>
  <si>
    <t>2. Details of IDC &amp; Financing Charges are to be furnished as per FORM-   .</t>
  </si>
  <si>
    <t>`-IDC including Financing Charges</t>
  </si>
  <si>
    <t>1.Copy of approval letter should be enclosed. Deviation in capital cost and scope of work if any, must be submitted in detailed.</t>
  </si>
  <si>
    <t>Gross Fixed Assets ( as at begining of the year):</t>
  </si>
  <si>
    <t>Addition/ adjustment to Gross Fixed Assets (During the year):</t>
  </si>
  <si>
    <t>4. Admitted GFA(1+2-3)</t>
  </si>
  <si>
    <t>Amount utilized for Assets forming part of Depreciable GFA</t>
  </si>
  <si>
    <t>Amount utilized for Assets forming part of non-Depreciable GFA</t>
  </si>
  <si>
    <t>Amount remains un-utilized (A-B-C)</t>
  </si>
  <si>
    <t>Amount kept in Bank out of "C" above</t>
  </si>
  <si>
    <t>Amount utilized for CWIP out of "C" above</t>
  </si>
  <si>
    <t xml:space="preserve"> Total (1+2)</t>
  </si>
  <si>
    <t xml:space="preserve"> Total (3+4)</t>
  </si>
  <si>
    <t xml:space="preserve"> Total (5+6)</t>
  </si>
  <si>
    <t xml:space="preserve"> Total (7+8)</t>
  </si>
  <si>
    <t>Depreciation. on assets created out of grants (Financial/Statutory Account)</t>
  </si>
  <si>
    <t>Depreciation on assets created out of grants (Admitted)</t>
  </si>
  <si>
    <t>Summassion of D&amp;E must be equal to C, otherwise a reconciliation statement must be accompained.</t>
  </si>
  <si>
    <t>Actual*</t>
  </si>
  <si>
    <t>* Please furnish seperately details regarding approval of Capital Investment under BERC (Procedure for Filing Capital Investment and Capitalization Plan) Regulations, 2018 and indiacte the portion which is not approved under BERC (Procedure for Filing Capital Investment and Capitalization Plan) Regulations, 2018.</t>
  </si>
  <si>
    <t>Less : Capital Expenditure(CWIP)</t>
  </si>
  <si>
    <t>((Scheduled DOC elementwise))</t>
  </si>
  <si>
    <t>Rates, taxes &amp; duties considered</t>
  </si>
  <si>
    <t>Opening Gross Fixed Assets</t>
  </si>
  <si>
    <t>Additions in  Gross Fixed Assets</t>
  </si>
  <si>
    <t>Closing Gross Fixed Assets</t>
  </si>
  <si>
    <t>Opening  Capital Expenditure(CWIP)</t>
  </si>
  <si>
    <t>Closing Capital Expenditure(CWIP)</t>
  </si>
  <si>
    <t>Infusion</t>
  </si>
  <si>
    <t>Details of Equity</t>
  </si>
  <si>
    <t>Details of Indian Equity</t>
  </si>
  <si>
    <t>`-</t>
  </si>
  <si>
    <t>User contributions and grants towards cost of capital assets</t>
  </si>
  <si>
    <t>Less : User contributions and Grants</t>
  </si>
  <si>
    <t xml:space="preserve">User contributions Towards Cost Of Capital Assets </t>
  </si>
  <si>
    <t>*Normative/Approved in MYT/RE: If norms are specified by the Commission for concern year, Normative figures shall be given.In case norms are not specified latest approved figures in MYT or Revised Extimate(RE) as the case may be shall be given.</t>
  </si>
  <si>
    <t>User contributions and grants towards cost of capital assets (Rs. Crores)</t>
  </si>
  <si>
    <t>Share of Holding Company Expenses</t>
  </si>
  <si>
    <t>Total O&amp;M expenses ( i+ii+iii+iv)</t>
  </si>
  <si>
    <t>iv.</t>
  </si>
  <si>
    <t>Interest and finance charges on Loan Capital</t>
  </si>
  <si>
    <t>Revenue from  Short Term transmission charges</t>
  </si>
  <si>
    <t>S.N</t>
  </si>
  <si>
    <t>Previous year (Actuals)</t>
  </si>
  <si>
    <t>Loan</t>
  </si>
  <si>
    <t>Grant</t>
  </si>
  <si>
    <t>Opening CWIP</t>
  </si>
  <si>
    <t>New Investment</t>
  </si>
  <si>
    <t>Less Capitalization(a+b)</t>
  </si>
  <si>
    <t>a) CWIP Capitalization</t>
  </si>
  <si>
    <t>Closing CWIP (1+2-3)</t>
  </si>
  <si>
    <t>Effective Rate of Return on Equity</t>
  </si>
  <si>
    <t>*Note:- Loanwise information to be provided for Previous Year, Current Year &amp;Control period. Also indicate rate of interest and other conditions.</t>
  </si>
  <si>
    <t>Form No: F13</t>
  </si>
  <si>
    <t>(i)</t>
  </si>
  <si>
    <t>Existing Employees</t>
  </si>
  <si>
    <t>(ii)</t>
  </si>
  <si>
    <t>New Employees</t>
  </si>
  <si>
    <t>Contribution to Terminal Benefits (Accrual Basis)</t>
  </si>
  <si>
    <t>Total of Salary &amp; Allowances and Terminal Benefits</t>
  </si>
  <si>
    <t>Amount Capitalised</t>
  </si>
  <si>
    <t>Net Amount</t>
  </si>
  <si>
    <t xml:space="preserve">(i) </t>
  </si>
  <si>
    <t>Terminal benefits paid for the period before the date of reorganisation i.e. 01.11.2012, shall not be considered.</t>
  </si>
  <si>
    <t>In respect of continuing employees as on the date of reorganisation and newly appointed employees after re-organisation date the terminal benefits shall be allowed.</t>
  </si>
  <si>
    <t>(iii)</t>
  </si>
  <si>
    <t>In respect of item 6, a brief description to be appended.</t>
  </si>
  <si>
    <t xml:space="preserve">CPI and WPI Inflation computed for current year shall be considered for control period at the time of filing of ARR.CPI inflation shall be determined at the time of truing up. </t>
  </si>
  <si>
    <t>(Actuals)</t>
  </si>
  <si>
    <t>Current</t>
  </si>
  <si>
    <t>Ensuing</t>
  </si>
  <si>
    <t>Number of Sub-stations</t>
  </si>
  <si>
    <t>Plant &amp; Machinery</t>
  </si>
  <si>
    <t>Hydraulic works &amp; civil works</t>
  </si>
  <si>
    <t>Line cable &amp; network</t>
  </si>
  <si>
    <t>Vehicles</t>
  </si>
  <si>
    <t>Furniture &amp; fixtures</t>
  </si>
  <si>
    <t>Office equipments</t>
  </si>
  <si>
    <t>Total expenses</t>
  </si>
  <si>
    <t>Less capitalized</t>
  </si>
  <si>
    <t>Net Expenses</t>
  </si>
  <si>
    <t>Total expenses charged to revenue</t>
  </si>
  <si>
    <t>* Year-wise details of these charges may be provided with documentary evidence</t>
  </si>
  <si>
    <t>Rent, rates &amp; taxes</t>
  </si>
  <si>
    <t>Telephone, postage &amp; Telegrams</t>
  </si>
  <si>
    <t>Consultancy fees</t>
  </si>
  <si>
    <t>Other professional charges</t>
  </si>
  <si>
    <t>Conveyance &amp; travel expenses</t>
  </si>
  <si>
    <t>Electricity &amp; Water charges</t>
  </si>
  <si>
    <t xml:space="preserve">Freight </t>
  </si>
  <si>
    <t>Less Capitalised</t>
  </si>
  <si>
    <t>Net expenses</t>
  </si>
  <si>
    <t>* Year-wise details of these charges may be provided with documentary evidence.</t>
  </si>
  <si>
    <t>Any other expenses (please specify)</t>
  </si>
  <si>
    <t>Further details of component wise R&amp;M Expenses</t>
  </si>
  <si>
    <t>Originally proposed</t>
  </si>
  <si>
    <t xml:space="preserve">Note:  i ) Information for previous year to be given in columns 1 to 7 co-relating the information given in current or earlier MYT/Business Plan (if any).
           </t>
  </si>
  <si>
    <t>ii) Information for the current year to be given in columns 1 to 5 co-relating the information given in MYT/Business Plan (if any)</t>
  </si>
  <si>
    <t>iii) Amount of grants and loans shall be furnished separately funding Agencywise and yearwise.</t>
  </si>
  <si>
    <t>Approved by the Commission</t>
  </si>
  <si>
    <t xml:space="preserve">Revised </t>
  </si>
  <si>
    <t>Actual expenditure</t>
  </si>
  <si>
    <t>Revised approval by the Commission in review</t>
  </si>
  <si>
    <t>Normative O&amp;M per ckt.km, if any</t>
  </si>
  <si>
    <t>Normative O&amp;M per bay, if any</t>
  </si>
  <si>
    <t>Normative A&amp;G expenses per ckt.km, if any</t>
  </si>
  <si>
    <t>Normative A&amp;G per bay, if any</t>
  </si>
  <si>
    <t>Maintenance Spares for Working Capital, if any</t>
  </si>
  <si>
    <t>Provide details for True-up period, Current Year and each of ensuing years seperately.</t>
  </si>
  <si>
    <t>Name of Currency</t>
  </si>
  <si>
    <t>Loan drawal</t>
  </si>
  <si>
    <t>Further Details in case of Foreign Loans</t>
  </si>
  <si>
    <t>Actual Principal Repayment</t>
  </si>
  <si>
    <t>Actual Interest payment</t>
  </si>
  <si>
    <t>Purpose of loan</t>
  </si>
  <si>
    <t>Amount in Rs. Crore</t>
  </si>
  <si>
    <t>*The amount of penal interest, if any, to be shown separately.</t>
  </si>
  <si>
    <t>Note:Information to be supplied separately for the previous year (actuals), current year(RE)
and ensuing years</t>
  </si>
  <si>
    <t>Source of loan</t>
  </si>
  <si>
    <t>Amount of original loan</t>
  </si>
  <si>
    <t>Old rate of interest</t>
  </si>
  <si>
    <t>Amount already restructured</t>
  </si>
  <si>
    <t>Revised rate of interest</t>
  </si>
  <si>
    <t>Amount now being restructured</t>
  </si>
  <si>
    <t>New rate of interest</t>
  </si>
  <si>
    <t>Opening balance</t>
  </si>
  <si>
    <t>Rate of Interest</t>
  </si>
  <si>
    <t>Addition during the year</t>
  </si>
  <si>
    <t>Repayment during the year</t>
  </si>
  <si>
    <t>Closing balance</t>
  </si>
  <si>
    <t>Amount of interest paid*</t>
  </si>
  <si>
    <t>SLR Bonds</t>
  </si>
  <si>
    <t>Non SLR Bonds</t>
  </si>
  <si>
    <t>Commercial Banks</t>
  </si>
  <si>
    <t>Bills discounting</t>
  </si>
  <si>
    <t>Lease rental</t>
  </si>
  <si>
    <t>Total (10 +11)</t>
  </si>
  <si>
    <t>Net Interest</t>
  </si>
  <si>
    <t>Add prior period adjustment *</t>
  </si>
  <si>
    <t>Total Interest</t>
  </si>
  <si>
    <t>Finance charges</t>
  </si>
  <si>
    <t>S.N.</t>
  </si>
  <si>
    <t>Ensuing year (s)</t>
  </si>
  <si>
    <t xml:space="preserve">Total Interest and 
finance charges
</t>
  </si>
  <si>
    <t>Less IDC</t>
  </si>
  <si>
    <t xml:space="preserve">Total Draw down Amount </t>
  </si>
  <si>
    <t>Total IDC</t>
  </si>
  <si>
    <t>Total Financing charges</t>
  </si>
  <si>
    <t>Note: Drawal of debt and equity shall be on paripassu basis to meet the commissioning schedule.  Drawal of higher equity in the beginning is permissible. Also specify basis of allocation to particular project.</t>
  </si>
  <si>
    <t>Interest (IDC) Capitalized</t>
  </si>
  <si>
    <t>Name of scheme /Project</t>
  </si>
  <si>
    <t>Interest capitalized</t>
  </si>
  <si>
    <t>As on beginning of previous year</t>
  </si>
  <si>
    <t>During Current year (RE)</t>
  </si>
  <si>
    <t>During ensuing year (s)</t>
  </si>
  <si>
    <t>During Previous year (Actuals)</t>
  </si>
  <si>
    <t>Name of Lesser</t>
  </si>
  <si>
    <t>Leased</t>
  </si>
  <si>
    <t>on</t>
  </si>
  <si>
    <t>Lease Rentals</t>
  </si>
  <si>
    <t>Primary Period</t>
  </si>
  <si>
    <t>ended / ending by</t>
  </si>
  <si>
    <t>Secondary</t>
  </si>
  <si>
    <t>period ending by</t>
  </si>
  <si>
    <t>Descriptions</t>
  </si>
  <si>
    <t>Gross Amount</t>
  </si>
  <si>
    <t>Lease details(Rs. Crores)</t>
  </si>
  <si>
    <t>Note: Statement showing Cost benefits analysis of lease must be accompanied.</t>
  </si>
  <si>
    <t>Form No: F15</t>
  </si>
  <si>
    <t>Form No: F16</t>
  </si>
  <si>
    <t>Ensuing Years</t>
  </si>
  <si>
    <t>Particulars(i.e Assets Group)</t>
  </si>
  <si>
    <t>GFA at the beginning of the year</t>
  </si>
  <si>
    <t>Addition to GFA during the year</t>
  </si>
  <si>
    <t>Adjustment to GFA on account of assets sold/discarded etc</t>
  </si>
  <si>
    <t>GFA at the end of the year</t>
  </si>
  <si>
    <t>Consumer Contribution</t>
  </si>
  <si>
    <t>By grants</t>
  </si>
  <si>
    <t>Land and land rights</t>
  </si>
  <si>
    <t>Buildings</t>
  </si>
  <si>
    <t>Hydraulic works</t>
  </si>
  <si>
    <t>Other civil works</t>
  </si>
  <si>
    <t>Plant and Machinery</t>
  </si>
  <si>
    <t>Lines and cable network</t>
  </si>
  <si>
    <t>Furniture and Fixtures</t>
  </si>
  <si>
    <t>Office equipment</t>
  </si>
  <si>
    <t>Others, if any (pl. specify)</t>
  </si>
  <si>
    <t>Adjustment for assets sold/discarded etc</t>
  </si>
  <si>
    <t>d</t>
  </si>
  <si>
    <t>Add/(Less):Adjustment for assets sold/discarded etc</t>
  </si>
  <si>
    <t>Gross fixed assets of the beginning of the year</t>
  </si>
  <si>
    <t>Additions during the year</t>
  </si>
  <si>
    <t>Closing GFA</t>
  </si>
  <si>
    <t>Depreciation for GFA on Grants</t>
  </si>
  <si>
    <t>IDC, FC, FERV &amp; Hedging cost</t>
  </si>
  <si>
    <t>Amount of IEDC</t>
  </si>
  <si>
    <t>3(i)</t>
  </si>
  <si>
    <t>3(ii)</t>
  </si>
  <si>
    <t>Less: Value of non depreciable assets (i.e land)</t>
  </si>
  <si>
    <t>Average GFA (Excluding Value of non depreciable assets)</t>
  </si>
  <si>
    <t>Opening grants*</t>
  </si>
  <si>
    <t>Grants* during the year</t>
  </si>
  <si>
    <t>Total Grants*</t>
  </si>
  <si>
    <t>Average Grants*</t>
  </si>
  <si>
    <t>Accumulated</t>
  </si>
  <si>
    <t>depreciation at the beginning of the year</t>
  </si>
  <si>
    <t>depreciation adjustment on account of assets sold/discarded etc</t>
  </si>
  <si>
    <t>depreciation at the end of the year</t>
  </si>
  <si>
    <t>Details of Transmission Lines and Substations including Investment plan</t>
  </si>
  <si>
    <t>Details of Loans</t>
  </si>
  <si>
    <t>Interest, IDC &amp; Financing Charges</t>
  </si>
  <si>
    <t>Details of Lease</t>
  </si>
  <si>
    <t>Gross Fixed Assets(GFA) and Depreciation</t>
  </si>
  <si>
    <t>Less asset created from grant</t>
  </si>
  <si>
    <t>Less asset created from users contribution</t>
  </si>
  <si>
    <t>Amount of total asset created during the year</t>
  </si>
  <si>
    <t>Net asset Created</t>
  </si>
  <si>
    <t>Details of Return on equity</t>
  </si>
  <si>
    <t>Retained by Licensee</t>
  </si>
  <si>
    <t>Payable to Beneficiaries</t>
  </si>
  <si>
    <t>Form No: F17</t>
  </si>
  <si>
    <t>Delayed Payment surcharge</t>
  </si>
  <si>
    <t>Interest on loans and Advances to Staff</t>
  </si>
  <si>
    <t>Others, please specify</t>
  </si>
  <si>
    <t>Form No: F18</t>
  </si>
  <si>
    <t>Working Capital Interest</t>
  </si>
  <si>
    <t>Receivables equivalent to two (2) month of transmission charges     calculated on target availability level</t>
  </si>
  <si>
    <t>O&amp;M Expenses of one month</t>
  </si>
  <si>
    <t>Total Working Capital</t>
  </si>
  <si>
    <t xml:space="preserve">Interest Rate </t>
  </si>
  <si>
    <t xml:space="preserve">Interest on Working Capital </t>
  </si>
  <si>
    <t>Form No: F19</t>
  </si>
  <si>
    <t>Form No: F20</t>
  </si>
  <si>
    <t>Form No: F21</t>
  </si>
  <si>
    <t>Extraordinary Items(Rs. Crores)</t>
  </si>
  <si>
    <t xml:space="preserve"> a </t>
  </si>
  <si>
    <t xml:space="preserve">                               -   </t>
  </si>
  <si>
    <t>Form No: F22</t>
  </si>
  <si>
    <t>Net Prior Period Expenses/Income &amp; Extraordinary Items</t>
  </si>
  <si>
    <t>Details of Income from Other Business (Rs. In Crore)</t>
  </si>
  <si>
    <t>Receipts from other Business</t>
  </si>
  <si>
    <t>Less: Expenses from other business</t>
  </si>
  <si>
    <t xml:space="preserve">Revenue of other Business </t>
  </si>
  <si>
    <t>R=I-E</t>
  </si>
  <si>
    <t>II</t>
  </si>
  <si>
    <t xml:space="preserve">Assets of Licensed business utilized in other business </t>
  </si>
  <si>
    <t xml:space="preserve">Total assets of other business (including the assets utilized of the Licensed Business) </t>
  </si>
  <si>
    <t xml:space="preserve">Allocation of Revenue to Licensed Business decided by the Commission </t>
  </si>
  <si>
    <t>X</t>
  </si>
  <si>
    <t>III</t>
  </si>
  <si>
    <t>X*(R*A/C)</t>
  </si>
  <si>
    <t xml:space="preserve">Note:- Information to be provided for Previous Year, Current Year &amp; each year of Control period </t>
  </si>
  <si>
    <t>*In case Gross Receipts exceed expenditure of other business in (I) above (where Gross receipt is less than expenditure of other business in (I) above no amount shall be deducted from ARR of Licensee).</t>
  </si>
  <si>
    <t>Due to Licensed Business (to be deducted from ARR)*</t>
  </si>
  <si>
    <t>Form No: F23</t>
  </si>
  <si>
    <t>Current Years</t>
  </si>
  <si>
    <t>Previous Years</t>
  </si>
  <si>
    <t>Profit/Loss (A-G)</t>
  </si>
  <si>
    <t>Total Revenue*</t>
  </si>
  <si>
    <t>TOTAL EXPENDITURE (B+C+D)*</t>
  </si>
  <si>
    <t>* Pertaining to Transmission Business Only, SLDC shall file seperately</t>
  </si>
  <si>
    <t xml:space="preserve">Net (loss) / Profit </t>
  </si>
  <si>
    <t>Form No: F24</t>
  </si>
  <si>
    <t xml:space="preserve">Fixed Assets </t>
  </si>
  <si>
    <t>%age appropriation to the contingency reserve</t>
  </si>
  <si>
    <t>Appropriation to the contingency amount</t>
  </si>
  <si>
    <t>Amount invested in securities</t>
  </si>
  <si>
    <t>Drawal from the contingency reserve (Please specify)</t>
  </si>
  <si>
    <t xml:space="preserve">(iii) </t>
  </si>
  <si>
    <t>Total drawal</t>
  </si>
  <si>
    <t>Contribution to Contingency Reserve(Rs. Crores)</t>
  </si>
  <si>
    <t>Information Regarding Grant/Subsidy from State Govt/Central Govt.</t>
  </si>
  <si>
    <t xml:space="preserve"> Amount from State Govt. </t>
  </si>
  <si>
    <t>i) Purpose for which grant received</t>
  </si>
  <si>
    <t>(a)</t>
  </si>
  <si>
    <t>(b)</t>
  </si>
  <si>
    <t>ii) Targeted categories for subsidy</t>
  </si>
  <si>
    <t xml:space="preserve"> Amount from Central Govt. </t>
  </si>
  <si>
    <t>Contribution to Contingency Reserve, details of grant</t>
  </si>
  <si>
    <t>Base rate of Return on Equity%</t>
  </si>
  <si>
    <t>Tax Rate ( Enclose detailed calculation alongwith supporting documents)%</t>
  </si>
  <si>
    <t>Additional Return</t>
  </si>
  <si>
    <t>Total Return on Equity</t>
  </si>
  <si>
    <t>Form No: F5</t>
  </si>
  <si>
    <t>Form No:F5</t>
  </si>
  <si>
    <t>Form No: F7</t>
  </si>
  <si>
    <t>Form No: 7</t>
  </si>
  <si>
    <t xml:space="preserve">       Form No: F7</t>
  </si>
  <si>
    <t>Form No: F9</t>
  </si>
  <si>
    <t xml:space="preserve">Annual Revenue Requirement </t>
  </si>
  <si>
    <t xml:space="preserve"> The ARR of SLDC shall be filed separately by SLDC. Expenses will be net of Expenditure capitalized.</t>
  </si>
  <si>
    <t>(a) Details of Transmission Lines and Substations</t>
  </si>
  <si>
    <t>Name of line/ Sub-station etc</t>
  </si>
  <si>
    <t> Approved in MYT/RE</t>
  </si>
  <si>
    <t>Ø  The amount of grants and loans shall be furnished separately scheme wise and funding agency wise.</t>
  </si>
  <si>
    <t>Ø  Additional column may  be inserted(if required) for Ensuing Years (Projection).</t>
  </si>
  <si>
    <t>Ø  All Information for previous year, current year (RE), Ensuing year must be in line with information approved in MYT/Business Plan (if any), other-wise a statement showing complete details of variation must be accompanied.</t>
  </si>
  <si>
    <t>Ø  CWIP shall mean Capital Work in Progress</t>
  </si>
  <si>
    <t>Capital Expenditure
(CWIP)</t>
  </si>
  <si>
    <t> Capital Expenditure
(CWIP)</t>
  </si>
  <si>
    <t>Capital 
Expenditure
(CWIP)</t>
  </si>
  <si>
    <t>Capital
 Expenditure
(CWIP)</t>
  </si>
  <si>
    <t>(d) Investment Plan (Scheme-wise)</t>
  </si>
  <si>
    <t>(e) Investment Plan (Year-wise)</t>
  </si>
  <si>
    <t>(f) Abstract of Capital Cost  for the existing Project, Capital Cost Estimates and Schedule of Commissioning for the New projects</t>
  </si>
  <si>
    <t>(g) Financial Package of Capital cost Admitted</t>
  </si>
  <si>
    <t>As on Scheduled COD of the Station</t>
  </si>
  <si>
    <t>3. Details of IDC &amp; Financing Charges are to be  
    furnished as per Form 20</t>
  </si>
  <si>
    <t>2. Details of Capital cost are to be furnished as per 
    Form F5-5 or Form 14(Additional Capitalization) as  
     applicable.</t>
  </si>
  <si>
    <r>
      <t>Admitted Cost</t>
    </r>
    <r>
      <rPr>
        <b/>
        <vertAlign val="superscript"/>
        <sz val="11"/>
        <rFont val="Bookman Old Style"/>
        <family val="1"/>
      </rPr>
      <t>1</t>
    </r>
  </si>
  <si>
    <t>(k) Statement of Additional Capitalization</t>
  </si>
  <si>
    <t>1  Fill the form in chronological order year wise along with detailed justification clearly bring out the 
    necessity and the benefits accruing to the benficiaries.</t>
  </si>
  <si>
    <t xml:space="preserve">2  In case initial spares are purchased alongwith any equipment, then the cost of such spares should
    be indicated separately. </t>
  </si>
  <si>
    <t>(l) Statement of Capital Works in Progress</t>
  </si>
  <si>
    <r>
      <t>(m) Capital Work-In-Progress (CWIP)                                      (</t>
    </r>
    <r>
      <rPr>
        <sz val="11"/>
        <color theme="1"/>
        <rFont val="Bookman Old Style"/>
        <family val="1"/>
      </rPr>
      <t>(</t>
    </r>
    <r>
      <rPr>
        <b/>
        <sz val="11"/>
        <color theme="1"/>
        <rFont val="Bookman Old Style"/>
        <family val="1"/>
      </rPr>
      <t>Rs. Crores</t>
    </r>
    <r>
      <rPr>
        <sz val="11"/>
        <color theme="1"/>
        <rFont val="Bookman Old Style"/>
        <family val="1"/>
      </rPr>
      <t>))</t>
    </r>
  </si>
  <si>
    <t>1.GFA as per (Financial/Statutory Account)</t>
  </si>
  <si>
    <t>2.Expenditure allowed but not capitalized in Financial/Statutory Account</t>
  </si>
  <si>
    <t>3.Expenditure Capitalized in Financial/Statutory Account but not allowed.</t>
  </si>
  <si>
    <t>5.Expenditure capitalized in Financial/Statutory Account</t>
  </si>
  <si>
    <t>6.Expenditure allowed but not capitalized in Financial/Statutory Account</t>
  </si>
  <si>
    <t>7.Expenditure Capitalized in Financial/Statutory Account but not allowed.</t>
  </si>
  <si>
    <t>(a) Reconciliation of Gross Fixed Assets(GFA) admitted with Gross Fixed Assets(GFA) of Financial Account</t>
  </si>
  <si>
    <t>(b) Gross Fixed Assets (GFA) (Information to be supplied for the previous year (actuals), current year (RE) and the ensuring year (s) (projections)        (Rs. in Cr.)</t>
  </si>
  <si>
    <t xml:space="preserve">(d) Statement of Assets Not in Use </t>
  </si>
  <si>
    <t>(a) Details of Loans for the year</t>
  </si>
  <si>
    <t>(b) Further Details in case of Foreign Loans</t>
  </si>
  <si>
    <t>(c) Information Regarding Restructuring of Outstanding Loans During the Year</t>
  </si>
  <si>
    <t>(d) Domestic loans, bonds and financial leasing</t>
  </si>
  <si>
    <t>(e) Statement of Reconciliation of Net Actual Loan ( opening ) with Net Normative Loan ( Opening )   (Rs. In Crore)</t>
  </si>
  <si>
    <r>
      <t>Currency1</t>
    </r>
    <r>
      <rPr>
        <b/>
        <vertAlign val="superscript"/>
        <sz val="11"/>
        <rFont val="Bookman Old Style"/>
        <family val="1"/>
      </rPr>
      <t>1</t>
    </r>
  </si>
  <si>
    <r>
      <rPr>
        <vertAlign val="superscript"/>
        <sz val="11"/>
        <rFont val="Bookman Old Style"/>
        <family val="1"/>
      </rPr>
      <t>1</t>
    </r>
    <r>
      <rPr>
        <sz val="11"/>
        <color theme="1"/>
        <rFont val="Bookman Old Style"/>
        <family val="1"/>
      </rPr>
      <t xml:space="preserve"> Name of the currency to be mentioned e.g. US $, etc.</t>
    </r>
  </si>
  <si>
    <r>
      <rPr>
        <vertAlign val="superscript"/>
        <sz val="11"/>
        <rFont val="Bookman Old Style"/>
        <family val="1"/>
      </rPr>
      <t>2</t>
    </r>
    <r>
      <rPr>
        <sz val="11"/>
        <color theme="1"/>
        <rFont val="Bookman Old Style"/>
        <family val="1"/>
      </rPr>
      <t xml:space="preserve"> In case of equity infusion more than once during the year, Exchange rate at the date of each infusion to be provided</t>
    </r>
  </si>
  <si>
    <t>* Year-wise details should be submitted with documentary evidence. Further Rate of interest of
   various loans to be indicated in a separate sheet.</t>
  </si>
  <si>
    <t>(a) Employee Expenses</t>
  </si>
  <si>
    <t>Form No: F14</t>
  </si>
  <si>
    <t>INDEX OF FORMATS S1 TO P12 FOR ARR &amp; TARIFF FILING BY TRANSMISSION LICENSEES AND THE SAME  SHALL BE USED BY SLDC</t>
  </si>
  <si>
    <t>Interest and Finance Charges(Rs. Crores)</t>
  </si>
  <si>
    <t>Form No:F14</t>
  </si>
  <si>
    <t>(c) Employee Strength</t>
  </si>
  <si>
    <t>Civil</t>
  </si>
  <si>
    <t>Holding Expenses</t>
  </si>
  <si>
    <t>ADB Loan</t>
  </si>
  <si>
    <t>Capital Investment</t>
  </si>
  <si>
    <t>ADB</t>
  </si>
  <si>
    <t>State Govt</t>
  </si>
  <si>
    <t>2018-19</t>
  </si>
  <si>
    <t>(b) Details of Loans for the year</t>
  </si>
  <si>
    <t>2019-20</t>
  </si>
  <si>
    <t>Bank Loan</t>
  </si>
  <si>
    <t>2020-21</t>
  </si>
  <si>
    <t>(c) Details of Loans for the year</t>
  </si>
  <si>
    <t>2021-22</t>
  </si>
  <si>
    <t>Interest Income</t>
  </si>
  <si>
    <t>i) Received under PSDF Scheme</t>
  </si>
  <si>
    <t xml:space="preserve"> Amount from Consumer</t>
  </si>
  <si>
    <t>i) Received under Deposit work</t>
  </si>
  <si>
    <t>Miscellaneous Receipts</t>
  </si>
  <si>
    <t>Application fee Received</t>
  </si>
  <si>
    <t>Terminal Benefits from GoB</t>
  </si>
  <si>
    <t>Not Applicable</t>
  </si>
  <si>
    <t>Construction of New GSS, BAY &amp; Line</t>
  </si>
  <si>
    <t>Add: State Govt. Loan</t>
  </si>
  <si>
    <t>BSPHCL - ADB</t>
  </si>
  <si>
    <r>
      <rPr>
        <b/>
        <sz val="12"/>
        <rFont val="Times New Roman"/>
        <family val="1"/>
      </rPr>
      <t xml:space="preserve">Sr.
</t>
    </r>
    <r>
      <rPr>
        <b/>
        <sz val="12"/>
        <rFont val="Times New Roman"/>
        <family val="1"/>
      </rPr>
      <t>No.</t>
    </r>
  </si>
  <si>
    <r>
      <rPr>
        <b/>
        <sz val="12"/>
        <rFont val="Times New Roman"/>
        <family val="1"/>
      </rPr>
      <t>Particulars</t>
    </r>
  </si>
  <si>
    <r>
      <rPr>
        <b/>
        <sz val="12"/>
        <rFont val="Times New Roman"/>
        <family val="1"/>
      </rPr>
      <t>FY 2018-19</t>
    </r>
  </si>
  <si>
    <r>
      <rPr>
        <b/>
        <sz val="12"/>
        <rFont val="Times New Roman"/>
        <family val="1"/>
      </rPr>
      <t>Projection</t>
    </r>
  </si>
  <si>
    <r>
      <rPr>
        <b/>
        <sz val="12"/>
        <rFont val="Times New Roman"/>
        <family val="1"/>
      </rPr>
      <t xml:space="preserve">MYT
</t>
    </r>
    <r>
      <rPr>
        <b/>
        <sz val="12"/>
        <rFont val="Times New Roman"/>
        <family val="1"/>
      </rPr>
      <t xml:space="preserve">Order Dated
</t>
    </r>
    <r>
      <rPr>
        <b/>
        <sz val="12"/>
        <rFont val="Times New Roman"/>
        <family val="1"/>
      </rPr>
      <t>21.03.2016</t>
    </r>
  </si>
  <si>
    <r>
      <rPr>
        <b/>
        <sz val="12"/>
        <rFont val="Times New Roman"/>
        <family val="1"/>
      </rPr>
      <t xml:space="preserve">Approved by BERC
</t>
    </r>
    <r>
      <rPr>
        <b/>
        <sz val="12"/>
        <rFont val="Times New Roman"/>
        <family val="1"/>
      </rPr>
      <t>Dated 07.03.2018</t>
    </r>
  </si>
  <si>
    <r>
      <rPr>
        <b/>
        <sz val="12"/>
        <rFont val="Times New Roman"/>
        <family val="1"/>
      </rPr>
      <t xml:space="preserve">Projected for Review (RE)
</t>
    </r>
    <r>
      <rPr>
        <b/>
        <sz val="12"/>
        <rFont val="Times New Roman"/>
        <family val="1"/>
      </rPr>
      <t>FY 2018-19</t>
    </r>
  </si>
  <si>
    <r>
      <rPr>
        <b/>
        <sz val="12"/>
        <rFont val="Times New Roman"/>
        <family val="1"/>
      </rPr>
      <t xml:space="preserve">Projected for ARR (FY 2019-
</t>
    </r>
    <r>
      <rPr>
        <b/>
        <sz val="12"/>
        <rFont val="Times New Roman"/>
        <family val="1"/>
      </rPr>
      <t>20)</t>
    </r>
  </si>
  <si>
    <r>
      <rPr>
        <b/>
        <sz val="12"/>
        <rFont val="Times New Roman"/>
        <family val="1"/>
      </rPr>
      <t xml:space="preserve">Projected for ARR (FY 2020-
</t>
    </r>
    <r>
      <rPr>
        <b/>
        <sz val="12"/>
        <rFont val="Times New Roman"/>
        <family val="1"/>
      </rPr>
      <t>21)</t>
    </r>
  </si>
  <si>
    <r>
      <rPr>
        <b/>
        <sz val="12"/>
        <rFont val="Times New Roman"/>
        <family val="1"/>
      </rPr>
      <t xml:space="preserve">Projected for ARR
</t>
    </r>
    <r>
      <rPr>
        <b/>
        <sz val="12"/>
        <rFont val="Times New Roman"/>
        <family val="1"/>
      </rPr>
      <t>(FY 2021-22)</t>
    </r>
  </si>
  <si>
    <r>
      <rPr>
        <sz val="12"/>
        <rFont val="Times New Roman"/>
        <family val="1"/>
      </rPr>
      <t>Opening Loan</t>
    </r>
  </si>
  <si>
    <r>
      <rPr>
        <sz val="12"/>
        <rFont val="Times New Roman"/>
        <family val="1"/>
      </rPr>
      <t xml:space="preserve">Additions during
</t>
    </r>
    <r>
      <rPr>
        <sz val="12"/>
        <rFont val="Times New Roman"/>
        <family val="1"/>
      </rPr>
      <t>year</t>
    </r>
  </si>
  <si>
    <r>
      <rPr>
        <sz val="12"/>
        <rFont val="Times New Roman"/>
        <family val="1"/>
      </rPr>
      <t>Repayment</t>
    </r>
  </si>
  <si>
    <r>
      <rPr>
        <sz val="12"/>
        <rFont val="Times New Roman"/>
        <family val="1"/>
      </rPr>
      <t>Closing Loan(1+2-3)</t>
    </r>
  </si>
  <si>
    <r>
      <rPr>
        <b/>
        <sz val="12"/>
        <rFont val="Times New Roman"/>
        <family val="1"/>
      </rPr>
      <t xml:space="preserve">Average
</t>
    </r>
    <r>
      <rPr>
        <b/>
        <sz val="12"/>
        <rFont val="Times New Roman"/>
        <family val="1"/>
      </rPr>
      <t>Loan(1+4)/2</t>
    </r>
  </si>
  <si>
    <r>
      <rPr>
        <sz val="12"/>
        <rFont val="Times New Roman"/>
        <family val="1"/>
      </rPr>
      <t>Rate of Interest</t>
    </r>
  </si>
  <si>
    <r>
      <rPr>
        <b/>
        <sz val="12"/>
        <rFont val="Times New Roman"/>
        <family val="1"/>
      </rPr>
      <t xml:space="preserve">Interest on
</t>
    </r>
    <r>
      <rPr>
        <b/>
        <sz val="12"/>
        <rFont val="Times New Roman"/>
        <family val="1"/>
      </rPr>
      <t>Loan</t>
    </r>
  </si>
  <si>
    <r>
      <rPr>
        <b/>
        <sz val="12"/>
        <rFont val="Times New Roman"/>
        <family val="1"/>
      </rPr>
      <t>Finance Charges</t>
    </r>
  </si>
  <si>
    <r>
      <rPr>
        <b/>
        <sz val="12"/>
        <rFont val="Times New Roman"/>
        <family val="1"/>
      </rPr>
      <t>--</t>
    </r>
  </si>
  <si>
    <r>
      <rPr>
        <b/>
        <sz val="12"/>
        <rFont val="Times New Roman"/>
        <family val="1"/>
      </rPr>
      <t xml:space="preserve">Interest and Finance
</t>
    </r>
    <r>
      <rPr>
        <b/>
        <sz val="12"/>
        <rFont val="Times New Roman"/>
        <family val="1"/>
      </rPr>
      <t>Charges</t>
    </r>
  </si>
  <si>
    <t>Working for Interest on Loan</t>
  </si>
  <si>
    <t xml:space="preserve">Revenue from operations
a)Revenue from Transmission/Wheeling charges
-NBPDCL
</t>
  </si>
  <si>
    <t xml:space="preserve">State Bank one-year ‘MCLR’as on </t>
  </si>
  <si>
    <t>i.  Transmission Charges</t>
  </si>
  <si>
    <t xml:space="preserve">Name
of line </t>
  </si>
  <si>
    <t>Type of Line
AC/HVDC</t>
  </si>
  <si>
    <t>S/C OR
D/C</t>
  </si>
  <si>
    <t>No. Of Sub-
conductors</t>
  </si>
  <si>
    <t>Voltage
level KV</t>
  </si>
  <si>
    <t>Line length
Ckt.-Km.</t>
  </si>
  <si>
    <t>AC</t>
  </si>
  <si>
    <t>D/C</t>
  </si>
  <si>
    <t>132 KV</t>
  </si>
  <si>
    <t>132KV</t>
  </si>
  <si>
    <t>S/C</t>
  </si>
  <si>
    <t>Yet to be awarded</t>
  </si>
  <si>
    <t>20.10.2017</t>
  </si>
  <si>
    <t>07.06.2018</t>
  </si>
  <si>
    <t>No. Of Bays</t>
  </si>
  <si>
    <t>Construction of 220/132/33 KV, (2x160 + 3x50) MVA, GSS Asthawan (Dist.- Nalanda) including Residential Quarters with Construction of 02 Nos. 220 KV Line Bays &amp; 06 Nos. 132 KV Line Bays at remote end on Turnkey Basis. NIT No.-41/PR/BSPTCl/2018</t>
  </si>
  <si>
    <t>NA</t>
  </si>
  <si>
    <t>Construction of  2 x20MVA , 132/33KV GSS Tarapur, Teghra and Simri Bakhtiyarpur against NIT 91/2014.</t>
  </si>
  <si>
    <t>Construction of  2 x50MVA , 132/33KV GSS Araria, Barsoi, Baisi and Dhamdaha AGAINST NIT 92/2014.</t>
  </si>
  <si>
    <t>N/A</t>
  </si>
  <si>
    <t>Nil</t>
  </si>
  <si>
    <t>Construction of 05 Nos of 132/33 KV Transformer Bays in Gaya Transmission Circle on turnkey basis under State Plan against NIT No. 120/PR/BSPTCL/2018</t>
  </si>
  <si>
    <t>Construction of 04 Nos of 132/33 KV Transformer Bays in Saran, Kosi &amp; Bhagalpur Transmission Circle on turnkey basis under State Plan against NIT No. 121/PR/BSPTCL/2018</t>
  </si>
  <si>
    <t>Construction of 03 Nos of 132/33 KV Transformer Bays in Biharsharif &amp; Dehri-on-sone  Transmission Circle on turnkey basis under State Plan against NIT 122/PR/BSPTCL/2018</t>
  </si>
  <si>
    <t>Deposit work</t>
  </si>
  <si>
    <t>State Plan</t>
  </si>
  <si>
    <t>26.08.2013</t>
  </si>
  <si>
    <t>18.11.2016</t>
  </si>
  <si>
    <t>31.03.2017</t>
  </si>
  <si>
    <t>30.01.2014</t>
  </si>
  <si>
    <t>31.12.2015</t>
  </si>
  <si>
    <t>10.06.2016</t>
  </si>
  <si>
    <t>31.10.2016</t>
  </si>
  <si>
    <t>29.10.2016</t>
  </si>
  <si>
    <t>21.03.2015</t>
  </si>
  <si>
    <t>28.01.2015</t>
  </si>
  <si>
    <t>02.03.2016</t>
  </si>
  <si>
    <t>12.02.2018</t>
  </si>
  <si>
    <t>22.06.2012</t>
  </si>
  <si>
    <t>30.12.2015</t>
  </si>
  <si>
    <t>18.05.2018</t>
  </si>
  <si>
    <t>27.03.2017</t>
  </si>
  <si>
    <t>09.03.2015</t>
  </si>
  <si>
    <t>04.02.2016</t>
  </si>
  <si>
    <t>05.10.2018</t>
  </si>
  <si>
    <t>30.08.2016</t>
  </si>
  <si>
    <t>20.03.2015</t>
  </si>
  <si>
    <t>15.03.2015</t>
  </si>
  <si>
    <t>03.02.2016</t>
  </si>
  <si>
    <t>10.02.2015</t>
  </si>
  <si>
    <t>11.02.2015</t>
  </si>
  <si>
    <t>12.08.2015</t>
  </si>
  <si>
    <t>05.01.2018</t>
  </si>
  <si>
    <t>11.12.2017</t>
  </si>
  <si>
    <t>10.06.2015</t>
  </si>
  <si>
    <t>01.03.2014</t>
  </si>
  <si>
    <t>31.01.2015</t>
  </si>
  <si>
    <t>03.03.2016</t>
  </si>
  <si>
    <t xml:space="preserve"> 02.03.2016 </t>
  </si>
  <si>
    <t>06.01.2015</t>
  </si>
  <si>
    <t>09.02.2015</t>
  </si>
  <si>
    <t>25.08.2015</t>
  </si>
  <si>
    <t>13.08.2015</t>
  </si>
  <si>
    <t>18.12.2017</t>
  </si>
  <si>
    <t>13.02.2014</t>
  </si>
  <si>
    <t>12.03.2015</t>
  </si>
  <si>
    <t>29.01.2015</t>
  </si>
  <si>
    <t>Frim or With Escalation in prices</t>
  </si>
  <si>
    <t>Firm</t>
  </si>
  <si>
    <t>(Revised)</t>
  </si>
  <si>
    <t>BIHAR GAZETTE (EXTRA) 28 TH August 2018</t>
  </si>
  <si>
    <t xml:space="preserve">Form No.: P3 </t>
  </si>
  <si>
    <t xml:space="preserve">Type of Accident </t>
  </si>
  <si>
    <t>FATAL</t>
  </si>
  <si>
    <t>NON FATAL</t>
  </si>
  <si>
    <t xml:space="preserve">Human </t>
  </si>
  <si>
    <t>Other, if any (please Specify)</t>
  </si>
  <si>
    <t xml:space="preserve">Total </t>
  </si>
  <si>
    <t>Projection of Sales , Connected Load and Demand</t>
  </si>
  <si>
    <t>Form No:F3</t>
  </si>
  <si>
    <t xml:space="preserve">Particulars </t>
  </si>
  <si>
    <t>Distribution Licenses</t>
  </si>
  <si>
    <t>North Bihar Power Distribution
Company Limited</t>
  </si>
  <si>
    <t>South Bihar Power Distribution
Company Limited</t>
  </si>
  <si>
    <t>Bulk Consumers /Long Term 
Open Access Customers(If any)</t>
  </si>
  <si>
    <t>TOTAL</t>
  </si>
  <si>
    <t>i.</t>
  </si>
  <si>
    <t>ii.</t>
  </si>
  <si>
    <t xml:space="preserve">S.N </t>
  </si>
  <si>
    <t>Ensuring 
Years
(Projection)</t>
  </si>
  <si>
    <t>Number of employees at 
the beginning of FY</t>
  </si>
  <si>
    <t xml:space="preserve">Technical </t>
  </si>
  <si>
    <t>Non Techanical (Administration)</t>
  </si>
  <si>
    <t>(c)</t>
  </si>
  <si>
    <t>Non Techanical(Revrnue,
Finance and Accounts) )</t>
  </si>
  <si>
    <t>No.of employees added during FY</t>
  </si>
  <si>
    <t xml:space="preserve">(a) </t>
  </si>
  <si>
    <t>Number of employees retiring/
leaving during the FY</t>
  </si>
  <si>
    <t>Non Techanical(Revenue,
Finance and Accounts) )</t>
  </si>
  <si>
    <t>Number of employees at the 
end of the FY( 1+2-3)</t>
  </si>
  <si>
    <t>* Pertaining to Transmission Business Only , SLDC shall file separately</t>
  </si>
  <si>
    <t xml:space="preserve">(d) Employees Productivity Parameters </t>
  </si>
  <si>
    <t xml:space="preserve">Year (R.E) </t>
  </si>
  <si>
    <t>years 
(Projection)</t>
  </si>
  <si>
    <t xml:space="preserve">Number of employees </t>
  </si>
  <si>
    <t>Total capacity of Substations
(MVA)</t>
  </si>
  <si>
    <t>Transmission line length in
 ckt/km</t>
  </si>
  <si>
    <t>Energy Received at STU-
CTU interface (Units)</t>
  </si>
  <si>
    <t>Employees per MU of
energy handled (5/1)</t>
  </si>
  <si>
    <t>Employees cost (CRORE)</t>
  </si>
  <si>
    <t>Employees cost in paise/
KWH(7/5)</t>
  </si>
  <si>
    <t>BIHAR GAZETTE (EXTRA) 17 TH July 2018</t>
  </si>
  <si>
    <t xml:space="preserve">Abstract of Outages due to feeder tripping </t>
  </si>
  <si>
    <t>Form No.: P4</t>
  </si>
  <si>
    <t xml:space="preserve">s. No. </t>
  </si>
  <si>
    <t xml:space="preserve">Ensuing Years </t>
  </si>
  <si>
    <t>total No. of feeders</t>
  </si>
  <si>
    <t>No. of tripping</t>
  </si>
  <si>
    <t>Average duration of interruption per teeder</t>
  </si>
  <si>
    <t>Feeder Voltage Level (400 KV)</t>
  </si>
  <si>
    <t>Feeder Voltage Level (220 KV)</t>
  </si>
  <si>
    <t>Feeder Voltage Level (132 KV)</t>
  </si>
  <si>
    <t>BIHAR GAZETTE (EXTRA) 28TH AUGUST 2018</t>
  </si>
  <si>
    <t xml:space="preserve">Major System Disturbances </t>
  </si>
  <si>
    <t>SI. No.</t>
  </si>
  <si>
    <t>Distrurbances</t>
  </si>
  <si>
    <t>Number</t>
  </si>
  <si>
    <t>Disturbances when DISCOM supply has been effected for more than 1 hr.</t>
  </si>
  <si>
    <t>Due to 220 KV transformer failure</t>
  </si>
  <si>
    <t>Due to 220 KV transmission line failure</t>
  </si>
  <si>
    <t>Due to 132 KV transformer failure</t>
  </si>
  <si>
    <t>Due to 132 KV transmission line failure</t>
  </si>
  <si>
    <t>Due to 132 KV sub - station equipment (CT, CVT etc.) failure</t>
  </si>
  <si>
    <t>BIHAR GAZETTE (EXTRA) 28 TH AUGUST 2018</t>
  </si>
  <si>
    <t xml:space="preserve">Failure of Transformers </t>
  </si>
  <si>
    <t>SI No.</t>
  </si>
  <si>
    <t>Rated Voltage</t>
  </si>
  <si>
    <t>Total No. of Transformers</t>
  </si>
  <si>
    <t>Total Duration of failure (hrs.</t>
  </si>
  <si>
    <t>220/132/33KV Transformers</t>
  </si>
  <si>
    <t>220/132 KV Transformers</t>
  </si>
  <si>
    <t>2x160</t>
  </si>
  <si>
    <t>132/33 KV Transformers</t>
  </si>
  <si>
    <t>1x50</t>
  </si>
  <si>
    <t>BIHAR GAZETTE (EXTRA) 17TH JULY 2018</t>
  </si>
  <si>
    <t>Name of Transmission Licensee :M/s BSPTCL</t>
  </si>
  <si>
    <t>Form No. P1 (Revised)</t>
  </si>
  <si>
    <t>Details</t>
  </si>
  <si>
    <t>Losses in 400KV system</t>
  </si>
  <si>
    <t xml:space="preserve">Total Energy delivered by generating Stations and Inter State / Intra State tie - links at the interface points of the Intra State Transmission system </t>
  </si>
  <si>
    <t>Energy Delivered to  next (Lower) voltage level of the Transmission System</t>
  </si>
  <si>
    <t>Sum of all the energy delivered at this voltag level to the state Distribution System</t>
  </si>
  <si>
    <t>Transmission loss in (Transco) system (%) (A4/A1)x100</t>
  </si>
  <si>
    <t>Losses in 220 KV system</t>
  </si>
  <si>
    <t>Transmission loss in (Transco) system (%) (B4/B1)x100</t>
  </si>
  <si>
    <t xml:space="preserve"> </t>
  </si>
  <si>
    <t>Losses calculation at 132KV</t>
  </si>
  <si>
    <t xml:space="preserve">Previous Year </t>
  </si>
  <si>
    <t>Pertaining to Transmission Business Only, SLDC shall file separately</t>
  </si>
  <si>
    <t>Energy Delivered to next (Lower) voltage level</t>
  </si>
  <si>
    <t>sum of all the energy delivered at this voltage level to the state Distribution System</t>
  </si>
  <si>
    <t>Transmission loss in System (C1-C2-C3)</t>
  </si>
  <si>
    <t>Transmission loss in (Transco) system (%) C4/C1) x 100</t>
  </si>
  <si>
    <t>Total Losses in the Transmission system</t>
  </si>
  <si>
    <r>
      <t>sum of all the energy delivered at this voltage level to the state Distribution System-</t>
    </r>
    <r>
      <rPr>
        <b/>
        <sz val="13"/>
        <color indexed="8"/>
        <rFont val="Calibri"/>
        <family val="2"/>
      </rPr>
      <t xml:space="preserve"> From energy meter readings in GSS</t>
    </r>
  </si>
  <si>
    <t>Transmission loss in System (D1-D2)</t>
  </si>
  <si>
    <t>Transmission loss in (Transco) system (%) (D3/D1) x100</t>
  </si>
  <si>
    <t xml:space="preserve">Signature of Petitioner </t>
  </si>
  <si>
    <t>Energy Delivered by Transmission licensee to the Distribution                                                       Form No.- P2</t>
  </si>
  <si>
    <t>Licensees/ Bulk consumers  at interface points</t>
  </si>
  <si>
    <t>Total Energy Delivered (MUs)</t>
  </si>
  <si>
    <t>NBPDCL (MUs)</t>
  </si>
  <si>
    <t>SBPDCL (MUs)</t>
  </si>
  <si>
    <t xml:space="preserve">North Bihar </t>
  </si>
  <si>
    <t>Railway</t>
  </si>
  <si>
    <t>South Bihar</t>
  </si>
  <si>
    <t>33 KV</t>
  </si>
  <si>
    <t>FY 2019-20</t>
  </si>
  <si>
    <t>FY 2020-21</t>
  </si>
  <si>
    <t>FY 2017-18</t>
  </si>
  <si>
    <t>Frequency variation</t>
  </si>
  <si>
    <t>Form No. : P6</t>
  </si>
  <si>
    <t>Frequency</t>
  </si>
  <si>
    <t>Above 50.5 Hz</t>
  </si>
  <si>
    <t>50.2-49.8 Hz</t>
  </si>
  <si>
    <t>49.5-49.0 Hz</t>
  </si>
  <si>
    <t>49.0-48.5 Hz</t>
  </si>
  <si>
    <t>Below 48.5 Hz</t>
  </si>
  <si>
    <t>Data obtained from SCADA(ULDC)</t>
  </si>
  <si>
    <t>Voltage fluctuation</t>
  </si>
  <si>
    <t>Form No.: P7</t>
  </si>
  <si>
    <t>Name of GSS</t>
  </si>
  <si>
    <t>Transformation capacity</t>
  </si>
  <si>
    <t>Reactive Comp ensati on provided</t>
  </si>
  <si>
    <t>Reactive Comp ensati on provi ded</t>
  </si>
  <si>
    <t>Hrs</t>
  </si>
  <si>
    <t>Biharsharif</t>
  </si>
  <si>
    <t>Khagaul</t>
  </si>
  <si>
    <t>Bodhgaya</t>
  </si>
  <si>
    <t>Gopalganj</t>
  </si>
  <si>
    <t>Samastipur</t>
  </si>
  <si>
    <t>Begusarai</t>
  </si>
  <si>
    <t>Madhepura</t>
  </si>
  <si>
    <t>Motipur</t>
  </si>
  <si>
    <t>Dumraon</t>
  </si>
  <si>
    <t>Ekma</t>
  </si>
  <si>
    <t>Buxar</t>
  </si>
  <si>
    <t>Jehanabad</t>
  </si>
  <si>
    <t>Kochas</t>
  </si>
  <si>
    <t>Ramnagar</t>
  </si>
  <si>
    <t>Bettiah</t>
  </si>
  <si>
    <t>Nawada</t>
  </si>
  <si>
    <t>Note : Upper/Lower voltage limit:  +/- 5% of Rated voltage</t>
  </si>
  <si>
    <t>Licensee wise Load shedding carried out during  the year</t>
  </si>
  <si>
    <t>Form No. : P8</t>
  </si>
  <si>
    <t>Cuurnt year</t>
  </si>
  <si>
    <t>S. No.</t>
  </si>
  <si>
    <t>Load shedding during the Year (In Hrs)</t>
  </si>
  <si>
    <t>On SLDC's Instructions</t>
  </si>
  <si>
    <t>Note- Data of ensuing years depends on generation (ISGS &amp; State), demand and other situation.</t>
  </si>
  <si>
    <t>Details of Overloaded feeders</t>
  </si>
  <si>
    <t>Form No. : P9</t>
  </si>
  <si>
    <t>Feeder length (ckt. Km)</t>
  </si>
  <si>
    <t xml:space="preserve">No. of feeders overloaded </t>
  </si>
  <si>
    <t>Line length Overloaded feeders (ckt. Km)</t>
  </si>
  <si>
    <t>% number of overloaded feeders in Area</t>
  </si>
  <si>
    <t>%length of overloades of feeders in Area</t>
  </si>
  <si>
    <t>i)</t>
  </si>
  <si>
    <t>Raxaul</t>
  </si>
  <si>
    <t xml:space="preserve">Current Year </t>
  </si>
  <si>
    <t>BIHAR GAZETTE (EXTRA) 17 TH JULY  2018</t>
  </si>
  <si>
    <t>Details of overloaded Transformers</t>
  </si>
  <si>
    <t>Form No. :P10</t>
  </si>
  <si>
    <t>FY 2016-17</t>
  </si>
  <si>
    <t>Not Applicable for BSPTCL       (SLDC is submitted the petition seperately)</t>
  </si>
  <si>
    <t>Transmission Income per Employee (Rs. Cr)</t>
  </si>
  <si>
    <t>Total line length/employee (cKm.)</t>
  </si>
  <si>
    <t xml:space="preserve">BIHAR STATE POWER TRANSMISSION COMPANY LIMITED </t>
  </si>
  <si>
    <t>Ensuing Year</t>
  </si>
  <si>
    <t>Approved in MYT</t>
  </si>
  <si>
    <t>Audited</t>
  </si>
  <si>
    <t>Forms</t>
  </si>
  <si>
    <t>Current Year (FY 2019-20)</t>
  </si>
  <si>
    <t>Apr-Sep (Actual)</t>
  </si>
  <si>
    <t>Oct-Mar (Estimated)</t>
  </si>
  <si>
    <t>Apr-Mar (RE)</t>
  </si>
  <si>
    <t>Ensuing Year (FY 2020-21)</t>
  </si>
  <si>
    <t>Projected</t>
  </si>
  <si>
    <t>In MW</t>
  </si>
  <si>
    <t>A) Projection of Sales (MU)</t>
  </si>
  <si>
    <t>C) Projection Of Maxmium or Peak Demand (in MW)(Unrestricted)</t>
  </si>
  <si>
    <t>Ensuing Year (Proj)</t>
  </si>
  <si>
    <t>Transmission Sub-station</t>
  </si>
  <si>
    <t>Previous year (FY 2018-19)</t>
  </si>
  <si>
    <t>Approved in Previous MYT</t>
  </si>
  <si>
    <t>Construction of (2x160MVA+3x50MVA) 220/132/33 KV GSS, Tajpur(with SAS)(District-Samastipur) and Residential Quarters (Additional scope) under State Plan on turnkey basis against NIT No.-34/PR/BSPTCL/2018.</t>
  </si>
  <si>
    <t>FY 2021-22</t>
  </si>
  <si>
    <t>NOA issued on 21.01.2019</t>
  </si>
  <si>
    <t>Cost of Project as per DPR</t>
  </si>
  <si>
    <t>Probable Month of Commissioning</t>
  </si>
  <si>
    <t xml:space="preserve">Capitalized in </t>
  </si>
  <si>
    <t>Augmentation of existing 132/33 KV GSS Ekma (1x20MVA + 1x50MVA) by 3x50MVA capacity against NIT No.-36/PR/BSPTCL/2018</t>
  </si>
  <si>
    <t>NOA issued on 16.01.2019</t>
  </si>
  <si>
    <t>Construction of 132/33KV (2X50 MVA) GSS at Palasi (Dist. Araria) on turnkey basis. NIT No.-37/PR/BSPTCL/18</t>
  </si>
  <si>
    <t>Construction of 220/132/33 KV (2X160+3x50MVA) GSS at Garaul (Dist. Vaishali) on turnkey basis NIT No 39/PR/BSPTCL/2018.</t>
  </si>
  <si>
    <t>Construction of (2x200 MVA+ 3x50 MVA) 220/132/33 KV GSS, Raxaul (District-East Champaran) complete with SAS and Residential Quarters under State Plan on turnkey basiS against NIT No. 40/PR/BSPTCL/2018</t>
  </si>
  <si>
    <t>Re-conductoring of following transmission lines with HTLS (equivalent to Panther) except GAP conductor on Turnkey Basis as detailed below : - 1. 132 KV S/C Kahalgaon (BSPTCL)- Kahalgaon (NTPC) trans. Line of route length 7 Km. 2. 132 KV S/C Kahalgaon (BSPTCL)- Sabour trans. Line of route length 27 Km.NIT No.-113/PR/BSPTCl/2018</t>
  </si>
  <si>
    <t>Re-conductoring of Barauni TPS-Begusarai 132 KV D/c Transmission lines with HTLS Conductor (Capacity -240 MVA, 1050A ) (12 RKM).NIT No.-112/PR/BSPTCl/2018</t>
  </si>
  <si>
    <t>Construction of 132 KV transmission line with HTLS (equivalent to Panther) conductor on turnkey basis from 132 KV GSS Phulparas to 220/132 KV GSS Laukahi (CKM-25 KM). NIT No. 111/PR/BSPTCL/2018</t>
  </si>
  <si>
    <t>Re-tendering</t>
  </si>
  <si>
    <t>Construction of following associated 220KV &amp; 132KV D/C Transmission Lines of 220/132/33KV GSS Asthawan (Dist. Nalanda) on Turnkey Basis:- 1. Construction of 220 KV D/C Transmission line from Sheikhopursarai(BGCL) to 220/132/33 KV GSS Asthawan (Line Length- 20 )RKM 2. Construction of 220 KV D/C Transmission line from 220/132/33 KV GSS Biharsharif to 220/132/33 KV GSS Asthawan (Line Length - 20 RKM). 3. Construction of 132 KV D/C Transmission line from 220/132/33 KV GSS Asthawan to 132/33 KV GSS Barh (Line Length - 40 RKM). 4. Construction of 132 KV D/C Transmission line from 220/132/33 KV GSS Asthawan to 132/33 KV GSS Rajgir (Line Length - 40 RKM). 5. Construction of 132 KV D/C Transmission line from 220/132/33 KV GSS Asthawan to 132/33 KV GSS Nalanda (Line Length - 30 RKM).NIT No.-58/PR/BSPTCL/2018</t>
  </si>
  <si>
    <t>NIT Cancelled &amp; Re-tendering to be done</t>
  </si>
  <si>
    <t>Construction of line bays at various Grid substations on Turnkey Basis under state plan :- i. 02 Nos. 132KV line bays at GSS Harnaut, ii. 02 Nos. 132KV line bays at GSS Baripahari NIT No.-83/PR/BSPTCL/2018 Revised NIT No.- 133/PR/BSPTCL/2018</t>
  </si>
  <si>
    <t>1. Construction of 220kV D/c Pusauli (PG)- Sahpuri LILO Karmnasha (new) Transmission line with single moose (Line length-12 Ckm) on turnkey basis. 2. Construction of 220kV D/c Pusauli (BSPTCL)- Karmnasha (New) Transmission Line with twin moose (Line length - 80 Ckm) on turnkey basis NIT No.-56/PR/BSPTCL/2018</t>
  </si>
  <si>
    <t>Construction of 220 KV D/C Saharsa( New)- Khagaria(New) Transmission line with ACSR Zebra Conductor (Approx Route Length-80KM) under State Plan against NIT No. 57/PR/BSPTCL/2018</t>
  </si>
  <si>
    <t>Re-conductoring of 132 KV Chandauti-Sonenagar S/C Trans. Line (L-30) and 132 KV Chandauti-Rafiganj-Sonenagar Trans. Line (L-31) with HTLS conductor (equivalent to Panther) on turnkey basis. (Route length- 78.21 KM) against NIT No.-109/PR/BSPTCL/18</t>
  </si>
  <si>
    <t>Construction of 132 KV D/C Transmission Line for LILO of Chandauti-Sonenagar (L-30) 132 KV S/C Transmission Line and Chandauti-Rafiganj-Sonenagar (L-31) 132 KV S/C Transmission Line at GSS Chandauti (New) with HTLS Conductor (equivalent to Panther) conductor on turnkey basis. (Route length –46 KM).against NIT No.-110/PR/BSPTCL/18</t>
  </si>
  <si>
    <t>Construction of 132KV LILO line on 132KV S/C Dehri-Banjari Tr line to new GSS Kerpa(CKM-02KM approx.) 2.Re-conductoring of existing 132KV S/c Tr Line from Dehri to Banjari with HTLS (Equivalent to Panther conductor) 40KM approx 3. Re-conductoring of existing 132KV D/C Tr line from dehri to Sonenagar with HTLS (Equivalent to Panther conductor)29KM approx. NIT No.-108/PR/BSPTCL/2018</t>
  </si>
  <si>
    <t>Construction of 132Kv D/C Karmnasa (new)-Ramgarh Tr Line on single mooze. 2. Construction of 132KV D/c Karmnasa (new)-Karmnasa Tr line on single mooze.NIT No.-55/PR/BSPTCl/2018</t>
  </si>
  <si>
    <t>Construction of 220 KV D/C Sitamarhi (New)- Raxaul(New) Transmission Line with twin moose Conductor (Line Length - 120 RKM) on turnkey basis against NIT No.-60/PR/BSPTCL/2018.</t>
  </si>
  <si>
    <t>i) Construction of 220 KV D/C Transmission Line from 220/132/33 KV Samastipur (New) to proposed 220/132/33 KV GSS Tajpur (Line Length -30 KM). (ii) Construction of 132KV D/C Shahpurpatori - Tajpur Transmission line with ACSR Panther Conductor (Line Length-40 KM). &amp; (iii) Construction of 220 KV D/C Transmisin Line from proposed 220/132/33KV GSS Tajpur to proposed GSS Goraul (Line Length- 45 KM) against NIT No.-66/PR/BSPTCL/2018.</t>
  </si>
  <si>
    <t>Construction of following Transmission lines on Turnkey basis: i) 220 KV D/C Muzaffarpur(PG)-Garaul Transmission Line with ACSR Zebra Conductor (Line Length-20 RKM) ii) 132 KV D/C Garaul-MahnarTransmission Line with ACSR Panther Conductor (Line Length- 45 RKM) iii) LILO of both circuit of 132 KV D/C Muzaffarpur-vaishali Transmission Line at Garaul GSS with ACSR Panther Conductor (Line Length- 2x15 RKM) iv) 132 KV D/C Transmission line from GSS Chhapra(New)-Ekma with ACSR Panther Conductor (Line Length - 45 RKM) NIT No- 50/PR/BSPTCL/2018.</t>
  </si>
  <si>
    <t>Construction of 220 KV D/C Saharsa(New)- Begusarai Transmission line with ACSR Zebra Conductor (Approx Route Length-100KM) under State Plan against NIT No. 54/PR/BSPTCL/2018.</t>
  </si>
  <si>
    <t>Construction of 220 KV D/C Transmission Line from GSS Sitamarhi (New) to 220/132/33 KV GSS Motipur with Twin ACSR Moose Conductor (Approx Line Length – 54RKM) and construction of 132 KV D/C Transmission Line from GSS Sitamarhi (New) to 132/33 KV GSS Runnisaidpur with single ACSR Moose Conductor (Approx Line Length – 17RKM) on turnkey basis against NIT No.-61/PR/BSPTCL/2018.</t>
  </si>
  <si>
    <t>Construction of 220 KV D/C Transmission Line from 220/132/33 KV GSS Raxaul (New) to 220/132/33 KV GSS Gopalganj with Twin ACSR Moose Conductor (Approx Line Length – 80RKM) on Turnkey Basis against NIT No.-62/PR/BSPTCL/2018.</t>
  </si>
  <si>
    <t>Construction of LILO of 132 KV DCSS Benipatti - Pupari Transmission line at Sitamarhi (new) and LILO of both ckt. of 132 KV Raxaul - Bettiah D/C Transmission line at Raxaul (new) with ACSR Panther Conductor. NIT No.-71/PR/BSPTCL/2018</t>
  </si>
  <si>
    <t>i) Construction of 220/132KV (2x100 MVA) GSS at Korha with SAS and Residential Quarters (ii) Addition/augmentation of 160MVA 220/132 Transformer at 220/132/33KV GSS Kishanganj (New) on turnkey basis under State Plan against NIT No. 86/PR/BSPTCL/2018</t>
  </si>
  <si>
    <t>Supply, erection, testing and commissioning of 28 Nos. of 132/33 KV 50 MVA Transformer including Transformer Foundations under State Plan against NIT No. 105/PR/BSPTCL/2018.</t>
  </si>
  <si>
    <t>Capacity augmentation of different GSS by Addition /Replacement by 200 MVA Power Transformer alongwith associated bays on Turnkey Basis at GSS Khagaul &amp; Sipara NIT No.-49/PR/BSPTCL2018</t>
  </si>
  <si>
    <t>Procurement of 04 Nos. 20 MVA, 132/33 kV Power Transformers against NIT No.- 22/PR/BSPTCL/2018</t>
  </si>
  <si>
    <t>Construction of 12 Nos of 132/33 KV Transformer Bays on turnkey basis under State Plan against NIT No. 106/PR/BSPTCL/2018.</t>
  </si>
  <si>
    <t>Construction of (2x50) MVA, 132/33 KV GSS Paliganj (Dist.- Patna) and 02 Nos. 132 KV Line Bay Extension at remote end on turnkey basis NIT No.-03/PR/BSPTCL/2018</t>
  </si>
  <si>
    <t>Construction of 220/132/33 KV (2x200 MVA + 3x50MVA) GSS Karmnasha (new) NIT No.-38/PR/BSPTCL/2018</t>
  </si>
  <si>
    <t>Construction of (2x200 + 2x80) MVA, 220/132/33 KV Gas Insulated Sub-station at Digha (New) and 02 nos. 220 KV GIS line bays extension at GSS Sheikhopursarai (BGCL) on turnkey basis NIT No.-75/PR/BSPTCL/2018</t>
  </si>
  <si>
    <t>Construction of (2x160 MVA+3x50MVA) 220/132/33 KV GSS, Thakurganj (with SAS) (District-Kishanganj) and Residential Quarters under State Plan on turnkey basiS against NIT No. 35/PR/BSPTCL/2018</t>
  </si>
  <si>
    <t>Construction of 02 nos 220KV GIS line bays each at 220/132/33KV GIS Sheikhpura(BGCL), Hatidah (GIS, BGCL) and 220KV Fatuha GSS(BSPTCL). NIT No.-84/PR/BSPTCL/2018</t>
  </si>
  <si>
    <t>Construction of (i) LILO of Barh-Patna 400 KV D/C ( QUAD) Transmission line at Bakhtiyarpur ( New) (10RKM) (ii) Bakhtiyarpur ( New) - Sheikhpura ( New) 220 KV D/C Transmission Line (51 RKM) (iii) Bakhtiyarpur (New) –Hathidah(New) 220 KV D/C Transmission Line (52 RKM) and (iv) Bakhtiyarpur ( New) – Fathua (BSPTCL) 220 KV D/C Transmission Line (28 RKM) under state plan[ 80:20] against NIT No.-77/PR/BSPTC/18</t>
  </si>
  <si>
    <t>Construction of 2x80 MVA, 132/33 KV Gas Insulated Sub-station at Board Colony Patna along with construction of 132 KV D/C transmission line with cable from 220/132/33 KV Gas Insulated Sub-station at Digha (new) to 132/33 KV Gas Insulated Sub-station at Board colony on cable(CKM – 14 KM) and construction of 132 KV S/C transmission line with cable from 220/132/33 KV Gas Insulated Sub-station at Digha (new) to Digha (Old) on cable (CKM – 1 KM ) NIT No.-74/PR/BSPTCL/2018</t>
  </si>
  <si>
    <t>Construction of 132 KV D/C Thakurganj- Araria Transmission Line with ACSR Panther Conductor (Line Length - 86 RKM) and Construction of 220 KV D/C Kishanganj (New)- Thakurganj Transmission Line with ACSR Zebra Conductor (Line Length - 52 RKM) under state plan[80:20]against NIT No. 52/PR/BSPTCL/2018</t>
  </si>
  <si>
    <t>Construction o f (2x500+2x160) MVA 400/220/132 KV GIS Grid Sub-Station Bakhtiyarpur with SAS under turnkey basis. NIT No. 73/PR/BSPTCL/2018.</t>
  </si>
  <si>
    <t>Construction of 03 Nos of 132/33 KV Transformer Bays in Biharsharif &amp; Dehri-on-sone Transmission Circle on turnkey basis under State Plan against NIT 122/PR/BSPTCL/2018</t>
  </si>
  <si>
    <t>Supply, erection, testing and commissioning of 06 Nos. of 50 MVA Power Transformer with construction/modification of foundation in Transmission Circle Muzaffarpur on turnkey basis under State Plan against NIT No. 125/PR/BSPTCL/2018</t>
  </si>
  <si>
    <t>Supply, erection, testing and commissioning of 06 Nos. of 50 MVA Power Transformer with construction/modification of foundation in Transmission Circle Saran, Kosi &amp; Darbhanga on turnkey basis under State Plan against NIT No. 126/PR/BSPTCL/2018</t>
  </si>
  <si>
    <t>Supply, erection, testing and commissioning of 06 Nos. of 50 MVA Power Transformer with construction/modification of foundation in Transmission Circle Gaya on turnkey basis under State Plan against NIT No. 127/PR/BSPTCL/2018</t>
  </si>
  <si>
    <t>Supply, erection, testing and commissioning of 05 Nos. of 50 MVA Power Transformer with construction/modification of foundation in Transmission Circle Purnea &amp; Bhagalpur on turnkey basis under State Plan against NIT 128/PR/BSPTCL/2018</t>
  </si>
  <si>
    <t>Costruction of 220KV D/C Amnour (BGCL) –Digha (GIS) NIT No.-64/PR/BSPTCl/2018</t>
  </si>
  <si>
    <t>Supply, erection, testing and commissioning of 05 Nos. of 50 MVA Power Transformer with construction/modification of foundation in Transmission Circle Patna &amp; Dehri-on -sone on turnkey basis under State Plan against NIT No. 129/PR/BSPTCL/2018</t>
  </si>
  <si>
    <t>TOTAL Capital Expenditure</t>
  </si>
  <si>
    <t>Total Capitalization</t>
  </si>
  <si>
    <t>Admitted</t>
  </si>
  <si>
    <t>8. Disposal/Sale Transfer of Asset</t>
  </si>
  <si>
    <t>Depreciable GFA at the beginning of the year</t>
  </si>
  <si>
    <t>Debt</t>
  </si>
  <si>
    <t>(a) Computation of Interest Cost</t>
  </si>
  <si>
    <t>Opening Loan</t>
  </si>
  <si>
    <t>Capitalization during the year</t>
  </si>
  <si>
    <t>Less: Grants</t>
  </si>
  <si>
    <t>Normative Repayment (Equal to Depreciation)</t>
  </si>
  <si>
    <t>Average Loan ((1+8)/2)</t>
  </si>
  <si>
    <t>Interest Rate (Weighted average Interest of actual loans)</t>
  </si>
  <si>
    <t>Interest on Loan (9*10)</t>
  </si>
  <si>
    <t>Other Finance Charges</t>
  </si>
  <si>
    <t>Total Interest and Finance Charges</t>
  </si>
  <si>
    <t>Rate of return on Equity</t>
  </si>
  <si>
    <t>Equity as on 31.03.2015</t>
  </si>
  <si>
    <t>Amount of equity addition (ongoing projects)</t>
  </si>
  <si>
    <t>Amount of equity addition (upcoming projects)</t>
  </si>
  <si>
    <t>Closing Loan (1+5+6-7)</t>
  </si>
  <si>
    <t>Loan Addition during the year (80% of net capitalization of upcoming projects)</t>
  </si>
  <si>
    <t>Loan Addition during the year (70% of net capitalization of ongoing projects)</t>
  </si>
  <si>
    <t>Base Employee Cost</t>
  </si>
  <si>
    <t>Indexation</t>
  </si>
  <si>
    <t>Add Inflationary Increase</t>
  </si>
  <si>
    <t>Total Employee Cost</t>
  </si>
  <si>
    <t>Overtime</t>
  </si>
  <si>
    <t>Dearness Allowance</t>
  </si>
  <si>
    <t>Other Allowance</t>
  </si>
  <si>
    <t>Medical Expense Re-imbursement</t>
  </si>
  <si>
    <t>Staff Welfare Expenses</t>
  </si>
  <si>
    <t>Salaries</t>
  </si>
  <si>
    <t>Total Salaries</t>
  </si>
  <si>
    <t>Average Annual CPI Index</t>
  </si>
  <si>
    <t>Norms-Number of personnel per Ckt/km</t>
  </si>
  <si>
    <t>Transmission Line in Ckt Km</t>
  </si>
  <si>
    <t>Norms-Number of personnel per sub-station</t>
  </si>
  <si>
    <t>No. of Sub-stations</t>
  </si>
  <si>
    <t>Base Value</t>
  </si>
  <si>
    <t>Norms-Annual Expenses per personnel (Rs. Lakh)</t>
  </si>
  <si>
    <t>Employee Cost on Ckt Km Basis</t>
  </si>
  <si>
    <t>Employee Cost on Substation Basis</t>
  </si>
  <si>
    <t>FY 2018-19</t>
  </si>
  <si>
    <t>Estimate</t>
  </si>
  <si>
    <t>Inflationary Index</t>
  </si>
  <si>
    <t>Inflationary Increase</t>
  </si>
  <si>
    <t>Base A&amp;G Expenses</t>
  </si>
  <si>
    <t>A&amp;G Expenses</t>
  </si>
  <si>
    <t>Legal Charges</t>
  </si>
  <si>
    <t>Audit Charges</t>
  </si>
  <si>
    <t>Director's Sitting Fee</t>
  </si>
  <si>
    <t>Interest on Statutory Dues</t>
  </si>
  <si>
    <t>Holding Charges</t>
  </si>
  <si>
    <t>Fees &amp; Subscription</t>
  </si>
  <si>
    <t>Books &amp; Periodicals</t>
  </si>
  <si>
    <t>Printing &amp; Stationary</t>
  </si>
  <si>
    <t>Advertisement</t>
  </si>
  <si>
    <t>Entertainment Charges</t>
  </si>
  <si>
    <t>Commission for sale of scrap</t>
  </si>
  <si>
    <t>Home Guard/ Security Guard</t>
  </si>
  <si>
    <t>Miscellaneous Expenses</t>
  </si>
  <si>
    <t>Expenditure on CSR</t>
  </si>
  <si>
    <t>Base Values</t>
  </si>
  <si>
    <t>No. of employees</t>
  </si>
  <si>
    <t>Norms-A&amp;G Expenses per substation (Rs. Lakh)</t>
  </si>
  <si>
    <t>No of substations</t>
  </si>
  <si>
    <t>A&amp;G Expenses on Employee basis</t>
  </si>
  <si>
    <t>A&amp;G Expenses on Sub-station basis</t>
  </si>
  <si>
    <t>Total A&amp;G Expenses</t>
  </si>
  <si>
    <t>Base Non-Tariff Income</t>
  </si>
  <si>
    <t>Escalation @5%</t>
  </si>
  <si>
    <t>Non Tariff Income</t>
  </si>
  <si>
    <t>Income from Tax Refund</t>
  </si>
  <si>
    <t>Lease Rental Income</t>
  </si>
  <si>
    <t>Supervision Charges</t>
  </si>
  <si>
    <t>Other Transmission Charges</t>
  </si>
  <si>
    <t>Form No:</t>
  </si>
  <si>
    <t>Details of Transmission Incentive</t>
  </si>
  <si>
    <t>Actual Availability</t>
  </si>
  <si>
    <t>Additional Achievement</t>
  </si>
  <si>
    <t>Normative</t>
  </si>
  <si>
    <t>Transmission Incentive</t>
  </si>
  <si>
    <t>Income Tax/MAT Credit</t>
  </si>
  <si>
    <t>(Shortfall)/Excess before tariff revision impact (A-D)</t>
  </si>
  <si>
    <t>Total surplus to be adjusted in ARR of FY 2020-21</t>
  </si>
  <si>
    <t>(Rs. Crore)</t>
  </si>
  <si>
    <t>Non-Tariff Income</t>
  </si>
  <si>
    <t>Rs. Crore</t>
  </si>
  <si>
    <t>Gross Fixed Assets (as at end of the year) Admitted by the Commisson( 4+5+6-7-8)</t>
  </si>
  <si>
    <t>Return on Equity (Rs. In crore)</t>
  </si>
  <si>
    <t>(b) Price Inflation</t>
  </si>
  <si>
    <t>Norms-A&amp;G Expenses per personnel</t>
  </si>
  <si>
    <t>Income from Sale of Scrap</t>
  </si>
  <si>
    <t>Less: Depreciation, RoE, and Contribution to Contingency Reserves for 2 months</t>
  </si>
  <si>
    <t>Less Discount given to DISCOM</t>
  </si>
  <si>
    <t>Weighted Average rate of Depreciation on Opening GFA</t>
  </si>
  <si>
    <t xml:space="preserve">Weighted Average rate of Depreciation on GFA Addition </t>
  </si>
  <si>
    <t>Gross Depreciation as per Commission methodology</t>
  </si>
  <si>
    <t>Depreciation for Grant</t>
  </si>
  <si>
    <t>Net Depreciation of GFA(11-22)</t>
  </si>
  <si>
    <t>Less Employee cost of SLDC</t>
  </si>
  <si>
    <t>Less SLDC Expenses</t>
  </si>
  <si>
    <t>Add Cost of land</t>
  </si>
  <si>
    <t>Add Land Cost</t>
  </si>
  <si>
    <t>Loan Amount</t>
  </si>
  <si>
    <t>Interest Amount</t>
  </si>
  <si>
    <t>IDC Amount</t>
  </si>
  <si>
    <t>IDC (19-20)</t>
  </si>
  <si>
    <t>IDC (20-21)</t>
  </si>
  <si>
    <t>220KV Patna(PG) - Gaurichak Ckt - III</t>
  </si>
  <si>
    <t>220KV Patna(PG) - Fatuha Ckt.</t>
  </si>
  <si>
    <t>220KV Patna(PG) - Khagaul Ckt.</t>
  </si>
  <si>
    <t>220KV Pusauli(PG) - Dehri Ckt.</t>
  </si>
  <si>
    <t>220KV DMTCL(Darbhanga) - Samastipur ckt.</t>
  </si>
  <si>
    <t>220KV TTPS(Tenughat) -  Biharsarif Ckt</t>
  </si>
  <si>
    <t>132KV DMTCL(Motihari) - Motihari Ckt - I</t>
  </si>
  <si>
    <t>132KV DMTCL(Motihari) - Raxaul Ckt - I</t>
  </si>
  <si>
    <t>132KV DMTCL(Motihari) - Bettiah Ckt - I</t>
  </si>
  <si>
    <t xml:space="preserve">132KV Pusauli(PG) - Kudra Ckt. </t>
  </si>
  <si>
    <t>132KV Purnea(PG) - Purnea Ckt. I</t>
  </si>
  <si>
    <t>132KV Purnea(PG) - Purnea Ckt. III</t>
  </si>
  <si>
    <t>132KV Purnea(PG) - Kishanganj old</t>
  </si>
  <si>
    <t>132KV Ara(PG) - Ara Ckt.</t>
  </si>
  <si>
    <t>132KV Ara(PG) - Jagdaishpur Ckt-I</t>
  </si>
  <si>
    <t>132KV Banka(PG) - Sultanganj Ckt. - I</t>
  </si>
  <si>
    <t>132KV Banka(PG) - Sabour Ckt. - I</t>
  </si>
  <si>
    <t>132KV Lakhisarai(PG) - Lakhisarai Ckt - I</t>
  </si>
  <si>
    <t>132KV Lakhisarai(PG) - Jamui Ckt - I</t>
  </si>
  <si>
    <t>132KV Kehalgaon(NTPC) - Kahalgaon Ckt.</t>
  </si>
  <si>
    <t>132KV MTPS-Muzaffarpur ckt-I</t>
  </si>
  <si>
    <t>132KV MTPS-SKMCH ckt-I</t>
  </si>
  <si>
    <t>132KV MTPS-Motipur</t>
  </si>
  <si>
    <t>132KV MTPS-Samastipur ckt-I</t>
  </si>
  <si>
    <t>132KV BTPS-Begusarai ckt-I L9</t>
  </si>
  <si>
    <t xml:space="preserve"> 132 KV Rajgir - Barhi Ckt.</t>
  </si>
  <si>
    <t xml:space="preserve"> 132 KV Nalanda - Barhi Ckt.</t>
  </si>
  <si>
    <t xml:space="preserve"> 132 KV Karmnasha - Chandauli Ckt.</t>
  </si>
  <si>
    <t xml:space="preserve"> 132 KV Karmnasha - Sahupuri Ckt.</t>
  </si>
  <si>
    <t xml:space="preserve"> 132 KV Kahalgaon - Lalmatiya</t>
  </si>
  <si>
    <t xml:space="preserve"> 132 KV Sultanganj - Deoghar Ckt.</t>
  </si>
  <si>
    <t xml:space="preserve"> 132 KV Baisi - Dalkola Ckt. </t>
  </si>
  <si>
    <t>132KV Jakkanpur-Karbighaia</t>
  </si>
  <si>
    <t>132KV Katra-Gaighat</t>
  </si>
  <si>
    <t>132KV Fatuha-Gaighat</t>
  </si>
  <si>
    <t>132KV Fatuah-Katra</t>
  </si>
  <si>
    <t>132KV Khagaul-Bihta ckt-I</t>
  </si>
  <si>
    <t>132KV Khagaul-Digha ckt-I</t>
  </si>
  <si>
    <t>132KV Bihta(new)-Bihta(old) ckt-I</t>
  </si>
  <si>
    <t>132KV KHAGAUL-TSS</t>
  </si>
  <si>
    <t xml:space="preserve">132KV Dehri-Sasaram </t>
  </si>
  <si>
    <t>132KV Sasaram- Pusauli(BSPTCL)</t>
  </si>
  <si>
    <t>132KV Dehri-Sonenagar ckt-I</t>
  </si>
  <si>
    <t>132KV Dehri-Bikramganj</t>
  </si>
  <si>
    <t>132KV Bikramganj-Dumraon</t>
  </si>
  <si>
    <t>132 kV Bikramganj-Piro</t>
  </si>
  <si>
    <t>132KV Dehri-Kochas</t>
  </si>
  <si>
    <t>132KV Kochas-Dumroan</t>
  </si>
  <si>
    <t>132KV Dehri-Kudra</t>
  </si>
  <si>
    <t>132 KV Kudra- Kochas</t>
  </si>
  <si>
    <t>132KV Banjari-KCL</t>
  </si>
  <si>
    <t>132KV Banjari-Sasaram ckt-I</t>
  </si>
  <si>
    <t>132KV Sonenagar -Aurangabad ckt-I</t>
  </si>
  <si>
    <t>132 kV Sonenagar(New)-Sonenagar ckt-I</t>
  </si>
  <si>
    <t>133 kV Sonenagar(New)-Sonenagar ckt-II</t>
  </si>
  <si>
    <t>132KV Sonenagar-Chandauti (L-30)</t>
  </si>
  <si>
    <t>132KV Sonenagar -Rafiganj(L-31)</t>
  </si>
  <si>
    <t>132KV Rafiganj-Chandauti (L-31)</t>
  </si>
  <si>
    <t>132KV Sonenagar-Rihand Ckt-I</t>
  </si>
  <si>
    <t>132KV Sonenagar-Japla-Garhwa-Rihand ckt-II</t>
  </si>
  <si>
    <t xml:space="preserve">132KV Kochas-Pusauli </t>
  </si>
  <si>
    <t>132KV Aurangabad-Shree Cement</t>
  </si>
  <si>
    <t>132KV Goh-Ataula ckt-I</t>
  </si>
  <si>
    <t>132 kV Pusauli (BSPTCL)- Ramgarh</t>
  </si>
  <si>
    <t>132 kV Pusauli- Bhabhua(Mundeshwari)</t>
  </si>
  <si>
    <t>132KV Ara-Ara TSS</t>
  </si>
  <si>
    <t>132KV Ara-Jagdishpur ckt-I</t>
  </si>
  <si>
    <t>132KV Dumroan-Buxar ckt-I</t>
  </si>
  <si>
    <t>132 KV Karmnasa-Kudra TSS</t>
  </si>
  <si>
    <t>132 kV Ramgarh-Mohania</t>
  </si>
  <si>
    <t>132KV Dumraon-TSS Dumraon</t>
  </si>
  <si>
    <t>132 KV Bodhgaya-Chandauti (Line-I) ckt-I</t>
  </si>
  <si>
    <t>132 KV Bodhgaya-Chandauti (Line-II) ckt-I</t>
  </si>
  <si>
    <t>132KV Bodhgaya-Khizirsarai(BGCL)</t>
  </si>
  <si>
    <t>132KV Bodhgaya-Sherghati</t>
  </si>
  <si>
    <t>132KV Bodhgaya-Imamganj</t>
  </si>
  <si>
    <t>132KV Sherghati-Imamganj T/L</t>
  </si>
  <si>
    <t>132KV Wazirganj-Nawada</t>
  </si>
  <si>
    <t>132KV Khizirsarai(BGCL)-Wazirganj</t>
  </si>
  <si>
    <t>132KV Chandauti-Tekari</t>
  </si>
  <si>
    <t>132KV Goh-Tekari</t>
  </si>
  <si>
    <t>132KV Jehanabad-Ataula ckt-I</t>
  </si>
  <si>
    <t>132KV Jehanabad-Jehanabad TSS</t>
  </si>
  <si>
    <t>132KV Ekangarsarai-Hulasganj</t>
  </si>
  <si>
    <t>132KV Biharsarif (SG)-Ekangarsarai</t>
  </si>
  <si>
    <t>132KV Biharsarif (SG)-Barh Ckt-I</t>
  </si>
  <si>
    <t>132KV Barh-Hathidah Ckt-I</t>
  </si>
  <si>
    <t>132KV Biharsarif (SG)-Hathidah Ckt-II</t>
  </si>
  <si>
    <t>132KV Hathidah-Lakhisarai</t>
  </si>
  <si>
    <t>132KV Hathidah-Sheikhpura</t>
  </si>
  <si>
    <t xml:space="preserve"> 132 KV Biharsharif-Warsaliganj </t>
  </si>
  <si>
    <t xml:space="preserve"> 132 KV Warsaliganj -Nawada </t>
  </si>
  <si>
    <t>132KV Biharsarif (SG)-Baripahari ckt-I</t>
  </si>
  <si>
    <t>132KV Biharsarif (SG)-Nawada</t>
  </si>
  <si>
    <t>132KV Biharsarif (SG)-Sheikhpura ckt-I</t>
  </si>
  <si>
    <t>132KV Biharsarif-Rajgir (L-29)</t>
  </si>
  <si>
    <t>132KV Biharsarif (SG)-Nalanda (L28)</t>
  </si>
  <si>
    <t>132KV Baripahari-Harnaut</t>
  </si>
  <si>
    <t>132KV Sheikhpura-Jamui ckt-I</t>
  </si>
  <si>
    <t>132KV Lakhisarai-Jamui</t>
  </si>
  <si>
    <t>132KV Jamui-Jamui(new) ckt-I</t>
  </si>
  <si>
    <t>132KV Jamui-Jhajha TSS ckt-I</t>
  </si>
  <si>
    <t>132KV  Jamui(New)-Banka(New) ckt-I</t>
  </si>
  <si>
    <t>132KV Lakhisarai-Jamalpur(new)BGCL ckt-I</t>
  </si>
  <si>
    <t>132 KV  Sultanganj-Jamalpur(New) ckt-I</t>
  </si>
  <si>
    <t>132KV Lakhisarai - Lakhisarai TSS</t>
  </si>
  <si>
    <t>132 KV Lakhisarai-Sheikhpura</t>
  </si>
  <si>
    <t>132KV Lakhisarai-Jamalpur</t>
  </si>
  <si>
    <t>132KV Jamalpur-Tarapur (LILO)</t>
  </si>
  <si>
    <t>132KV Tarapur-Sultanganj(LILO)</t>
  </si>
  <si>
    <t>132KV Sabour-Sultanganj Ckt-I</t>
  </si>
  <si>
    <t>132KV Sabour-Kahalgaon</t>
  </si>
  <si>
    <t>132 KV Kahalgaon-GIS Goradih) ckt-I</t>
  </si>
  <si>
    <t>132 KV Goradih (loc no. 88)-Sultanganj ckt-I</t>
  </si>
  <si>
    <t>132KV Begusarai-Samastipur (L-9)</t>
  </si>
  <si>
    <t>132KV Begusarai-Dalsingsarai (L-10)</t>
  </si>
  <si>
    <t>132KV Begusarai-Kuseswarsthan ckt-I</t>
  </si>
  <si>
    <t>132 KV Begusarai- Balia</t>
  </si>
  <si>
    <t>132 KV Begusarai-Manjhaul</t>
  </si>
  <si>
    <t xml:space="preserve">132 KV Begusarai- Teghra </t>
  </si>
  <si>
    <t>132 kV Balia-Bakhri</t>
  </si>
  <si>
    <t>132 kV Manjhaul-Bakhri</t>
  </si>
  <si>
    <t>132KV Purnea-Naugachia (L-16)</t>
  </si>
  <si>
    <t>132KV Purnea-Manihari</t>
  </si>
  <si>
    <t>132KV Purnea-Dhamdaha</t>
  </si>
  <si>
    <t>132KV Purnea-Triveniganj</t>
  </si>
  <si>
    <t>132KV Dhamdaha-Banmankhi</t>
  </si>
  <si>
    <t>132KV Banmankhi-Saharsa</t>
  </si>
  <si>
    <t>132KV Manihari-Katihar</t>
  </si>
  <si>
    <t>132KV Kishanganj(New)-Kishanganj ckt-I</t>
  </si>
  <si>
    <t>132 KV kishanganj(New)- Barsoi</t>
  </si>
  <si>
    <t>132KV Kishanganj(New)-Forbisganj ckt-I</t>
  </si>
  <si>
    <t>132KV Kishanganj-Forbisganj</t>
  </si>
  <si>
    <t>132KV Kishanganj-Baisi</t>
  </si>
  <si>
    <t>132KV Kishanganj-Araria</t>
  </si>
  <si>
    <t>132KV Araria-Forbisganj</t>
  </si>
  <si>
    <t>132KV Forbisganj-Kataiya Ckt-II</t>
  </si>
  <si>
    <t>132KV Forbisganj-Triveniganj</t>
  </si>
  <si>
    <t>132KV Kataiya-Supaul ckt-I</t>
  </si>
  <si>
    <t>132KV Kataiya- Dohabi</t>
  </si>
  <si>
    <t>132KV Kataiya-Kushaha T/L</t>
  </si>
  <si>
    <t>132KV Supaul - Nirmali</t>
  </si>
  <si>
    <t>132KV Nirmali-Phulparas</t>
  </si>
  <si>
    <t>132KV Supaul-Madhepura ckt-I</t>
  </si>
  <si>
    <t>132KV Supaul-Phulparas</t>
  </si>
  <si>
    <t xml:space="preserve">132KV Jainagar-Madhubani </t>
  </si>
  <si>
    <t>132KV Jainagar-Benipatti(LILO)</t>
  </si>
  <si>
    <t>132KV Benipatti(LILO)-Madhubani</t>
  </si>
  <si>
    <t>132KV Benipatti-Sursand(Pupri)</t>
  </si>
  <si>
    <t>132KV Madhubani-Pandaul ckt-I</t>
  </si>
  <si>
    <t>132KV Gangwara - Pandaul</t>
  </si>
  <si>
    <t xml:space="preserve">132KV Darbhangha(old)-Gangwara </t>
  </si>
  <si>
    <t>132KV  Kusheshwarsthan-Dalsinghsarai</t>
  </si>
  <si>
    <t>132KV Kusheshwarsthan-Rosera</t>
  </si>
  <si>
    <t>132KV Kusheshwarshtan-Sonebarsa ckt-I</t>
  </si>
  <si>
    <t>132KV Madhepura-Sonebarsa ckt-I</t>
  </si>
  <si>
    <t>132KV Sonebarsa-Uda Kishanganj ckt-I</t>
  </si>
  <si>
    <t>132KV  Sonebarsa-Simri Bakhtiyarpur</t>
  </si>
  <si>
    <t>132KV Saharsa-Udakishanganj ckt-I</t>
  </si>
  <si>
    <t>132KV Dalsingsarai-Samastipur (L-10)</t>
  </si>
  <si>
    <t>132 kV Dalsingsarai- Bachhwara(TSS)</t>
  </si>
  <si>
    <t>132 kV Dalsinghsarai-Rosera</t>
  </si>
  <si>
    <t>132KV Samastipur(new)- Samastipur ckt-I</t>
  </si>
  <si>
    <t xml:space="preserve">132KV Samastipur(New)-Shahpurpatori </t>
  </si>
  <si>
    <t>132KV Samastipur(old)-Jandaha</t>
  </si>
  <si>
    <t>132KV Hajipur(new) - Jandaha</t>
  </si>
  <si>
    <t>132KVSamastipur(old)- Hajipur(new)</t>
  </si>
  <si>
    <t>132KV Hajipur(new) - Hajipur(old) ckt-I</t>
  </si>
  <si>
    <t>132KV Hajipur - Hajipur TSS</t>
  </si>
  <si>
    <t>132KV Hajipur- Chapra</t>
  </si>
  <si>
    <t xml:space="preserve">132KV Jandaha-Mahnar </t>
  </si>
  <si>
    <t>132KV Vaishali-Sheetalpur</t>
  </si>
  <si>
    <t>132 KV Vaishali- Bela rail factory</t>
  </si>
  <si>
    <t>132 KV Sheetalpur- Bela rail factory</t>
  </si>
  <si>
    <t>132KV Muzaffarpur- Vaishali ckt-I</t>
  </si>
  <si>
    <t>132KV Muzaffarpur-SKMCH</t>
  </si>
  <si>
    <t>132KV Mushahri-SKMCH ckt-I</t>
  </si>
  <si>
    <t>132KV SKMCH-Belsand(LILO at loc. 110/111, 11.74 kM)</t>
  </si>
  <si>
    <t>132KV Belsand-Runnisaidpur</t>
  </si>
  <si>
    <t>132KV Runisaidpur-Sitamarhi</t>
  </si>
  <si>
    <t>132 kV Sitamarhi-Sheohar(LILO at  loc. 79, 0.7 kM)</t>
  </si>
  <si>
    <t>132KV Sheohar-Dhaka</t>
  </si>
  <si>
    <t>132KV Sitamarhi-Dhaka</t>
  </si>
  <si>
    <t>132 KV Motipur- Chakia</t>
  </si>
  <si>
    <t>132KV  Motipur-Motihari</t>
  </si>
  <si>
    <t>132KV Motihari - Dhaka ckt-I</t>
  </si>
  <si>
    <t>132 KV Motihari-Sugauli(sugar mill)S/C</t>
  </si>
  <si>
    <t>132KV Motihari-Bettiah</t>
  </si>
  <si>
    <t>132KV Dhaka- Pakridayal</t>
  </si>
  <si>
    <t>132KV Bettiah - Raxaul ckt-I</t>
  </si>
  <si>
    <t>132KV Bettiah-Gopalganj</t>
  </si>
  <si>
    <t>132KV Bettiah-Areraj</t>
  </si>
  <si>
    <t>132KV Areraj-Gopalganj</t>
  </si>
  <si>
    <t>132KV Bettia - Narkatiyaganj</t>
  </si>
  <si>
    <t>132KV Narkatiyaganj - Ramnagar</t>
  </si>
  <si>
    <t>132KV Ramnagar-Valmikinagar-Surajpura S/C</t>
  </si>
  <si>
    <t>132KV Ramnagar-Lauriya Sugar mills</t>
  </si>
  <si>
    <t>132KV Ramnagar-Narkatiyaganj Sugar mills</t>
  </si>
  <si>
    <t>132KV Ramnagar-Harinagar Sugar mills</t>
  </si>
  <si>
    <t>132KV Gopalganj/ Bettia Line- SUGAR MILL Sidhwalia</t>
  </si>
  <si>
    <t>132KV Gopalganj - Hathua</t>
  </si>
  <si>
    <t>132KV Hathua-Siwan</t>
  </si>
  <si>
    <t>132 KV Siwan-Panchrukhi TSS</t>
  </si>
  <si>
    <t xml:space="preserve">T conection' of 132KV Chapra-Siwan(new) line at Ekma </t>
  </si>
  <si>
    <t>132KV Chapra- Sheetalpur</t>
  </si>
  <si>
    <t>132KV Chapra - Chapra TSS</t>
  </si>
  <si>
    <t xml:space="preserve"> charges during the year (2018-19)</t>
  </si>
  <si>
    <t>132/33 KV Aurangabad</t>
  </si>
  <si>
    <t>132/33 KV Ara</t>
  </si>
  <si>
    <t>132/33 KV Banjari</t>
  </si>
  <si>
    <t>132/33 KV Chandauti(Gaya)</t>
  </si>
  <si>
    <t>132/33 KV Dumroan</t>
  </si>
  <si>
    <t>132/33 KV Hathidah</t>
  </si>
  <si>
    <t>132/33 KV Jamui</t>
  </si>
  <si>
    <t>132/33 KV Jehanabad</t>
  </si>
  <si>
    <t>132/33 KV Karamnasa</t>
  </si>
  <si>
    <t>132/33 KV Lakhisarai</t>
  </si>
  <si>
    <t>132/33 KV Rafiganj</t>
  </si>
  <si>
    <t>132/33 KV Rajgir</t>
  </si>
  <si>
    <t>132/33 KV Sherghati</t>
  </si>
  <si>
    <t>132/33 KV Sonenagar</t>
  </si>
  <si>
    <t>220/132/33 KV Bodhgaya</t>
  </si>
  <si>
    <t>220/132/33 KV Fatuha</t>
  </si>
  <si>
    <t>220/132/33 KV Khagaul</t>
  </si>
  <si>
    <t>220/132/33 KV Pusouli</t>
  </si>
  <si>
    <t>132/33 KV Chapra</t>
  </si>
  <si>
    <t>132/33 KV Dalsinghsarai</t>
  </si>
  <si>
    <t>132/33 KV Hazipur</t>
  </si>
  <si>
    <t>132/33 KV Kataya</t>
  </si>
  <si>
    <t>132/33 KV Katihar</t>
  </si>
  <si>
    <t>132/33 KV Khagaria</t>
  </si>
  <si>
    <t>132/33 KV Motihari</t>
  </si>
  <si>
    <t>132/33 KV Raxaul</t>
  </si>
  <si>
    <t>132/33 KV Rosera</t>
  </si>
  <si>
    <t>132/33 KV Sheetalpur</t>
  </si>
  <si>
    <t>132/33 KV Siwan</t>
  </si>
  <si>
    <t>132/33 KV Vaishali</t>
  </si>
  <si>
    <t>132/33 Samastipur</t>
  </si>
  <si>
    <t>220/132/33 KV Gopalganj</t>
  </si>
  <si>
    <t>220/132/33 KV Madhepura</t>
  </si>
  <si>
    <t>220/132/33 KV Motipur</t>
  </si>
  <si>
    <t>132/33 KV  Mohania</t>
  </si>
  <si>
    <t>132/33 KV Ataula</t>
  </si>
  <si>
    <t>132/33 KV Banka</t>
  </si>
  <si>
    <t>132/33 KV Banka(New)</t>
  </si>
  <si>
    <t>132/33 KV Barh</t>
  </si>
  <si>
    <t>132/33 KV Baripahari</t>
  </si>
  <si>
    <t>132/33 KV Belaganj</t>
  </si>
  <si>
    <t>132/33 KV Bikramganj</t>
  </si>
  <si>
    <t>132/33 KV Buxar</t>
  </si>
  <si>
    <t>132/33 KV Digha</t>
  </si>
  <si>
    <t>132/33 KV Ekangarsarai</t>
  </si>
  <si>
    <t>132/33 KV Gaighat</t>
  </si>
  <si>
    <t>132/33 KV Goh</t>
  </si>
  <si>
    <t>132/33 KV Harnaut</t>
  </si>
  <si>
    <t>132/33 KV Hulasganj</t>
  </si>
  <si>
    <t>132/33 KV Imamganj</t>
  </si>
  <si>
    <t>132/33 KV Jagdishpur</t>
  </si>
  <si>
    <t>132/33 KV Jakkanpur</t>
  </si>
  <si>
    <t>132/33 KV Jamalpur</t>
  </si>
  <si>
    <t>132/33 KV Jamui (New)</t>
  </si>
  <si>
    <t>132/33 KV Kahalgaon</t>
  </si>
  <si>
    <t>132/33 KV Karbighaya</t>
  </si>
  <si>
    <t>132/33 KV Katra</t>
  </si>
  <si>
    <t>132/33 KV Kochas</t>
  </si>
  <si>
    <t>132/33 KV Kudra</t>
  </si>
  <si>
    <t>132/33 KV Masaudhi</t>
  </si>
  <si>
    <t>132/33 KV Mithapur</t>
  </si>
  <si>
    <t>132/33 KV Mundeshwari(Bhabua)</t>
  </si>
  <si>
    <t>132/33 KV Nalanda</t>
  </si>
  <si>
    <t>132/33 KV Naugachia</t>
  </si>
  <si>
    <t>132/33 KV Nawada</t>
  </si>
  <si>
    <t>132/33 KV Piro</t>
  </si>
  <si>
    <t>132/33 KV Sabour</t>
  </si>
  <si>
    <t>132/33 KV Sasaram</t>
  </si>
  <si>
    <t>132/33 KV Shekhpura</t>
  </si>
  <si>
    <t>132/33 KV Sultanganj</t>
  </si>
  <si>
    <t>132/33 KV Tarapur</t>
  </si>
  <si>
    <t>132/33 KV Tehta</t>
  </si>
  <si>
    <t>132/33 KV Tekari</t>
  </si>
  <si>
    <t>132/33 KV Wajirganj</t>
  </si>
  <si>
    <t>132/33 KV Warsaliganj</t>
  </si>
  <si>
    <t>132/33 KVRamgarh</t>
  </si>
  <si>
    <t>132/33KV Bihta</t>
  </si>
  <si>
    <t>220/132 KV Nawada GIS (BGCL)</t>
  </si>
  <si>
    <t>220/132/33 KV Dehri</t>
  </si>
  <si>
    <t>220/132/33 KV Sipara</t>
  </si>
  <si>
    <t>220/132/33 KV Sonenagar (new)</t>
  </si>
  <si>
    <t>132/33 KV Areraj</t>
  </si>
  <si>
    <t>132/33 KV Araria</t>
  </si>
  <si>
    <t>132/33 KV Baisi</t>
  </si>
  <si>
    <t>132/33 KV Bakhri</t>
  </si>
  <si>
    <t>132/33 KV Banmankhi</t>
  </si>
  <si>
    <t>132/33 KV Barsoi</t>
  </si>
  <si>
    <t>132/33 KV Belsand</t>
  </si>
  <si>
    <t>132/33 KV Benipatti</t>
  </si>
  <si>
    <t>132/33 KV Bettiah</t>
  </si>
  <si>
    <t>132/33 KV Chakiya</t>
  </si>
  <si>
    <t>132/33 KV Darbhanga</t>
  </si>
  <si>
    <t>132/33 KV Dhaka</t>
  </si>
  <si>
    <t>132/33 KV Dhamdaha</t>
  </si>
  <si>
    <t>132/33 KV Dhanha (Thakraha)</t>
  </si>
  <si>
    <t>132/33 KV Ekma</t>
  </si>
  <si>
    <t>132/33 KV Forbisganj</t>
  </si>
  <si>
    <t>132/33 KV Hathua</t>
  </si>
  <si>
    <t>132/33 KV Jainagar</t>
  </si>
  <si>
    <t>132/33 KV Jandaha</t>
  </si>
  <si>
    <t>132/33 KV Jhanjharpur</t>
  </si>
  <si>
    <t>132/33 KV Kishanganj</t>
  </si>
  <si>
    <t>132/33 KV Kusheshwarsthan</t>
  </si>
  <si>
    <t>132/33 KV Madhubani</t>
  </si>
  <si>
    <t>132/33 KV Maharajganj</t>
  </si>
  <si>
    <t>132/33 KV Mahnar</t>
  </si>
  <si>
    <t>132/33 KV Majhaul</t>
  </si>
  <si>
    <t>132/33 KV Muzaffarpur</t>
  </si>
  <si>
    <t>132/33 KV Narkatiaganj</t>
  </si>
  <si>
    <t>132/33 KV Nirmali</t>
  </si>
  <si>
    <t>132/33 KV Pakhridayal</t>
  </si>
  <si>
    <t>132/33 KV Pandaul</t>
  </si>
  <si>
    <t>132/33 KV Phulparas</t>
  </si>
  <si>
    <t>132/33 KV Pupri</t>
  </si>
  <si>
    <t>132/33 KV Purnea</t>
  </si>
  <si>
    <t>132/33 KV Runisaidpur</t>
  </si>
  <si>
    <t>132/33 KV Saharsa</t>
  </si>
  <si>
    <t>132/33 KV Shahpurpatori</t>
  </si>
  <si>
    <t>132/33 KV Sheohar</t>
  </si>
  <si>
    <t>132/33 KV Simribakhtiyarpur</t>
  </si>
  <si>
    <t>132/33 KV Sitamarhi</t>
  </si>
  <si>
    <t>132/33 KV SKMCH</t>
  </si>
  <si>
    <t>132/33 KV Sonebarsa</t>
  </si>
  <si>
    <t>132/33 KV Supoul</t>
  </si>
  <si>
    <t>132/33 KV Teghra</t>
  </si>
  <si>
    <t>132/33 KV Triveniganj</t>
  </si>
  <si>
    <t>132/33 KV Udakishanganj</t>
  </si>
  <si>
    <t>132/33 Siwan-New (Raghunathpur)</t>
  </si>
  <si>
    <t>132/33KV Raghopur</t>
  </si>
  <si>
    <t>220/132/33 KV Begusarai</t>
  </si>
  <si>
    <t>220/132/33 KV Kishanganj (new)</t>
  </si>
  <si>
    <t>220/132/33 KV Laukahi</t>
  </si>
  <si>
    <t>220/132/33 KV Musahari</t>
  </si>
  <si>
    <t>220/132/33 KV Samastipur (new)</t>
  </si>
  <si>
    <t>Total of all Voltages</t>
  </si>
  <si>
    <t/>
  </si>
  <si>
    <t xml:space="preserve">No. of Accidents </t>
  </si>
  <si>
    <t>FY 2018-19 (Previous Year)</t>
  </si>
  <si>
    <t>Fatal incident occurred in:-</t>
  </si>
  <si>
    <t>Non-fatal incident occurred in:-</t>
  </si>
  <si>
    <t>To control excess drawal (MWH)</t>
  </si>
  <si>
    <t>To Control equipment damage (MWH)</t>
  </si>
  <si>
    <t>Under force majeure conditions (MWH)</t>
  </si>
  <si>
    <t>Due to maintenance or outage of own network (MWH)</t>
  </si>
  <si>
    <t>Any other reason (MWH)</t>
  </si>
  <si>
    <t>Total load shedding for the Year (MWH)</t>
  </si>
  <si>
    <t>Total load shedding for the year(NBPDCL+SBPDCL)in MWH</t>
  </si>
  <si>
    <t>Note- data of insuing years depends on generation(ISGS &amp; State), demand and other situation.</t>
  </si>
  <si>
    <t>2X50</t>
  </si>
  <si>
    <t xml:space="preserve">Add: Revenue Gap /(Surplus) of Previous Year </t>
  </si>
  <si>
    <t>Gross Depreciation</t>
  </si>
  <si>
    <t>Revenue surplus in APR for FY 2019-20</t>
  </si>
  <si>
    <t>Interest for FY 2019-20 [SBI MCLR Rate 8.55%+1.5%) @10.05%] for 6 months</t>
  </si>
  <si>
    <t>Interest for FY 2020-21 [SBI MCLR Rate 8.00%+1.5%) @10.05%] for 6 months</t>
  </si>
  <si>
    <t>Revenue (shortfall)/surplus in true up for FY 2018-19</t>
  </si>
  <si>
    <t>Total (shortfall)/surplus with carrying cost/interest</t>
  </si>
  <si>
    <t>Amount of IDC, FC, FERV &amp; Hedging cost excluded in above</t>
  </si>
  <si>
    <t>Carrying cost of Revenue Gap</t>
  </si>
  <si>
    <t>At Proposed Tariff Rates after adjusting Gap/(Surplus)</t>
  </si>
  <si>
    <t>Estimated</t>
  </si>
  <si>
    <t>Interest on Working Capital</t>
  </si>
  <si>
    <t>Incentive on Transmission Availability</t>
  </si>
  <si>
    <t>Income Tax</t>
  </si>
  <si>
    <t>J</t>
  </si>
  <si>
    <t>Add: Previous Year Gap</t>
  </si>
  <si>
    <t>Regulatory Account for the purpose of calculation of Normative Loan , Equity etc as per prescribed regulation is under progress</t>
  </si>
  <si>
    <t>(h) Capital Cost Estimates and Schedule of commissioning for New Projects</t>
  </si>
  <si>
    <t>b) IDC</t>
  </si>
  <si>
    <t>c) New Investment capitalization</t>
  </si>
  <si>
    <t>Not Claimed</t>
  </si>
  <si>
    <t>Not Applicable as SLDC has submitted the petition seperately</t>
  </si>
  <si>
    <r>
      <t>Total Energy delivered by generating Stations and Inter State / Intra State tie - links at the interface points of the Intra State Transmission system -</t>
    </r>
    <r>
      <rPr>
        <b/>
        <sz val="13"/>
        <color indexed="8"/>
        <rFont val="Calibri"/>
        <family val="2"/>
      </rPr>
      <t xml:space="preserve">As recieved from Energy Accounting </t>
    </r>
  </si>
  <si>
    <t>Forn No. P5 revised</t>
  </si>
  <si>
    <t>Dehri</t>
  </si>
  <si>
    <t>Muzaffarpur</t>
  </si>
  <si>
    <t>Mohania</t>
  </si>
  <si>
    <t>Aurangabad</t>
  </si>
  <si>
    <t>BSPTCL</t>
  </si>
  <si>
    <t>Peak Load (MW)</t>
  </si>
  <si>
    <t>Rated Capacity (MVA)</t>
  </si>
  <si>
    <t>Actual Load on Transformer (MW)</t>
  </si>
  <si>
    <t>Form No. :P11</t>
  </si>
  <si>
    <t>(c) Value of Depreciation Charges (Rs. Lakhs)</t>
  </si>
  <si>
    <t>Name of Sub- station</t>
  </si>
  <si>
    <t>Voltage 
level kv</t>
  </si>
  <si>
    <t xml:space="preserve">132 kV </t>
  </si>
  <si>
    <t>Mithapur</t>
  </si>
  <si>
    <t>2X80</t>
  </si>
  <si>
    <t>Katra</t>
  </si>
  <si>
    <t>3X80</t>
  </si>
  <si>
    <t>2X20+1X50</t>
  </si>
  <si>
    <t>Gaighat</t>
  </si>
  <si>
    <t>Fatuha</t>
  </si>
  <si>
    <t>Barh(old)</t>
  </si>
  <si>
    <t>Hathidah</t>
  </si>
  <si>
    <t>4X50</t>
  </si>
  <si>
    <t>Jakkanpur</t>
  </si>
  <si>
    <t>Digha</t>
  </si>
  <si>
    <t>1X160</t>
  </si>
  <si>
    <t>Bihta(old)</t>
  </si>
  <si>
    <t>4X100</t>
  </si>
  <si>
    <t>4X80</t>
  </si>
  <si>
    <t>3X50</t>
  </si>
  <si>
    <t>Banjari</t>
  </si>
  <si>
    <t>3X20</t>
  </si>
  <si>
    <t>2X20</t>
  </si>
  <si>
    <t>Sasaram</t>
  </si>
  <si>
    <t>Bikramganj</t>
  </si>
  <si>
    <t>2X50+1X20</t>
  </si>
  <si>
    <t>1X50+2X20</t>
  </si>
  <si>
    <t>Goh</t>
  </si>
  <si>
    <t>Rafiganj</t>
  </si>
  <si>
    <t>1X50+1X20</t>
  </si>
  <si>
    <t>Ara</t>
  </si>
  <si>
    <t>Jagdishpur</t>
  </si>
  <si>
    <t>Dumroan</t>
  </si>
  <si>
    <t>1X20+2X50</t>
  </si>
  <si>
    <t>Piro</t>
  </si>
  <si>
    <t>Kudra</t>
  </si>
  <si>
    <t>Ramgarh</t>
  </si>
  <si>
    <t>Tekari</t>
  </si>
  <si>
    <t>Sherghati</t>
  </si>
  <si>
    <t>Wazirganj</t>
  </si>
  <si>
    <t>Imamganj</t>
  </si>
  <si>
    <t>Chandauti</t>
  </si>
  <si>
    <t>Belaganj</t>
  </si>
  <si>
    <t>Tehta</t>
  </si>
  <si>
    <t>Ataula</t>
  </si>
  <si>
    <t>1X20+1X50</t>
  </si>
  <si>
    <t>Hulasganj</t>
  </si>
  <si>
    <t>3X150</t>
  </si>
  <si>
    <t>1X20</t>
  </si>
  <si>
    <t>Nalanda</t>
  </si>
  <si>
    <t>Ekangarsarai</t>
  </si>
  <si>
    <t>Harnaut</t>
  </si>
  <si>
    <t>Baripahari</t>
  </si>
  <si>
    <t>3X50+1X20</t>
  </si>
  <si>
    <t>Rajgir</t>
  </si>
  <si>
    <t>Sheikhpura</t>
  </si>
  <si>
    <t>Banka</t>
  </si>
  <si>
    <t>Jamalpur</t>
  </si>
  <si>
    <t>Naugachia</t>
  </si>
  <si>
    <t>Kahalgaon</t>
  </si>
  <si>
    <t>Tarapur</t>
  </si>
  <si>
    <t>Sabour</t>
  </si>
  <si>
    <t>Sultanganj</t>
  </si>
  <si>
    <t>Jamui</t>
  </si>
  <si>
    <t>Balia</t>
  </si>
  <si>
    <t>Manjhaul</t>
  </si>
  <si>
    <t>Teghra</t>
  </si>
  <si>
    <t>Khagaria</t>
  </si>
  <si>
    <t>Lakhisarai</t>
  </si>
  <si>
    <t>Purnea</t>
  </si>
  <si>
    <t>Dhamdaha</t>
  </si>
  <si>
    <t>Banmankhi</t>
  </si>
  <si>
    <t>Manihari</t>
  </si>
  <si>
    <t>Barsoi</t>
  </si>
  <si>
    <t>Katihar</t>
  </si>
  <si>
    <t>Baisi</t>
  </si>
  <si>
    <t>Bakhri</t>
  </si>
  <si>
    <t>Araria</t>
  </si>
  <si>
    <t>SKMCH</t>
  </si>
  <si>
    <t>Musahari</t>
  </si>
  <si>
    <t>Sitamarhi</t>
  </si>
  <si>
    <t>Belsand</t>
  </si>
  <si>
    <t>Pupri</t>
  </si>
  <si>
    <t>Sheohar</t>
  </si>
  <si>
    <t>Vaishali</t>
  </si>
  <si>
    <t>Jandaha</t>
  </si>
  <si>
    <t>Mahnar</t>
  </si>
  <si>
    <t>3X100</t>
  </si>
  <si>
    <t>Shahpurpatori</t>
  </si>
  <si>
    <t>Rosera</t>
  </si>
  <si>
    <t>Pandaul</t>
  </si>
  <si>
    <t>Benipatti</t>
  </si>
  <si>
    <t>Phulparas</t>
  </si>
  <si>
    <t>Madhubani</t>
  </si>
  <si>
    <t>Jhanjharpur</t>
  </si>
  <si>
    <t>Motihari</t>
  </si>
  <si>
    <t>Dhaka</t>
  </si>
  <si>
    <t>Pakridayal</t>
  </si>
  <si>
    <t>Chakiya</t>
  </si>
  <si>
    <t>Areraj</t>
  </si>
  <si>
    <t>Narkatiyaganj</t>
  </si>
  <si>
    <t>Chapra</t>
  </si>
  <si>
    <t>Sheetalpur</t>
  </si>
  <si>
    <t>Hatuha</t>
  </si>
  <si>
    <t>Siwan</t>
  </si>
  <si>
    <t>Maharajganj</t>
  </si>
  <si>
    <t>Uda Kishanganj</t>
  </si>
  <si>
    <t>Saharsa</t>
  </si>
  <si>
    <t>Kataiya</t>
  </si>
  <si>
    <t>Nirmali</t>
  </si>
  <si>
    <t>Triveniganj</t>
  </si>
  <si>
    <t>Raghopur</t>
  </si>
  <si>
    <t>FY 2020-21 (RE)</t>
  </si>
  <si>
    <t xml:space="preserve">      Previous Year (FY 2019-20)</t>
  </si>
  <si>
    <t>Current Year (FY 2020-21)</t>
  </si>
  <si>
    <t>Ensuing Year (FY 2021-22)</t>
  </si>
  <si>
    <t>Provisional</t>
  </si>
  <si>
    <t>Actual 
FY 2019-20</t>
  </si>
  <si>
    <t>Current Year 
FY 2020-21</t>
  </si>
  <si>
    <t>Ensuing Year FY 2021-22</t>
  </si>
  <si>
    <t xml:space="preserve">      Previous Year 
(FY 2019-20)</t>
  </si>
  <si>
    <t>Previous Year 
(FY 2019-20)</t>
  </si>
  <si>
    <t>FY 202-21 (H1)</t>
  </si>
  <si>
    <t>GSS PUSAULI, 150 MVA</t>
  </si>
  <si>
    <t>04.01.2019- 02.09.2019 (5871 hrs)</t>
  </si>
  <si>
    <t>5871 hrs.</t>
  </si>
  <si>
    <t>No Any Failure</t>
  </si>
  <si>
    <t>GSS RAXAUL,  50MVA</t>
  </si>
  <si>
    <t>09.06.2019-1.09.2019 (2016 hrs)</t>
  </si>
  <si>
    <t>GSS BEGUSARAI,  50 MVA</t>
  </si>
  <si>
    <t>09.07.2019-17.08.2019 (948 hrs)</t>
  </si>
  <si>
    <t>15.11.2019-06.03.2020 (2687 hrs)</t>
  </si>
  <si>
    <t>GSS KOCHAS,      50 MVA</t>
  </si>
  <si>
    <t>13.02.2019- 20.03.2020 ( 9640hrs)</t>
  </si>
  <si>
    <t>GSS BANJARI,  20MVA</t>
  </si>
  <si>
    <t>10.02.2020-31.03.2020 (1215 hrs)</t>
  </si>
  <si>
    <t>01.04.2020- 30.09.2020 (4392 hrs)</t>
  </si>
  <si>
    <t>GSS SHERGHATI,  50 MVA</t>
  </si>
  <si>
    <t>30.06.2020- 28.09.2020 (2166 hrs)</t>
  </si>
  <si>
    <t>GSS JEHANABAD,  20MVA</t>
  </si>
  <si>
    <t>04.03.2020-31.03.2020 (663 hrs)</t>
  </si>
  <si>
    <t>01.04.2020- 19.05.2020 (486 hrs)</t>
  </si>
  <si>
    <t>GSS FATUHA,        50 MVA</t>
  </si>
  <si>
    <t>03.09.2020- 30.09.2020 (657 hrs)</t>
  </si>
  <si>
    <t>17169 hrs.</t>
  </si>
  <si>
    <t>7701 hrs.</t>
  </si>
  <si>
    <t>FY 2020-21 (H1)</t>
  </si>
  <si>
    <t>Hajipur New</t>
  </si>
  <si>
    <t>Tr. no. 1</t>
  </si>
  <si>
    <t>55-60</t>
  </si>
  <si>
    <t>Tr. no. 2</t>
  </si>
  <si>
    <t>Tr. no. 3</t>
  </si>
  <si>
    <t>Tr. no. 4</t>
  </si>
  <si>
    <t>GOPALGANJ</t>
  </si>
  <si>
    <t>Transformer No. 1</t>
  </si>
  <si>
    <t>Transformer No. 2</t>
  </si>
  <si>
    <t>Transformer No. 3</t>
  </si>
  <si>
    <t>Musahri</t>
  </si>
  <si>
    <t>T-1</t>
  </si>
  <si>
    <t>T-2</t>
  </si>
  <si>
    <t>Sonenagar new</t>
  </si>
  <si>
    <t>Tr -1</t>
  </si>
  <si>
    <t>Tr-2</t>
  </si>
  <si>
    <t>Darbhanga220</t>
  </si>
  <si>
    <t>160 MVA ATR-1</t>
  </si>
  <si>
    <t>160 MVA ATR-2</t>
  </si>
  <si>
    <t>Gaurichak</t>
  </si>
  <si>
    <t>ICT-1</t>
  </si>
  <si>
    <t>ICT-2</t>
  </si>
  <si>
    <t>ICT-3</t>
  </si>
  <si>
    <t>Transformer-1</t>
  </si>
  <si>
    <t>Transformer-2</t>
  </si>
  <si>
    <t>60-65</t>
  </si>
  <si>
    <t>Transformer-3</t>
  </si>
  <si>
    <t>60  -65</t>
  </si>
  <si>
    <t>Transformer-4</t>
  </si>
  <si>
    <t>55 -60</t>
  </si>
  <si>
    <t>Samastipur new</t>
  </si>
  <si>
    <t>Transformer no.1</t>
  </si>
  <si>
    <t>Transformer no.2</t>
  </si>
  <si>
    <t>Transformer no.3</t>
  </si>
  <si>
    <t>Transformer no.5</t>
  </si>
  <si>
    <t>Transformer no.4</t>
  </si>
  <si>
    <t>T1</t>
  </si>
  <si>
    <t>T2</t>
  </si>
  <si>
    <t>T3</t>
  </si>
  <si>
    <t>Transformer</t>
  </si>
  <si>
    <t>Chakia</t>
  </si>
  <si>
    <t>50 MVA</t>
  </si>
  <si>
    <t>20 MVA Tr.1</t>
  </si>
  <si>
    <t>20 MVA Tr.2</t>
  </si>
  <si>
    <t>Hajipur old</t>
  </si>
  <si>
    <t>Tr.no. 3 (charged on dated 07.08.2020)</t>
  </si>
  <si>
    <t>Gangwara</t>
  </si>
  <si>
    <t>Tr no 1</t>
  </si>
  <si>
    <t>Tr no 2</t>
  </si>
  <si>
    <t xml:space="preserve">Tr no 3    </t>
  </si>
  <si>
    <t>Tr.no. 3</t>
  </si>
  <si>
    <t xml:space="preserve"> shahpur patori</t>
  </si>
  <si>
    <t>Barh</t>
  </si>
  <si>
    <t xml:space="preserve"> Rafiganj</t>
  </si>
  <si>
    <t>Forbesganj</t>
  </si>
  <si>
    <t>Phulparas.</t>
  </si>
  <si>
    <t xml:space="preserve"> Kerpa</t>
  </si>
  <si>
    <t>Tr. no :01</t>
  </si>
  <si>
    <t>Tr. no: 02</t>
  </si>
  <si>
    <t>Supaul</t>
  </si>
  <si>
    <t xml:space="preserve">Transformer no 1  </t>
  </si>
  <si>
    <t xml:space="preserve">Transformer no 2 </t>
  </si>
  <si>
    <t xml:space="preserve">Transformer no 3 </t>
  </si>
  <si>
    <t>Tr. No. 1</t>
  </si>
  <si>
    <t>Tr. No. 2</t>
  </si>
  <si>
    <t>Masaudhi</t>
  </si>
  <si>
    <t>132/33KV 20MVA TRANSFORMER-1</t>
  </si>
  <si>
    <t>132/33KV 20MVA TRANSFORMER-2</t>
  </si>
  <si>
    <t>132/33KV 50MVA TRANSFORMER-3</t>
  </si>
  <si>
    <t>Karbighaia</t>
  </si>
  <si>
    <t>TRF-I (50MVA)</t>
  </si>
  <si>
    <t>TRF-III (20MVA)</t>
  </si>
  <si>
    <t>50 MVA Tr.2</t>
  </si>
  <si>
    <t>50 MVA Tr.3</t>
  </si>
  <si>
    <t>132/33 KV TRF.- 1</t>
  </si>
  <si>
    <t>T-3</t>
  </si>
  <si>
    <t>Tr no 3      (charged on dated 10.08.2020)</t>
  </si>
  <si>
    <t xml:space="preserve"> Transformer No. 01</t>
  </si>
  <si>
    <t>Transformer no. 02</t>
  </si>
  <si>
    <t>Transformer no. 03</t>
  </si>
  <si>
    <t>TR-1</t>
  </si>
  <si>
    <t>TR-3</t>
  </si>
  <si>
    <t>T-I</t>
  </si>
  <si>
    <t>T-II</t>
  </si>
  <si>
    <t>Transformer 2</t>
  </si>
  <si>
    <t>Tr 1</t>
  </si>
  <si>
    <t>Tr 2</t>
  </si>
  <si>
    <t xml:space="preserve"> Transformer No. 1</t>
  </si>
  <si>
    <t>T/F - 01</t>
  </si>
  <si>
    <t>T/F - 02</t>
  </si>
  <si>
    <t>T/F 1</t>
  </si>
  <si>
    <t>T/F 2</t>
  </si>
  <si>
    <t>Jamui old</t>
  </si>
  <si>
    <t>132/33KV Tr.No-01</t>
  </si>
  <si>
    <t>132/33KV Tr.No-03</t>
  </si>
  <si>
    <t>T-4</t>
  </si>
  <si>
    <t>50 MVA TR-I</t>
  </si>
  <si>
    <t>132/33 KV 50 MVA TR.NO.3</t>
  </si>
  <si>
    <t>132/33 KV 50 MVA TR.NO.4</t>
  </si>
  <si>
    <t>Udakishanganj</t>
  </si>
  <si>
    <t>Time during which voltage in an year(till Sep 2020)</t>
  </si>
  <si>
    <t>220 kV BUS-I</t>
  </si>
  <si>
    <t>220 kV BUS-II</t>
  </si>
  <si>
    <t>132 kV BUS</t>
  </si>
  <si>
    <t>50.5-50.2 Hz</t>
  </si>
  <si>
    <t>Current Years(till Sep 2020)</t>
  </si>
  <si>
    <t>Name of Transmission Licensee : BSPTCL &amp; BGCL</t>
  </si>
  <si>
    <t>Railway LTOA 
(MUs)</t>
  </si>
  <si>
    <t>132/33 Mushrakh</t>
  </si>
  <si>
    <t>132/33 Ramnagar</t>
  </si>
  <si>
    <t>132/33 kV Valmikinagar</t>
  </si>
  <si>
    <t>BTPS STAGE I</t>
  </si>
  <si>
    <t>220/132 KV Bihta(New)</t>
  </si>
  <si>
    <t>220/132 KV Khisersarai GIS(BGCL)</t>
  </si>
  <si>
    <t>220/132 KV Sheikhpura GIS(BGCL)</t>
  </si>
  <si>
    <t>220/132/33 KV Biharsharif(SG)</t>
  </si>
  <si>
    <t>132/33 KV Gangwara</t>
  </si>
  <si>
    <t>220/132/33 KV Amnour GIS(BGCL)</t>
  </si>
  <si>
    <t>220/132/33 KV Darbhanga</t>
  </si>
  <si>
    <t>220/132/33 KV Hazipur</t>
  </si>
  <si>
    <t>132/33 KV Bhagalpur(New)</t>
  </si>
  <si>
    <t>132/33 Manihari</t>
  </si>
  <si>
    <t>220/132 KV Jamalpur GIS</t>
  </si>
  <si>
    <t>220/132 KV Sabour New GIS(BGCL)</t>
  </si>
  <si>
    <t>133 KV Balia</t>
  </si>
  <si>
    <t>PGCIL Tertiary Auxiliary Consumption</t>
  </si>
  <si>
    <r>
      <t xml:space="preserve">Note: 
</t>
    </r>
    <r>
      <rPr>
        <sz val="11"/>
        <rFont val="Calibri"/>
        <family val="2"/>
      </rPr>
      <t>(i)  For the period Apr_19 to Nov_19, State Transmission Loss Accounting has been done on the basis of manual energy data filled by    all GSS users in Accounting module of Bihar EASS (SAMAST).
(ii) From Dec_19 to Mar_20, State Transmission loss accounting has been done on the basis of ABT meter data which is communicated to SLDC via AMR system under SAMAST. For a few places, where ABT meters are not installed or some issues observed in ABT meter data, energy filled manually as per the analysis of information provided by GSS users and secure team.</t>
    </r>
  </si>
  <si>
    <t>FY 2020-21(Q1)</t>
  </si>
  <si>
    <t>132/33 KV Kerpa</t>
  </si>
  <si>
    <t>132/33 KV Benipur</t>
  </si>
  <si>
    <t>220/132/33kV Khagaria</t>
  </si>
  <si>
    <r>
      <t xml:space="preserve">Note: </t>
    </r>
    <r>
      <rPr>
        <sz val="11"/>
        <rFont val="Calibri"/>
        <family val="2"/>
      </rPr>
      <t xml:space="preserve">
State Transmission loss accounting has been done on the basis of ABT meter data which is communicated to SLDC via AMR system under SAMAST. For a few places, where ABT meters are not installed or some issues observed in ABT meter data, energy filled manually as per the analysis of information provided by GSS users and secure team.</t>
    </r>
  </si>
  <si>
    <t>FY 2020-21(Projected)</t>
  </si>
  <si>
    <t>FY 2021-22(Projected)</t>
  </si>
  <si>
    <t>upto Sep'20</t>
  </si>
  <si>
    <t>Current Year    (upto Sep'20)</t>
  </si>
  <si>
    <t>CPI</t>
  </si>
  <si>
    <t>Previous 
year 
(Provisional)</t>
  </si>
  <si>
    <t>Current
Year 
(Projection)</t>
  </si>
  <si>
    <t>Average Annual CPI and WPI Index</t>
  </si>
  <si>
    <t>132KV Rafiganj-Rafiganj TSS ckt-1</t>
  </si>
  <si>
    <t>132 Rafiganj-Bahupura solar ckt-1</t>
  </si>
  <si>
    <t>132KV Darbhangha(old)-Gangwara ckt-1</t>
  </si>
  <si>
    <t>132 kV Sonebarsa-Kusheshwarsthan ckt-I</t>
  </si>
  <si>
    <t>132 KV Darbhanga- Madhubani ckt-1</t>
  </si>
  <si>
    <t>132 KV Darbhanga- Madhubani ckt-2</t>
  </si>
  <si>
    <t>132KV Phulparas-Jainagar</t>
  </si>
  <si>
    <t>132 kV Jainagar-Jhanjharpur (LILO)</t>
  </si>
  <si>
    <t>132KV Jhanjharpur (LILO)-Phulparas</t>
  </si>
  <si>
    <t xml:space="preserve"> 132 KV Pandaul-Phulparas ckt-1 </t>
  </si>
  <si>
    <t xml:space="preserve"> 132 KV Pandaul-Phulparas ckt-2</t>
  </si>
  <si>
    <t>132 KV Chandauti-gaurichak</t>
  </si>
  <si>
    <t>132KV Chandauti-Belaganj</t>
  </si>
  <si>
    <t>132 KV Belganj-Tehta</t>
  </si>
  <si>
    <t>132 KV jehanabad-Masaurhi</t>
  </si>
  <si>
    <t>132 KV Masaurhi-Gaurichak</t>
  </si>
  <si>
    <t>132 KV Tehta-Jehanabad</t>
  </si>
  <si>
    <t>132KV  Bodhgaya-Paharpur TSS ckt-1</t>
  </si>
  <si>
    <t>132 KV Sherghati-Sawkala Solar plant</t>
  </si>
  <si>
    <t>132kv Hulasganj-Khizirsarai GIS (BGCL)</t>
  </si>
  <si>
    <t>132KV Biharsharif-Hulasganj</t>
  </si>
  <si>
    <t>132KV Dehri-Kerpa</t>
  </si>
  <si>
    <t>132KV Kerpa-Banjari</t>
  </si>
  <si>
    <t>132 KV Sonenagar (old)-Japala TSS ckt-1</t>
  </si>
  <si>
    <t>132 KV Sonenagar-Sonenegar TSS</t>
  </si>
  <si>
    <t xml:space="preserve">132KV Madhepura-Saharsa </t>
  </si>
  <si>
    <t xml:space="preserve">132KV Saharsa-Sonebarsa  </t>
  </si>
  <si>
    <t>132KV Madhepura-Saharsa ckt-I</t>
  </si>
  <si>
    <t>132 KV Madhepura-Rail Engine Factory ckt-1</t>
  </si>
  <si>
    <t>132KV Supaul-Raghopur</t>
  </si>
  <si>
    <t>132KV Raghopur-Laukhi</t>
  </si>
  <si>
    <t>132KV Supaul-Laukhi ckt-1</t>
  </si>
  <si>
    <t>132KV Forbisganj-Kataiya Ckt-I</t>
  </si>
  <si>
    <t>132KV Jamalpur-Jamalpur(new) ckt-I</t>
  </si>
  <si>
    <t>132KV Purnea-Khagaria New (L-23)</t>
  </si>
  <si>
    <t>132 KV Khagaria New- Khagaria OLD</t>
  </si>
  <si>
    <t>132KV Khagaria OLD-BTPS L23</t>
  </si>
  <si>
    <t>132 KV Samastipur-Darbhanga</t>
  </si>
  <si>
    <t>132 KV Samastipur-Railways TSS Samastipur S/C</t>
  </si>
  <si>
    <t>132 KV Khagaria TSS (T of BTPS-khagaria line)</t>
  </si>
  <si>
    <t>132KV (MTPS-Samastipur ckt-2)-T-connection to Turki TSS</t>
  </si>
  <si>
    <t>132KV Rosera-Hasanpur Sugar Mill S/C</t>
  </si>
  <si>
    <t>132KV Ara(PG) - Dumraon Ckt. - II</t>
  </si>
  <si>
    <t>132KV Pusauli(PG) - Mohania Ckt.</t>
  </si>
  <si>
    <t>132KV Karamnasa-Mohania Ckt-II</t>
  </si>
  <si>
    <t>132KV Bettiah-Majhauliya TSS</t>
  </si>
  <si>
    <t>132 KV Bettiah-Ramnagar</t>
  </si>
  <si>
    <t>132 KV Ramnagar-Dhanaha</t>
  </si>
  <si>
    <t>132 KV Bettiah-Dhanaha</t>
  </si>
  <si>
    <t>T point to valmikinagar</t>
  </si>
  <si>
    <t>132 KV Ramnagar-Harinagar TSS</t>
  </si>
  <si>
    <t>132KV gaurichak- Jakkanpur ckt-I</t>
  </si>
  <si>
    <t>T from gaurichak-Mithapur T/L to  Karbighaia</t>
  </si>
  <si>
    <t>132 KV Katihar TSS (T of Purnea-Manihari line)</t>
  </si>
  <si>
    <t>132 KV Naugachia-Khagaria New</t>
  </si>
  <si>
    <t>132KV Khagaria New-BTPS</t>
  </si>
  <si>
    <t>Kahalgaon(NTPC) - Sabour Ckt.</t>
  </si>
  <si>
    <t>132KV Sabour-Jagdishpur (new)</t>
  </si>
  <si>
    <t>132KV Jagdishpur (new)-Sultanganj</t>
  </si>
  <si>
    <t>132 KV Goradih- Sabour ckt-I</t>
  </si>
  <si>
    <t>132KV Gopalganj - Mashrakh</t>
  </si>
  <si>
    <t>132KV Mushahri-Sitamarhi ckt-I</t>
  </si>
  <si>
    <t>132KV Motipur-TSS mahwal</t>
  </si>
  <si>
    <t>132 KV Khusrupur TSS (Fatuha to khusrupur)</t>
  </si>
  <si>
    <t>132KV gaurichak-Fatuha</t>
  </si>
  <si>
    <t>132KV Fatuha-Ultratech</t>
  </si>
  <si>
    <t>132KV Ultratech-Harnaut</t>
  </si>
  <si>
    <t>132KV gaurichak- Mithapur</t>
  </si>
  <si>
    <t>132KV Biharsarif (SG)-Shekhopursarai</t>
  </si>
  <si>
    <t>T of 132 KV Nalanda-Barhi line at Rajgir</t>
  </si>
  <si>
    <t>132KV Mashrakh-Maharajganj S/C</t>
  </si>
  <si>
    <t>132KV Masrakh-Marharura DLF ckt-I</t>
  </si>
  <si>
    <t>132KV Mashrakh - Siwan</t>
  </si>
  <si>
    <t>132KV Siwan-Siwan(new)/Raghunathpur</t>
  </si>
  <si>
    <t>132 KV Chapra(New)/Amnour-Siwan ckt-I</t>
  </si>
  <si>
    <t>132KV Chapra - Siwan(new)/Raghunathpur</t>
  </si>
  <si>
    <t>132 KV Chapra(New)-Chapra ckt-I</t>
  </si>
  <si>
    <t>132 KV Mokama railway TSS (T of barh-hathidah at TSS)</t>
  </si>
  <si>
    <t>132KV Nawada(OLD)-Nawada(BGCL) GIS Ckt-I</t>
  </si>
  <si>
    <t>132 KV Jehanabad-Khizarsarai ckt-I</t>
  </si>
  <si>
    <t>132 KV Benipur-Kusheshwarsthan</t>
  </si>
  <si>
    <t>132 KV Motihari-Jivdhara TSS</t>
  </si>
  <si>
    <t>132 KV Hathidah (BGCL)-Hathidah ckt-1</t>
  </si>
  <si>
    <t>132 KV Pandaul-Sakari TSS</t>
  </si>
  <si>
    <t>Total length</t>
  </si>
  <si>
    <t>220KV Biharsarif(PG) - Biharsarif L-1</t>
  </si>
  <si>
    <t>220KV Biharsarif(PG) - Biharsarif L-2</t>
  </si>
  <si>
    <t xml:space="preserve">220KV Patna(PG) - Gaurichak </t>
  </si>
  <si>
    <t>220KV Pusauli(PG) - Nadokhar ckt-1</t>
  </si>
  <si>
    <t>220KV Pusauli(PG) - Nadokhar ckt-2</t>
  </si>
  <si>
    <t>220KV Ara(PG) - Nadokhar ckt-1</t>
  </si>
  <si>
    <t xml:space="preserve">220KV Gaya(PG) - Bodhgaya </t>
  </si>
  <si>
    <t xml:space="preserve">220KV Gaya(PG) - Sonenagar </t>
  </si>
  <si>
    <t xml:space="preserve">220KV Gaya(PG) - Dehri </t>
  </si>
  <si>
    <t>220 KV Gaurichak - Fatuha ckt-I</t>
  </si>
  <si>
    <t>220KV Gaurichak - Khagaul</t>
  </si>
  <si>
    <t>220KV Gaurichak-Bihta(new)</t>
  </si>
  <si>
    <t xml:space="preserve">220KV Biharsharif-Khizisarai(BGCL) </t>
  </si>
  <si>
    <t xml:space="preserve">220KV Khizisarai(BGCL) - Bodhgaya </t>
  </si>
  <si>
    <t xml:space="preserve">220KV Biharsarif - Fatuha </t>
  </si>
  <si>
    <t xml:space="preserve">220KV Muzaffarpur(PG) - Hajipur </t>
  </si>
  <si>
    <t xml:space="preserve">220KV Purnea(PG) - Madhepura </t>
  </si>
  <si>
    <t xml:space="preserve">220KV Purnea(PG) - Khagaria (New) </t>
  </si>
  <si>
    <t xml:space="preserve">220KV Khagaria (New)-Begusarai </t>
  </si>
  <si>
    <t xml:space="preserve">220KV Kishanganj (PG) - Kishanganj(New) </t>
  </si>
  <si>
    <t xml:space="preserve">220KV DMTCL(Darbhanga)-Motipur </t>
  </si>
  <si>
    <t xml:space="preserve">220KV DMTCL(Darbhanga)-Darbhanga </t>
  </si>
  <si>
    <t xml:space="preserve">220KV DMTCL(Darbhanga) - Laukhi </t>
  </si>
  <si>
    <t xml:space="preserve">220KV MTPS-Gopalganj </t>
  </si>
  <si>
    <t>220KV MTPS-Motipur</t>
  </si>
  <si>
    <t xml:space="preserve">220KV MTPS-Samastipur(new) </t>
  </si>
  <si>
    <t xml:space="preserve">220KV BTPS-Begusarai </t>
  </si>
  <si>
    <t xml:space="preserve">220KV BTPS-Hathidah (BGCL) </t>
  </si>
  <si>
    <t xml:space="preserve">220KV Hathidah (BGCL)-Biharsharif </t>
  </si>
  <si>
    <t xml:space="preserve">220KV BTPS-Hajipur </t>
  </si>
  <si>
    <t xml:space="preserve">220 kV Begusarai-Samastipur(New) </t>
  </si>
  <si>
    <t xml:space="preserve">220 kV Kishanganj (New)-Madhepura </t>
  </si>
  <si>
    <t>220KV  Motipur-Mushahri ckt-1</t>
  </si>
  <si>
    <t>220KV  Motipur-Mushahri ckt-2</t>
  </si>
  <si>
    <t>220KV Mushahri - Darbhanga ckt-1</t>
  </si>
  <si>
    <t>220KV Mushahri - Darbhanga ckt-2</t>
  </si>
  <si>
    <t xml:space="preserve">220KV Madhepura- Laukahi </t>
  </si>
  <si>
    <t>220 KV Pusauli (PG)-Sahupuri</t>
  </si>
  <si>
    <t xml:space="preserve">220 kV Hajipur(New)-Chapra(new) </t>
  </si>
  <si>
    <t xml:space="preserve">220KV Patna(PG)-Khagaul </t>
  </si>
  <si>
    <t xml:space="preserve">220 kV Gaya(PG)- Khizisarai </t>
  </si>
  <si>
    <t xml:space="preserve">220 kV Narahat- Khizersarai </t>
  </si>
  <si>
    <t xml:space="preserve">220 KV Sheikhpursarai-Havelikharagpur </t>
  </si>
  <si>
    <t xml:space="preserve">220 KV Narhat-Sheikhpursarai </t>
  </si>
  <si>
    <t xml:space="preserve">220 KV Goradih - Havelikharagpur </t>
  </si>
  <si>
    <t>No. Of transformers/
Reactors/ SVC etc (with
capacity)</t>
  </si>
  <si>
    <t>Capacity</t>
  </si>
  <si>
    <t>132/33 KV</t>
  </si>
  <si>
    <t>1X10+1X50</t>
  </si>
  <si>
    <t>Banka(new)</t>
  </si>
  <si>
    <t xml:space="preserve">220/132/33KV </t>
  </si>
  <si>
    <t>1X20+1x10</t>
  </si>
  <si>
    <t>Benipur</t>
  </si>
  <si>
    <t>Bhabhua</t>
  </si>
  <si>
    <t>Biharsarif (SG)</t>
  </si>
  <si>
    <t>Bihta(new)</t>
  </si>
  <si>
    <t>1X160+4X150</t>
  </si>
  <si>
    <t>Chandauti(Gaya)</t>
  </si>
  <si>
    <t>Dalsinghsarai</t>
  </si>
  <si>
    <t>Darbhanga(new)220KV</t>
  </si>
  <si>
    <t xml:space="preserve">220/132KV </t>
  </si>
  <si>
    <t>Darbhanga(old)</t>
  </si>
  <si>
    <t>Dehri On Sone</t>
  </si>
  <si>
    <t>Dhanaha/Thakrahan</t>
  </si>
  <si>
    <t>Digha(old)</t>
  </si>
  <si>
    <t>4X20</t>
  </si>
  <si>
    <t>1X20+1×50</t>
  </si>
  <si>
    <t>5X100</t>
  </si>
  <si>
    <t>1X160+2X150</t>
  </si>
  <si>
    <t>1X50+2X80</t>
  </si>
  <si>
    <t>Hajipur(new)220KV</t>
  </si>
  <si>
    <t xml:space="preserve">220/132 KV </t>
  </si>
  <si>
    <t>Hajipur(old)</t>
  </si>
  <si>
    <t>Hathua</t>
  </si>
  <si>
    <t>Jagdishpur (New)</t>
  </si>
  <si>
    <t>Jainagar</t>
  </si>
  <si>
    <t>5X80</t>
  </si>
  <si>
    <t>Jamui(new)</t>
  </si>
  <si>
    <t>Janjharpur</t>
  </si>
  <si>
    <t>2x10</t>
  </si>
  <si>
    <t>2X20+2X50</t>
  </si>
  <si>
    <t>Karbighaya</t>
  </si>
  <si>
    <t>Karmnasa</t>
  </si>
  <si>
    <t>3X20+1X50</t>
  </si>
  <si>
    <t>Kerpa</t>
  </si>
  <si>
    <t>Khagaria(New)</t>
  </si>
  <si>
    <t>220/132/33 KV</t>
  </si>
  <si>
    <t>2x200+3X100</t>
  </si>
  <si>
    <t>Kishanganj(new)</t>
  </si>
  <si>
    <t>Kishanganj(old)</t>
  </si>
  <si>
    <t>Kusheswarsthan</t>
  </si>
  <si>
    <t>Laukahi</t>
  </si>
  <si>
    <t>Masrakh</t>
  </si>
  <si>
    <t xml:space="preserve">132/33KV </t>
  </si>
  <si>
    <t>2X20+1x50</t>
  </si>
  <si>
    <t>Pupri (Sursand)</t>
  </si>
  <si>
    <t>Pusauli(Nadokhar)</t>
  </si>
  <si>
    <t>1X150+1X160</t>
  </si>
  <si>
    <t>Runnisaidpur</t>
  </si>
  <si>
    <t>Samastipur(new)220KV</t>
  </si>
  <si>
    <t>Samastipur(old)</t>
  </si>
  <si>
    <t>Simri bakhtiyarpur</t>
  </si>
  <si>
    <t>Siwan(new)/Raghunathpur</t>
  </si>
  <si>
    <t>Sonebarsa</t>
  </si>
  <si>
    <t>Sonenagar(new)</t>
  </si>
  <si>
    <t>Sonenagar(old)</t>
  </si>
  <si>
    <t>2X20+1×50</t>
  </si>
  <si>
    <t>Warsalisganj</t>
  </si>
  <si>
    <t>Capex during the year</t>
  </si>
  <si>
    <t>Capitalisation</t>
  </si>
  <si>
    <t>Previous year (FY 2019-20)</t>
  </si>
  <si>
    <t>Current year (FY 2020-21)</t>
  </si>
  <si>
    <t>Ensuing year (FY 2021-22)</t>
  </si>
  <si>
    <t>Weighted average prorata rate of depreciation on addition during the year</t>
  </si>
  <si>
    <t>Previous Year (FY 2019-20)</t>
  </si>
  <si>
    <t>Maintenance spares@ 15% of  1 month O&amp;M Expense</t>
  </si>
  <si>
    <t>Approved in  MYT</t>
  </si>
  <si>
    <t>Interest for FY 2021-22 [SBI MCLR Rate 7.00%+1.5%) @8.5%] for 6 months</t>
  </si>
  <si>
    <t xml:space="preserve">132 kV T/L Motihari  dated 24.01.2020  </t>
  </si>
  <si>
    <r>
      <rPr>
        <b/>
        <sz val="12"/>
        <color indexed="8"/>
        <rFont val="Calibri"/>
        <family val="2"/>
      </rPr>
      <t>NBPDCL</t>
    </r>
    <r>
      <rPr>
        <sz val="12"/>
        <color indexed="8"/>
        <rFont val="Calibri"/>
        <family val="2"/>
      </rPr>
      <t xml:space="preserve"> (from April 2019 to March 20)</t>
    </r>
  </si>
  <si>
    <r>
      <rPr>
        <b/>
        <sz val="12"/>
        <color indexed="8"/>
        <rFont val="Calibri"/>
        <family val="2"/>
      </rPr>
      <t>NBPDCL</t>
    </r>
    <r>
      <rPr>
        <sz val="12"/>
        <color indexed="8"/>
        <rFont val="Calibri"/>
        <family val="2"/>
      </rPr>
      <t xml:space="preserve"> (from April 2020 to Sept 21)</t>
    </r>
  </si>
  <si>
    <r>
      <rPr>
        <b/>
        <sz val="12"/>
        <color indexed="8"/>
        <rFont val="Calibri"/>
        <family val="2"/>
      </rPr>
      <t>SBPDCL</t>
    </r>
    <r>
      <rPr>
        <sz val="12"/>
        <color indexed="8"/>
        <rFont val="Calibri"/>
        <family val="2"/>
      </rPr>
      <t xml:space="preserve"> (from April 2020 to Sept 21)</t>
    </r>
  </si>
  <si>
    <r>
      <rPr>
        <b/>
        <sz val="12"/>
        <color indexed="8"/>
        <rFont val="Calibri"/>
        <family val="2"/>
      </rPr>
      <t xml:space="preserve">SBPDCL </t>
    </r>
    <r>
      <rPr>
        <sz val="12"/>
        <color indexed="8"/>
        <rFont val="Calibri"/>
        <family val="2"/>
      </rPr>
      <t>(from April 2019 to March 20)</t>
    </r>
  </si>
  <si>
    <t>Actual R&amp;M Expenses</t>
  </si>
  <si>
    <t>BRGF</t>
  </si>
  <si>
    <t>IRF</t>
  </si>
  <si>
    <t>PSDF</t>
  </si>
  <si>
    <t xml:space="preserve">Approved </t>
  </si>
  <si>
    <t>Transmission Loss</t>
  </si>
  <si>
    <t>Total ARR for BSPTCL</t>
  </si>
  <si>
    <t>Incentive (%)</t>
  </si>
  <si>
    <t>Incentive for Transmission Loss (Rs. Crore)</t>
  </si>
  <si>
    <t>Incentive for Availability</t>
  </si>
  <si>
    <t>Loss / (Gain)</t>
  </si>
  <si>
    <t>Sharing of Gains and Losses</t>
  </si>
  <si>
    <t>Computers, Accessories etc.</t>
  </si>
  <si>
    <t xml:space="preserve">Net Capitalization </t>
  </si>
  <si>
    <t>Less: Deposit works</t>
  </si>
  <si>
    <t>Deposit Works</t>
  </si>
  <si>
    <t>Weighted  Average Rate of Depreciation on opening</t>
  </si>
  <si>
    <t>Depreciation on opening Grant</t>
  </si>
  <si>
    <t>Depreciation on additional grant</t>
  </si>
  <si>
    <t>Gross Depreciation of GFA</t>
  </si>
  <si>
    <t>*grants includes consumer contributions/deposit works.</t>
  </si>
  <si>
    <t>FY 2015-16</t>
  </si>
  <si>
    <t>Compensation/Injuries/Dath/Damages</t>
  </si>
  <si>
    <t>Average One-year MCLR Interest rate</t>
  </si>
  <si>
    <t>STU charges</t>
  </si>
  <si>
    <t>Deferred Income</t>
  </si>
  <si>
    <t>Interest for FY 2020-21 [SBI MCLR Rate 7.75%+1.5%) @8.50%] for 1 year</t>
  </si>
  <si>
    <t>Interest for FY 2019-20 [SBI Base Rate 8.55%+1.5%) @9.60%] for 6 months</t>
  </si>
  <si>
    <t>Sr. No.</t>
  </si>
  <si>
    <t>Name of Works</t>
  </si>
  <si>
    <t>Scheme</t>
  </si>
  <si>
    <t>Award Cost</t>
  </si>
  <si>
    <t>Actual Start Date</t>
  </si>
  <si>
    <t>Schdule Date of Completion</t>
  </si>
  <si>
    <t>Actual Date of Completion</t>
  </si>
  <si>
    <t>Amended Project Cost</t>
  </si>
  <si>
    <t>Construction of 220KV D/C transmission line from BTPS to Hajipur, NIT-95/2014</t>
  </si>
  <si>
    <t>03.09.2018</t>
  </si>
  <si>
    <t>Construction of 132/33KV GSS Maharajganj- NIT/93/2014.</t>
  </si>
  <si>
    <t>24.05.2017</t>
  </si>
  <si>
    <t>Construction of 132/33KV GSS Narkatiyaganj - NIT-93/2014</t>
  </si>
  <si>
    <t>31.05.2017</t>
  </si>
  <si>
    <t>Construction of 132/33KV GSS
Hathua NIT-93/2014</t>
  </si>
  <si>
    <t>T1: 06.12.2016
T2: 20.05.2017</t>
  </si>
  <si>
    <t>Construction of 132/33KV GSS
Areraj, NIT-93/2014</t>
  </si>
  <si>
    <t>18.05.2017</t>
  </si>
  <si>
    <t>Construction of 132/33KV GSS
Chakiya-NIT-62/2014 A</t>
  </si>
  <si>
    <t>29.12.2017</t>
  </si>
  <si>
    <t>Construction of 132/33KV GSS
Jhanjharpur</t>
  </si>
  <si>
    <t>T1: 24.07.2018
T2: 05.02.2019</t>
  </si>
  <si>
    <t>Construction of 132/33KV GSS
Pakridayal</t>
  </si>
  <si>
    <t>25.02.2019</t>
  </si>
  <si>
    <t>Construction of 132/33KV GSS, NIT-85/2015
Siwan-New</t>
  </si>
  <si>
    <t>T1: 30.04.2018
T2: 29.06.2019</t>
  </si>
  <si>
    <t>Construction of Loop In Loop Out arrangement of 132 KV Tx. line Madhepura- Sonebarsa 132 KV S/C Tx.line on D/C Tower at Saharsa Existing (CKM-40KM) under Special Plan of Phase-III
against NIT 38/2014.</t>
  </si>
  <si>
    <t>01.02.2020</t>
  </si>
  <si>
    <t>Construction of 132/33 KV,  2 x20MVA Nirmali,  2 x 20 MVA,
2 x 20 MVA Banmankhi,  2 x 20 MVA Manihari and 2 x 10 MVA Triveniganj against NIT 63/2014(Package B)</t>
  </si>
  <si>
    <t>04.04.2016(Nirmali) 04.04.2016(Triveniganaj) 09.04.2016(Banmankhi) 31.07.2016(Manihari)</t>
  </si>
  <si>
    <t>Manihari-07.12.17
Nirmali-28.12.16
Banmankhi-25.01.17
Triveniganj-14.04.17</t>
  </si>
  <si>
    <t>GSS Tarapur:- 27.01.2017, GSS Teghra:-
12.10.2017, Simri
Bakhtiyarpur:- 03.03.2017.</t>
  </si>
  <si>
    <t>Araria-18.10.17
Barsoi-29.01.18
Baisi-02.05.18
Dhamdaha-15.02.18</t>
  </si>
  <si>
    <t>R&amp;M of 132/33KV GSS at Kishanganj, Jamalpur and Purnea against  NIT no.
07/PR/BSPTCL/2016</t>
  </si>
  <si>
    <t>Purnea- 18.01.2018 Kishanganj- 25.10.2018 Jamalpur-30.01.2019</t>
  </si>
  <si>
    <t>Construction of 3X50 MVA, 132/33kV Grid Sub-Station, Jagdishpur (Bhagalpur New) and Korha(Katihar)against  NIT no. 10 /PR/BSPTCL/2016</t>
  </si>
  <si>
    <t>31.08.2020</t>
  </si>
  <si>
    <t>Strengthening of 132 KV &amp; 33 KV main bus and transfer bus by double moose &amp;quad moose
respectively of different GSS of BSPTCL NIT no. 24 /PR/BSPTCL/2015</t>
  </si>
  <si>
    <t>16.07.2015</t>
  </si>
  <si>
    <t>15.07.2016</t>
  </si>
  <si>
    <t>Completed</t>
  </si>
  <si>
    <t>Second circuit stringing of Existing 03 Nos. of 132 kV Double Circuit Single Strung Transmission Lines under Transmission Circle, Purnea on Turnkey Basis  against NIT No.
76/PR/BSPTCL/2015</t>
  </si>
  <si>
    <t>Construction of 132 KV D/C T/L from Motihari (400 KV) to Motihari (BSPTCL)
NIT 403/PR/BSPTCL/2013 Pkg A</t>
  </si>
  <si>
    <t>06.08.2017</t>
  </si>
  <si>
    <t>Construction of 132 KV D/C T/L from Motihari (400 KV) to Bettiah
NIT 403/PR/BSPTCL/2013 Pkg B</t>
  </si>
  <si>
    <t>Construction of 132 KV D/C T/L from Motihari (400 KV) to Raxaul
NIT 403/PR/BSPTCL/2013 Pkg C</t>
  </si>
  <si>
    <t>construction of two numbers of 132 KV Line bays each at Bettiah (132/33 KV) GSS and Raxaul
(132/33 KV) GSS, NIT-403/2013, D VSPL</t>
  </si>
  <si>
    <t>Bettiah:03.08.2017
Raxaul: 20.10.2017</t>
  </si>
  <si>
    <t>(i) construction of 132 KV S/C transmission lines on D/C Tower from 132/33 KV Dhaka GSS to upcoming Pakridayal GSS
(ii) Construction of New 132 KV S/C Transmission line on D/C Tower from 220/132 KV Motipur GSS to upcoming Chakiya GSS
(iii) LILO of 132 KV S/C of Jainagar-Phulparas Transmission Line at upcoming Jhanjharpur GSS
NIT No 82/PR/BSPTCL/2014</t>
  </si>
  <si>
    <t>L1: 20.01.2017
L2: 07.10.2017
L3: 20.01.2018</t>
  </si>
  <si>
    <t>Construction of 132KV D/C Udakishanganj-Sonebarsa T/L and 132KV D/C Kusheshwarsthan- Sonebarsa T/L against NIT No.
16/PR/BSPTCL/2014</t>
  </si>
  <si>
    <t>Udakishanganj-Sonebarsa: 13.06.2016
Kusheshwarsthan- Sonebarsa: 08.01.2018</t>
  </si>
  <si>
    <t>Construction of 220KV D/C Transmission line Kishanganj (New) – Kishanganj (PGCIL) &amp;132 KV D/C T.L. Kishanganj (New) – Kishanganj (existing GSS) against NIT No.
58/PR/BSPTCL/2014</t>
  </si>
  <si>
    <t>220KV D/C Transmission line Kishanganj (New) – Kishanganj (PGCIL) charged on 5.10.2016 &amp; 28.12.2016 and 132 KV
D/C T.L. Kishanganj (New) – Kishanganj (existing GSS) has been charged 04.01.2017.</t>
  </si>
  <si>
    <t>Construction of 6 nos of 132/33KV Transformer Bay at Madhubani, Muzaffarpur, Dalsingsarai, Ramnagar, Hajipur and Jandaha , NIT- 08/2014, ABN</t>
  </si>
  <si>
    <t>05.12.2017</t>
  </si>
  <si>
    <t>Construction of 220 KV Kishanganj New- Madhepura D/C NIT-02/2015, L&amp;T
Tx. Line</t>
  </si>
  <si>
    <t>24.08.2018</t>
  </si>
  <si>
    <t>Construction of 220 KV (D/C) Line between  Madhepura to Laukhi with AL-59
Conductor(75Km),  NIT-03/2015, L&amp;T</t>
  </si>
  <si>
    <t>Construction of 220 KV Purnea
(PG) – Begusarai  D/C Tx. Line, NIT-27/2015</t>
  </si>
  <si>
    <t>RSVY &amp; State
Plan</t>
  </si>
  <si>
    <t>19.06.2019</t>
  </si>
  <si>
    <t>132 KV LILO T/l on one of  the CKT of 132 KV Betia--Dhanha to Ramanagar GSS against NIT No.
22/PR/BSPTCL/2015</t>
  </si>
  <si>
    <t>08.07.2019</t>
  </si>
  <si>
    <t>Construction of  3x50MVA , 132/33KV GSS Raghopur against
NIT 30/PR/BSPTCL/2017.</t>
  </si>
  <si>
    <t>15.05.2019</t>
  </si>
  <si>
    <t>Construction of LILO of one circuit of 132KV Laukahi-Supaul Transmission Line at 132/33 KV
GSS Raghopur  against NIT No. 31/PR/BSPTCL/2017</t>
  </si>
  <si>
    <t>21.02.2019</t>
  </si>
  <si>
    <t>Construction of 132KV S/C Transmission line on D/C Tower between 132/33KV GSS Rosera and Hasanpur Sugar Mill along- with 01 no. 132KV line bay at 132/33KV GSS Rosera against
NIT No.-15/PR/BSPTCL/2017</t>
  </si>
  <si>
    <t>Construction of 8 Nos. 132KV line bays at Pandaul-01Nos., Madhubani-02Nos, Jainagar-02, Phulparas-01Nos, Ekma-01Nos and Kusheshwarsthan-01Nos under state plan against NIT No. 04/PR/BSPTCL/2016</t>
  </si>
  <si>
    <t>State plan</t>
  </si>
  <si>
    <t>Construction of 02 nos. 132KV line bays each at 132/33KV GSS SKMCH &amp; Sitamarhi under Special Plan/BRGF, Phase- III,Part-I  against NIT No.
07/PR/BSPTCL/2015</t>
  </si>
  <si>
    <t>SKMCH Bay -26.01.2017
Sitamrhi Bay -14.07.2017</t>
  </si>
  <si>
    <t>Construction of New 132 KV S/C Transmission Line on D/C Tower from existing Kuseshwarsthan GSS to Benipur GSS (Line
length-37 Km), construction of New 132 KV S/C Transmission Line on D/C Tower from 220/132 KV Samastipur GSS to Upcoming Shahpurpatori GSS (Line Length- 31 CKM), LILO of 132 KV S/C
of Muzaffarpur –Sitamarhi at Belsand GSS under State Plan on
turnkey basis against NIT No.- 81/PR/BSPTCL/2014</t>
  </si>
  <si>
    <t>Construction of 132/33 KV Grid Sub-station, Belsand (2X10MVA), Shahpur Patori (2X20MVA) and Benipur (2X10MVA), NIT-
62/BSPTCL/2014 Pkg-B under state plan on turnkey basis against NIT No.-62/PR/BSPTCL/2014</t>
  </si>
  <si>
    <t>Construction of 2 x160+3x50
MVA GSS Musahari(New), NIT-477/2013, Techno</t>
  </si>
  <si>
    <t>Completed and charged</t>
  </si>
  <si>
    <t>Construction of  220 KV &amp; 132 KV D/C Transmission line for
evacuation of power from upcoming Motipur GSS, NIT-01/2014, L&amp;T, Pkg A</t>
  </si>
  <si>
    <t>27.06.2014</t>
  </si>
  <si>
    <t>Construction of
(i) 220KV D/C Line from Darbhanga 400/200 KV GSS to to Laukahi (new)GSS
(ii) 220KV D/C Line from Laukahi(new) GSS to Supaul (existing)   Pkg-'D'
GSS, NIT-15/2014 (pkg-D),. L&amp;T</t>
  </si>
  <si>
    <t>Construction of  220 KV &amp; 132 KV D/C Transmission line for evacuation of power from
upcoming Musahari GSS, NiT-01/2014, Pkg B</t>
  </si>
  <si>
    <t>Construction of 1 new KV S/C Trans. Line on D/C TOWER from Patna(PG)-Sipara.NIT-04/14</t>
  </si>
  <si>
    <t xml:space="preserve">Construction of 220 /132 /33 kV
Motipur GSS, NIT-24/2014, </t>
  </si>
  <si>
    <t>16.02.2015</t>
  </si>
  <si>
    <t>Construction of 2 x160+2x50 MVA ,220/132/33KV GSS
Laukahi, NIT-33/2014,</t>
  </si>
  <si>
    <t>Construction of 132/33kV GSS at Manjhaul , Ballia   and Bakhari against  NIT- 63/PR/BSPTCL/2014, Package- (A)</t>
  </si>
  <si>
    <t>Construction of 132KV Transmission lines  connecting the revenue GSS Bakhri, Ballia, Manjhaul, Nirmali, Triveniganj, Banmankhi, Manihari and Piro against NIT No.
35/PR/BSPTCL/2015</t>
  </si>
  <si>
    <t>Ballia- 04.05.2017   Bakhari- 16.11.2017 Manjhaul-18.05.2017 Banmakhi- 25.01.2017 Piro- 29.05.2017 Triveniganj-02.02.2017 Nirmali-25.12.2016 Manihari- 19.11.2017</t>
  </si>
  <si>
    <t>Construction of 220/132/33KV GSS Kishanganj (new) with bay extensions against NIT No.
03/PR/BSPTCL/2014</t>
  </si>
  <si>
    <t>30.07.0214</t>
  </si>
  <si>
    <t>1. 220/132/33KV
Kishanganj GSS - 10.10.2016
2. 2x132KV line bay extension at Kishanganj Remote site- 04.01.2017
3. 2x132KV line bay extension at Forbesganj Remote site- 20.10.2016 and 10.01.2017
4. 4x220KV line bay extension at Madhepura Remote site- 27.04.2017
5. Laukhi Bay extension on 05.06.2018 &amp; 06.06.2018.</t>
  </si>
  <si>
    <t>Capacity augmentation of 220/132/33 kV &amp; 132/33 kV Grid Substation  Madhepura,
Naugachia,  Vaishali,  Gangwara, Jamui, Ara and Bihta</t>
  </si>
  <si>
    <t>21.08.2019</t>
  </si>
  <si>
    <t>Procurement and construction of 33 KV line bays in form of Indoor VCB panels at 10 nos. of AIS
sub-station under transmission circle, Purnea</t>
  </si>
  <si>
    <t>Procurement and construction of 33 KV line bays in form of Indoor VCB panels at 21 nos. of AIS
sub-station under transmission circle, Muzaffarpur</t>
  </si>
  <si>
    <t>Procurement and construction of 33 KV line bays in form of Indoor VCB panels at 08 nos. of AIS
sub-station under transmission circle, Biharsharif ICB 29</t>
  </si>
  <si>
    <t>21.12.2019</t>
  </si>
  <si>
    <t>Construction of 220 KV Bihta(new) -Sipara(Patna) D/C transmission line ,220 KV Bihta(new)-Bihta(existing) D/c Transmission line (charged at 132 KV ) and 33 Kv down linking lines from Bihta(new) 220/132/33
KV GSS on tunkey basis. NIT- 183/2013</t>
  </si>
  <si>
    <t>TOC:-16.05.2019</t>
  </si>
  <si>
    <t>Renovation &amp; Up gradation of Protection and Control Systems of 220/132KV Grid Substation at Biharsharif, Fatuha, Bodhgaya, Dehri On Sone, Khagaul and 132/33KV Grid Substation
Kataiya on turnkey basis, NIT-61/2015</t>
  </si>
  <si>
    <t>30.11.2020</t>
  </si>
  <si>
    <t>Second circuit stringing of existing 04 nos of 132KV Double circuit Single strung transmission line:-
1)  132KV Biharsharif- Ekangarsarai- Hulasganj(Except
LILO point to Ekangarsasari)(48.14CKM) 2)132KV BIharsharif- Nawada(48.89CKM) 3)132KV BIharsharif- Sheikhpura(38.78CKM) 4)132KV Jamui-
sheikhpura(51.9CKM, NIT-74/2015</t>
  </si>
  <si>
    <t>13.04.2019</t>
  </si>
  <si>
    <t>Construction of 08 nos. 132 KV Line bays  each at -Belaganj 01no. , Hulasganj-01 no., Jehanabad -01 no., Tekari-02 no., Ataula-01 no. ,Chandauti-01 no., Nawada-01 no. under Trans.
Circle, Gaya for 2nd ckt. stringing of existing 132  KV DCSS, NIT-01/2016</t>
  </si>
  <si>
    <t>Construction of 132KV S/C Transmission Line for Solar PV Project of M/s Alfa Infraprop Pvt. Ltd. at Bhagaura from 132KV GSS Rafiganj and Construction of 01 no. 132KV line bay at GSS Rafiganj against NIT No.-
02/PR/BSPTCL/17</t>
  </si>
  <si>
    <t>Construction of 11 Nos. of line bays at Sherghati -01,Imamganj - 01, Sonenagar-02, Aurangaba-02, Ara-02, Jagdishpur-03 &amp; 1 No. of T/F bay at Sherghati agaisnt NIT
No.-68/PR/BSPTCL/14</t>
  </si>
  <si>
    <t>26.07.2019</t>
  </si>
  <si>
    <t>Second Circuit Stringing of Existing 03 Nos. of 132 KV Double Circuit Single Strung Transmission Line:
i) GSS Belagunj to tapping point of L-32 &amp; L-33 Trans. Line 2.5
CKM
ii)132 KV Gaya-Tekari and 132 KV Tekari-Goh 51.8 CKM iii)132 KV Jehanabad-Ataula (Karpi)
22.57 CKM Under Transmission Circle Gaya on Turnkey Basis
under State Plan on FIRM  prices against NIT No.- 72/PR/BSPTCL/15</t>
  </si>
  <si>
    <t>Construction of 3x50MVA, 132/33KV GSS Ramgarh (Kaimur dist.) and Warislaiganj (Nawada Dist.) on turnkey basis against NIT No.-
84/PR/BSPTCl/15</t>
  </si>
  <si>
    <t>Procurement and Construction of 33KV line bays in form of Indoor VCB panels at 06 nos. of AIS Sub-station under Transmission Circle Bhagalpur against
24/Package D-1/ BSPTCL/ADB/16</t>
  </si>
  <si>
    <t>Procurement and Construction for Re-conductoring of 06 nos.132KV Transmission lines against 31/Package K-1/
BSPTCL/ADB/16</t>
  </si>
  <si>
    <t>Procurement and Construction for Re-conductoring of 06 nos.132KV Transmission lines against 33/Package M-1/
BSPTCL/ADB/16</t>
  </si>
  <si>
    <t>i)                     LILO of one ckt.
At north of muthani railway station from 132KV D/C Pusouli (New) – Mohania Trans. Line to proposed 3x50 MV Ramgarh GSS (BSPTCL of route length 20Km.
ii) LILO of 132KV Line Biharsharif – Nawada D/C Trans. Line – Warsaliganj (New) GSS of Route length 40Kms.iii) LILO of
one Ckt. Of 132KV Chhapra – Siwan Transmission Line – Siwan (New) GSS near Darauli of route length 45Kms. Turnkey basis under Under State Plan., NIT-83/2015</t>
  </si>
  <si>
    <t>3X50 MVA,132/33 KV  GSS
Kerpa</t>
  </si>
  <si>
    <t>17.02.2020</t>
  </si>
  <si>
    <t>Construction of 132KV  Lines
and 33KV Lines</t>
  </si>
  <si>
    <t>Construction of 220KV  Lines</t>
  </si>
  <si>
    <t>Procurement and Construction of 33KV line bays in form of Indoor VCB panels at 14 nos. of AIS Sub-station under Transmission
Circle DOS</t>
  </si>
  <si>
    <t>30.06.2019</t>
  </si>
  <si>
    <t>Construction of 33 kV Line Bays in form of Indoor GIS Panel at 11 nos. of AIS Substation under Patna District of BSPTCL on Turnkey Basis.</t>
  </si>
  <si>
    <t>Re-conductoring of 05 nos. 220KV &amp; 132KV Transmission lines -- 254.99 Ckm</t>
  </si>
  <si>
    <t>Supply, Installation, Implementation, Configuration and Integration of ERP system in BSPTCL</t>
  </si>
  <si>
    <t>31.12.2020</t>
  </si>
  <si>
    <t>Construction of LILO line on both circuits of 220 KV Begusarai- Purnea (PG)Transmission line at Khagariya new 220/132/33 KV GSS against NIT 12/PR/BSPTCL/2016 Pkg-A
under state plan.</t>
  </si>
  <si>
    <t>construction of   LILO line on both circuits of 132 KV BTPS- Purnea D/C Transmission line at Khagariya new 220/132/33 KV GSS (CKM-10 KM)  against NIT 12/PR/BSPTCL/2016 Pkg-B
under state plan.</t>
  </si>
  <si>
    <t>Construction of (2x160 + 2x50) MVA, 220/132/33KV Grid Sub-
Station in KHAGARIA (New) under State Plan in between 220KV D/C Purnea (PG) – Begusarai Transmission Line., NIT-41/2015</t>
  </si>
  <si>
    <t>27.08.2015</t>
  </si>
  <si>
    <t>30.08.2020</t>
  </si>
  <si>
    <t>construction of 132/33 KV 3x50
MVA Jamui and Banka GSS against NIT 86/2015</t>
  </si>
  <si>
    <t>Construction of 132 KV Transmission Lines required for the connectivity of power to upcoming new 132/33 KV Grid Sub Stations at Korha (Distt- Katihar),Nathnagar (Distt.- Bhagalpur) and Jamui(new) on turnkey basis under State Plan
(R.L.=190 CKM) against NIT No.-87/2015</t>
  </si>
  <si>
    <t>Construction of 132KV D/C
Sonenagar (New)-Aurangabad Transmission Line.NIT-59/2014,Pkg B</t>
  </si>
  <si>
    <t>Construction of 132KV D/C Ara-
Jagdishpur Transmission Line., NIT-59/2014 C</t>
  </si>
  <si>
    <t>Replacement of 23 nos. 50 MVA
and 01 no 20 MVA transformer by 24 nos. 132/33 KV, 80   MVA
transformer along with associated bay work in existing GSS of Patna, NIT-34/2016</t>
  </si>
  <si>
    <t>09.07.2020</t>
  </si>
  <si>
    <t>Construction of (2X160 MVA+2X50 MVA),220/132/33
KV GSS at Bihta(Patna) &amp; associated 220,132 &amp; 33 kv bays extension at remote end on turnkey basis, NIT-62/2013</t>
  </si>
  <si>
    <t>TOC-22.09.2020</t>
  </si>
  <si>
    <t>Construction of 132 KV D/C Transmission Line between 220/132/33 KV Bihta (New) GSS and 132/33KV Upcoming Paliganj GSS NIT No.- 24/PR/BSPTCl/2016</t>
  </si>
  <si>
    <t>LDOC-31.12.2020</t>
  </si>
  <si>
    <t>Capacity Augmentation at GSS Baripahari NIT-30/2015</t>
  </si>
  <si>
    <t>13.08.15</t>
  </si>
  <si>
    <t>12.08.16</t>
  </si>
  <si>
    <t>Capicity Augmentation at GSS Dumraon NIT-30/2015</t>
  </si>
  <si>
    <t>Capicity Augmentation at Gss Begusarai &amp; Purnea NIT-30/2015</t>
  </si>
  <si>
    <t>Capacity Augmentation at Sitamarhi &amp; Raxaul NIT-30/2015</t>
  </si>
  <si>
    <t>Cap. Augmentation at Gss Chandauti/Jehanabad NIT-30/2015</t>
  </si>
  <si>
    <t xml:space="preserve"> Construction of 2x50 MVA, 132/33 KV GSS at Bhabhua , NIT-90/2015</t>
  </si>
  <si>
    <t>Construction of 132/33KV Grid Sub-Station At Piro(Bhojpur) ( 2X20MVA) NIT No.- 61/PR/BSPTCL/2014</t>
  </si>
  <si>
    <t>25.09.2018</t>
  </si>
  <si>
    <t>Construction of associated 132 KV line Bays (No. of Bays-05) for second Circuit Stringing of existing 132 KV double Circuit Single Strung NIT No. 02/PR/BSPTCL/2016/State Plan</t>
  </si>
  <si>
    <t>R&amp;M Work of 132/33 Kv GSS Saharsha and Katihar NIT No. 427/2013 Pkg-E</t>
  </si>
  <si>
    <t>04.03.2014</t>
  </si>
  <si>
    <t>03.03.2015</t>
  </si>
  <si>
    <t>132/33Kv GSS Rosera NIT No. 94/2014</t>
  </si>
  <si>
    <t>20.05.15</t>
  </si>
  <si>
    <t>04.07.16</t>
  </si>
  <si>
    <t>132/33Kv GSS Pupuri NIT No. 94/2014</t>
  </si>
  <si>
    <t>132/33 kV GSS Benipatti NIT No. 94/2014</t>
  </si>
  <si>
    <t>132/33kv GSS Mahnar NIT No. 94/2014</t>
  </si>
  <si>
    <t xml:space="preserve">Construction Of 132 KV bay Extension at remote at GSS samastipur NIT No.- 482/PR/BSPTCL/2013  </t>
  </si>
  <si>
    <t>Construction of 132 kv 2 no Bays each at 132kv GSS DARBGANGA  &amp; Gangwra NIT No.- 98/2014</t>
  </si>
  <si>
    <t>21.12.15</t>
  </si>
  <si>
    <t>Construction of Bays at GSS Gaihat, 97/2015</t>
  </si>
  <si>
    <t>Re-conductoring of following transmission lines with HTLS (equivalent to   Panther) except GAP conductor on Turnkey Basis as detailed below : -
1.  132 KV S/C Kahalgaon (BSPTCL)- Kahalgaon (NTPC) trans. Line  of route length 7 Km.
2.  132 KV S/C Kahalgaon (BSPTCL)-
Sabour trans. Line of route length 27 Km.NIT No.-113/PR/BSPTCl/2018</t>
  </si>
  <si>
    <t>NOA issued on 05.02.2019</t>
  </si>
  <si>
    <t>04.02.2020</t>
  </si>
  <si>
    <t>Construction of 02 nos. 132KV Line bays each at 132/33KV Grid- Substation Mahnar &amp; Shahpurpatori and Construction of 02nos. 220KV Line bays at 220/132/33KV GSS Samastipur(New) on Turnkey basis under State Plan against  NIT No.
85/PR/BSPTCL/2018.</t>
  </si>
  <si>
    <t>NOA issued on 14.01.2019</t>
  </si>
  <si>
    <t>9 Months from NOA</t>
  </si>
  <si>
    <t>Construction of 220 KV D/C Transmission Line from GSS Sitamarhi (New) to 220/132/33 KV GSS Motipur with Twin ACSR Moose Conductor (Approx Line Length 54RKM) and construction of 132 KV D/C Transmission Line from GSS Sitamarhi (New) to 132/33 KV GSS Runnisaidpur with single ACSR Moose Conductor (Approx Line Length    17RKM) on turnkey basis against NIT No.- 61/PR/BSPTCL/2018.</t>
  </si>
  <si>
    <t>15 Months from date of Notification of Award.</t>
  </si>
  <si>
    <t>Construction of 132 KV D/C Transmission Line for LILO of Chandauti-Sonenagar (L-30) 132 KV S/C Transmission Line and Chandauti-Rafiganj-Sonenagar (L-31) 132 KV S/C Transmission Line at GSS Chandauti (New) with HTLS Conductor (equivalent to Panther) conductor on turnkey basis. (Route length   46 KM).against NIT No.- 110/PR/BSPTCL/18</t>
  </si>
  <si>
    <t>NOA issued on 06.02.2019</t>
  </si>
  <si>
    <t>05.02.2020</t>
  </si>
  <si>
    <t>31.03.2021</t>
  </si>
  <si>
    <t>1. Construction of 220kV D/c Pusauli (PG)- Sahpuri LILO Karmnasha (new) Transmission line with single moose (Line length-12 Ckm) on turnkey basis.
2. Construction of 220kV D/c Pusauli (BSPTCL)- Karmnasha (New) Transmission Line with twin moose (Line length - 80 Ckm) on turnkey
basis NIT No.-56/PR/BSPTCL/2018</t>
  </si>
  <si>
    <t>Supply-27 dt. 21.01.19
Erection 28
dt. 21.01.19</t>
  </si>
  <si>
    <t>20.04.2020</t>
  </si>
  <si>
    <t>Construction of 220/132/33 KV (2x200 MVA + 3x50MVA) GSS
Karmnasha (new) NIT No.- 38/PR/BSPTCL/2018</t>
  </si>
  <si>
    <t>Supply- 23 dt.
21.01.19
Erection-24 dt. 21.01.19</t>
  </si>
  <si>
    <t>Capacity augmentation by addition of 3rd 160 MVA, 220/132KV ICT
along with associated transformer bays at Sonenagar (New) GSS on turnkey basis NIT No.- 95/PR/BSPTCl/2018</t>
  </si>
  <si>
    <t>Supply- 07 dt.
15.01.19
Erection-  08
dt. 15.01.19</t>
  </si>
  <si>
    <t>14.10.20</t>
  </si>
  <si>
    <t>30.12.2020</t>
  </si>
  <si>
    <t>Construction of 02 Nos. of 220KV Line bays at Begusarai GSS &amp; 2 Nos. 220KVLine bays at Khagaria(New) GSS with SAS against NIT No.
68/PR/BSPTCL/2018</t>
  </si>
  <si>
    <t>Supply-  03 dt.
15.01.19  04 dt.  Erection- 04 dt. 15.01.19</t>
  </si>
  <si>
    <t>14.10.2019</t>
  </si>
  <si>
    <t>Construction of 05 Nos of 132/33 KV Transformer Bays in Gaya Transmission Circle on turnkey basis under State Plan against NIT No.
120/PR/BSPTCL/2018</t>
  </si>
  <si>
    <t>NOA issued on 25.02.2019</t>
  </si>
  <si>
    <t>09 months from the date of LOI</t>
  </si>
  <si>
    <t>Supply, erection, testing and commissioning of 06 Nos. of  50 MVA Power Transformer with construction/modification of foundation  in Transmission Circle Muzaffarpur on turnkey basis under State Plan against NIT No.
125/PR/BSPTCL/2018</t>
  </si>
  <si>
    <t>12 months from the date of LOI</t>
  </si>
  <si>
    <t>Supply, erection, testing and commissioning of 06 Nos. of  50 MVA Power Transformer with construction/modification of foundation  in Transmission Circle Saran, Kosi &amp; Darbhanga on turnkey basis under State Plan against NIT No. 126/PR/BSPTCL/2018</t>
  </si>
  <si>
    <t>Supply, erection, testing and commissioning of 06 Nos. of  50 MVA Power Transformer with construction/modification of foundation  in Transmission Circle Gaya on turnkey basis under State Plan against NIT No.
127/PR/BSPTCL/2018</t>
  </si>
  <si>
    <t>Supply, erection, testing and commissioning of 05 Nos. of  50 MVA Power Transformer with construction/modification of foundation  in Transmission Circle Purnea &amp; Bhagalpur on turnkey basis under State Plan against NIT 128/PR/BSPTCL/2018</t>
  </si>
  <si>
    <t>Supply, erection, testing and commissioning of 05 Nos. of  50 MVA Power Transformer with construction/modification of foundation  in Transmission Circle Patna &amp; Dehri-on -sone on turnkey basis under State Plan against NIT No. 129/PR/BSPTCL/2018</t>
  </si>
  <si>
    <t>Re-conductoring of 132 KV Chandauti-Sonenagar S/C Trans. Line (L-30) and 132 KV Chandauti- Rafiganj-Sonenagar Trans. Line (L-31) with HTLS conductor (equivalent to Panther) on turnkey basis. (Route length- 78.21 KM) against NIT No.-
109/PR/BSPTCL/18</t>
  </si>
  <si>
    <t>10.12.2019</t>
  </si>
  <si>
    <t>1.Construction of 132KV LILO line on 132KV S/C Dehri-Banjari Tr line to new GSS Kerpa(CKM-02KM approx.) 2.Re-conductoring  of existing 132KV S/c Tr Line from Dehri to Banjari with HTLS (Equivalent to Panther conductor) 40KM approx
3. Re-conductoring of existing 132KV D/C Tr line from dehri to Sonenagar with HTLS (Equivalent  to Panther conductor)29KM approx. NIT No.-
108/PR/BSPTCL/2018</t>
  </si>
  <si>
    <t>NOA issued on 07.02.2019</t>
  </si>
  <si>
    <t>06.02.2020</t>
  </si>
  <si>
    <t>01.07.2020</t>
  </si>
  <si>
    <t>Re-conductoring of following transmission lines with HTLS (equivalent to Panther) conductor on turnkey basis:-
(1) Circuit 1 &amp; Circuit 2 of 132 KV Biharsharif    Baripahari D/C
Transmission line. (CKM    14 KM approx)
(2) 132 KV S/C Sipara    Mithapur Karbigahiya Transmission line (CKM
7 KM approx) NIT No.- 107/PR/BSPTCL/2018</t>
  </si>
  <si>
    <t>awarded</t>
  </si>
  <si>
    <t>21.06.2020</t>
  </si>
  <si>
    <t>Construction of following Transmission lines on Turnkey basis:
i)  220 KV D/C Muzaffarpur(PG)- Garaul Transmission Line with ACSR Zebra Conductor (Line Length-20 RKM)
ii) 132 KV D/C Garaul- MahnarTransmission Line with ACSR Panther Conductor (Line Length- 45 RKM)
iii) LILO of both circuit of 132 KV D/C Muzaffarpur-vaishali Transmission Line at Garaul GSS with ACSR Panther Conductor (Line Length- 2x15 RKM)
iv) 132 KV D/C Transmission line from GSS Chhapra(New)-Ekma with ACSR Panther Conductor (Line Length - 45 RKM)
NIT No- 50/PR/BSPTCL/2018.</t>
  </si>
  <si>
    <t>15 Month</t>
  </si>
  <si>
    <t>Supply, installation, testing &amp; commissioning of DLMS compliant 0.2s class ABT type energy meter with implementation of 100% metering, data acquisition and online ABT monitoring for the transmission &amp; sub transmission substations up to 33 KV level, monthly energy accounting and service maintenance for a period of 5 years against
NIT No. 37/PR/BSPTCL/2017</t>
  </si>
  <si>
    <t>LOI issued on 28.03.2018</t>
  </si>
  <si>
    <t>15 months from issue of LOI</t>
  </si>
  <si>
    <t>Construction of
(i)132 KV D/C by making LILO arrangement of 132 KV DCSS Saharsa(OLD)-Banmankhi Transmission Line at Saharsa (New) GSS  ( line length approx. 20 RKM)
(ii) 132 KV D/C by making LILO arrangement of 132 KV DCSS Saharsa(OLD)-Udakishanganj Transmission Line at Saharsa (New) GSS  ( line length approx. 15 RKM) and
(iii) 132KV D/C by making LILO arrangement of one circuit of Madhepura- Sonebarsa 132KV D/C transmission line at Saharsa (New) GSS ( line length approx. 35 RKM) against NIT No. 53/PR/BSPTCL/2018.</t>
  </si>
  <si>
    <t>Construction of
(i) 02 Nos. of 220 KV Line bay at 220/132/33 KV GSS Kishanganj (New) with SAS
(ii) 02 Nos. of 132 KV Line bay at 132/33 KV GSS Araria on turnkey basis against NIT No. 67/PR/BSPTCL/2018.</t>
  </si>
  <si>
    <t>Second circuit stringing of 220 KV DCSS Darbhanga (400/220 KV) Samastipur (New) Transmission Line (Line Length- 47 KM) with ACSR Zebra Conductor on turnkey basis against
NIT No.72/PR/BSPTCL/2018</t>
  </si>
  <si>
    <t>NOA issued on 15.01.2019</t>
  </si>
  <si>
    <t>09 Months from NOA</t>
  </si>
  <si>
    <t>30.03.2021</t>
  </si>
  <si>
    <t>Reconductering of (i) 132 KV Muzaffarpur - SKMCH S/C Transmission line with HTLS conductor (line length 20.5 RKM) along with invovment 01 no. of Pile foundation. (ii) 132 KV Kanti (MTPS)- SKMCH D/C transmission line with HTLS conductor (line length 14,28 RKM). NIT No.114/PR/BSPTCL/2018</t>
  </si>
  <si>
    <t>05.11.2019</t>
  </si>
  <si>
    <t>9 Month</t>
  </si>
  <si>
    <t>Construction of 132 KV D/C Bakhtiyarpur (New) to Harnaut  (BSPTCL) Trans.  line (21.361RKM) &amp; Construction of LILO of 132 KV S/C Baripahari- Harnaut Trans. line at GSS Barh (Bakhtiyarpur) against NIT No- 78/PR/BSPTCL/ 2018 under state plan (80:20)</t>
  </si>
  <si>
    <t xml:space="preserve">NOA issued on 01(S) dt:15.01.2019 &amp; 02(E) Dt: 15.01.2019 </t>
  </si>
  <si>
    <t>15.10.2019</t>
  </si>
  <si>
    <t>28.02.2021</t>
  </si>
  <si>
    <t>Successful completion of balance work of construction of 132 KV DCSS Transmission Line from 132/33 KV GSS Bettiah to 132/33 KV GSS Thakraha with Panther Conductor against NIT No. 06/PR/BSPTCL/2020</t>
  </si>
  <si>
    <t>Supply- 07 Erection - 08 both dated :- 01.06.2020</t>
  </si>
  <si>
    <t>Construction of 220 KV D/C Saharsa( New)- Khagaria(New) Transmission line with ACSR Zebra Conductor
(Approx Route Length-80KM) under State Plan against NIT No. 57/PR/BSPTCL/2018</t>
  </si>
  <si>
    <t>Construction of 132Kv D/C Karmnasa (new)- Ramgarh Tr Line on single mooze. 2.
Construction of 132KV D/c Karmnasa (new)- Karmnasa Tr line on single mooze.NIT No.-
55/PR/BSPTCl/2018</t>
  </si>
  <si>
    <t>31.12.2020(LDOC)</t>
  </si>
  <si>
    <t>Construction of 220 KV D/C Sitamarhi (New)- Raxaul(New) Transmission Line with twin moose Conductor (Line Length - 120 RKM) on turnkey basis against NIT No.-
60/PR/BSPTCL/2018.</t>
  </si>
  <si>
    <t>21.04.2020
(15 Month)</t>
  </si>
  <si>
    <t>Construction of 220 Kv D/C Trans Line for LILO of both circuits of 220 kv D/C Gaya (PG)-Sonenagar (BSPTCL) trans line at 400/220/132 KV GSS Chandauti (New) &amp; 220/132/33 KV Gss Bodhgaya
(BSPTCL)-NIT 100</t>
  </si>
  <si>
    <t>Supply- 15 dt.
21.01.19
Erection- 16
dt. 21.01.19</t>
  </si>
  <si>
    <t>20.01.2020</t>
  </si>
  <si>
    <t>Construction of 132/33KV (2X50 MVA)  GSS at Palasi (Dist. Araria) on turnkey basis.
NIT No.-37/PR/BSPTCL/18</t>
  </si>
  <si>
    <t>NOA issued on 21.01.2019 NOA No.- 11&amp;12</t>
  </si>
  <si>
    <t>31.07.2021</t>
  </si>
  <si>
    <t>Construction of 132 KV transmission line with HTLS (equivalent to Panther) conductor on turnkey basis from 132 KV GSS Phulparas to 220/132 KV GSS Laukahi (CKM-25
KM). NIT No. 111/PR/BSPTCL/2018</t>
  </si>
  <si>
    <t xml:space="preserve">NOA issued  on 07.02.2019 </t>
  </si>
  <si>
    <t>12 Months from NOA</t>
  </si>
  <si>
    <t>31.05.2021</t>
  </si>
  <si>
    <t>Construction of following associated 220KV &amp; 132KV D/C Transmission Lines of 220/132/33KV GSS Asthawan (Dist. Nalanda) on Turnkey Basis:-
1.  Construction of 220 KV D/C Transmission line from Sheikhopursarai(BGCL) to 220/132/33 KV GSS Asthawan (Line Length- 20 )RKM
2.   Construction of 220 KV D/C Transmission line from 220/132/33 KV GSS Biharsharif to 220/132/33 KV GSS Asthawan (Line Length - 20 RKM).
3.    Construction of 132 KV D/C Transmission line from 220/132/33 KV GSS Asthawan to 132/33 KV GSS Barh (Line Length - 40 RKM).
4.    Construction of 132 KV D/C Transmission line from 220/132/33 KV GSS Asthawan to 132/33 KV GSS Rajgir (Line Length - 40 RKM).
5.    Construction of 132 KV D/C Transmission line from 220/132/33 KV GSS Asthawan to 132/33 KV GSS Nalanda (Line Length - 30 RKM).NIT
No.-58/PR/BSPTCL/2018</t>
  </si>
  <si>
    <t>NOA (Supply- 09 dt.
21.01.19
Erection-  10
dt. 21.01.19)</t>
  </si>
  <si>
    <t>30.06.2021</t>
  </si>
  <si>
    <t>Construction of LILO one Ckt of 132 KV D/C Kishanganj (Old) - Forbishganj Transmission Line at Palasi GSS with ACSR Panther Conductor (Line Length-20 RKM) against NIT No.-
69/PR/BSPTCL/2018</t>
  </si>
  <si>
    <t>14.01.2020
(12 months from issue of NOA)</t>
  </si>
  <si>
    <t>Construction of  220 KV D/c transmission line from 220/132/33 KV GSS Chapra (New), Amnour to 400/220 KV GSS Muzaffarpur (PG) with Zebra conductor (line length Approx. 65 KM) &amp; 132 KV D/c transmission line from 220/132/33 KV GSS Chapra (New), Amnour to 132/33 KV GSS Vaishali with Panther conductor (line length- Approx 40 KM on turnkey basis  against NIT No.-51/PR/BSPTCL/2018.</t>
  </si>
  <si>
    <t>15 months from issue of NOA</t>
  </si>
  <si>
    <t>31.08.2021</t>
  </si>
  <si>
    <t>Construction of 220 KV D/C Saharsa(New)- Begusarai Transmission line with ACSR Zebra Conductor (Approx Route Length- 100KM) under State Plan against NIT No. 54/PR/BSPTCL/2018.</t>
  </si>
  <si>
    <t>15 Months from NOA</t>
  </si>
  <si>
    <t>31.06.2021</t>
  </si>
  <si>
    <t>Construction of 220 KV D/C Transmission Line from 220/132/33 KV GSS Raxaul (New) to 220/132/33 KV GSS Gopalganj with Twin ACSR Moose Conductor (Approx Line Length    80RKM) on Turnkey Basis against NIT No.- 62/PR/BSPTCL/2018.</t>
  </si>
  <si>
    <t>Construction of 132 KV Line bays at various grid substation on turnkey basis
i)Construction of 132 KV line bays 02 nos. at GSS Laukahi.  Ii)Construction of 132 KV line bays 02 nos. at GSS Phulparas. NIT No.- 63/PR/BSPTCL/2018</t>
  </si>
  <si>
    <t>NOA issued on 15.01.2019 NOA No.-105 &amp; 106</t>
  </si>
  <si>
    <t>15.07.2019
(06 months from issue of NOA)</t>
  </si>
  <si>
    <t>31.05.2021 (For Laukahi bay only)</t>
  </si>
  <si>
    <t>Construction of 02 Nos. 132 KV line bays each at  GSS Muzaffarpur &amp; Vaishali against NIT No.- 65/PR/BSPTCL/2018.</t>
  </si>
  <si>
    <t>14.07.2019
(06 months from issue of NOA)</t>
  </si>
  <si>
    <t>Construction of LILO of 132 KV DCSS Benipatti - Pupari Transmission line at Sitamarhi (new) and LILO of both ckt. of 132 KV Raxaul - Bettiah D/C Transmission line at Raxaul (new) with ACSR Panther Conductor.
NIT No.-71/PR/BSPTCL/2018</t>
  </si>
  <si>
    <t>NOA issued on 21.01.2019.
NOA No.- 23&amp;24</t>
  </si>
  <si>
    <t>Construction of 220/132/33 KV, (2x160 + 3x50) MVA, GSS Asthawan (Dist.- Nalanda) including Residential Quarters with Construction of 02 Nos. 220 KV Line Bays &amp; 06 Nos. 132 KV Line Bays at remote end on Turnkey Basis. NIT No.- 41/PR/BSPTCl/2018</t>
  </si>
  <si>
    <t>NOA (Supply- 11 dt.
21.01.19
Erection-  12
dt. 21.01.19)</t>
  </si>
  <si>
    <t>20.07.2020</t>
  </si>
  <si>
    <t>Construction of (i) LILO of Barh-Patna 400 KV D/C
( QUAD) Transmission line at Bakhtiyarpur ( New) (10RKM) (ii)
Bakhtiyarpur ( New) - Sheikhpura
( New) 220 KV D/C Transmission Line (51 RKM) (iii) Bakhtiyarpur (New) Hathidah(New) 220 KV D/C Transmission Line (52 RKM) and (iv) Bakhtiyarpur ( New)    Fathua (BSPTCL) 220 KV D/C Transmission Line (28 RKM) under state plan[ 80:20] against NIT No.- 77/PR/BSPTC/18</t>
  </si>
  <si>
    <t>Supply-13 dt. 21.01.19
Erection- 14
dt. 21.01.19</t>
  </si>
  <si>
    <t>Construction of 02 Nos. 132 KV line bay at  GSS Runnisaidpur &amp; 02 Nos. 220KV line bays at GSS Motipur against NIT No.-
76/PR/BSPTCL/2018.</t>
  </si>
  <si>
    <t>06 months from issue of NOA</t>
  </si>
  <si>
    <t>Signature of the Petitioner</t>
  </si>
  <si>
    <t>FY 2019-20 (Audited)</t>
  </si>
  <si>
    <t>Grant*</t>
  </si>
  <si>
    <t>*Includes deposit works</t>
  </si>
  <si>
    <t>MCLR+0.10%</t>
  </si>
  <si>
    <t xml:space="preserve">Annual Transmission Charges </t>
  </si>
  <si>
    <t>70:30</t>
  </si>
  <si>
    <t>Statement of Capital Expenditure and Capitalization is provided in Annexure III</t>
  </si>
  <si>
    <t>80:20</t>
  </si>
  <si>
    <t>Statement of Additional Capitalization provided in Annexure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</si>
</sst>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41" formatCode="_ * #,##0_ ;_ * \-#,##0_ ;_ * &quot;-&quot;_ ;_ @_ "/>
    <numFmt numFmtId="43" formatCode="_ * #,##0.00_ ;_ * \-#,##0.00_ ;_ * &quot;-&quot;??_ ;_ @_ "/>
    <numFmt numFmtId="164" formatCode="&quot;$&quot;#,##0_);\(&quot;$&quot;#,##0\)"/>
    <numFmt numFmtId="165" formatCode="&quot;$&quot;#,##0_);[Red]\(&quot;$&quot;#,##0\)"/>
    <numFmt numFmtId="166" formatCode="_(* #,##0_);_(* \(#,##0\);_(* &quot;-&quot;_);_(@_)"/>
    <numFmt numFmtId="167" formatCode="_(&quot;$&quot;* #,##0.00_);_(&quot;$&quot;* \(#,##0.00\);_(&quot;$&quot;* &quot;-&quot;??_);_(@_)"/>
    <numFmt numFmtId="168" formatCode="_(* #,##0.00_);_(* \(#,##0.00\);_(* &quot;-&quot;??_);_(@_)"/>
    <numFmt numFmtId="169" formatCode="_-* #,##0.00_-;\-* #,##0.00_-;_-* &quot;-&quot;??_-;_-@_-"/>
    <numFmt numFmtId="170" formatCode="0.00_)"/>
    <numFmt numFmtId="171" formatCode="_-* #,##0_-;\-* #,##0_-;_-* &quot;-&quot;??_-;_-@_-"/>
    <numFmt numFmtId="172" formatCode="0.0"/>
    <numFmt numFmtId="173" formatCode="0_)"/>
    <numFmt numFmtId="174" formatCode="_(* #,##0_);_(* \(#,##0\);_(* &quot;-&quot;??_);_(@_)"/>
    <numFmt numFmtId="175" formatCode="0.0%"/>
    <numFmt numFmtId="176" formatCode="0.0000"/>
    <numFmt numFmtId="177" formatCode="0.000"/>
    <numFmt numFmtId="178" formatCode="\-"/>
    <numFmt numFmtId="179" formatCode="#,##0.000_);\(#,##0.000\)"/>
    <numFmt numFmtId="180" formatCode="00.000"/>
    <numFmt numFmtId="181" formatCode="&quot;?&quot;#,##0;&quot;?&quot;\-#,##0"/>
    <numFmt numFmtId="182" formatCode="_-* #,##0_-;\-* #,##0_-;_-* &quot;-&quot;_-;_-@_-"/>
    <numFmt numFmtId="183" formatCode="_ &quot;\&quot;* #,##0_ ;_ &quot;\&quot;* \-#,##0_ ;_ &quot;\&quot;* &quot;-&quot;_ ;_ @_ "/>
    <numFmt numFmtId="184" formatCode="_ &quot;\&quot;* #,##0.00_ ;_ &quot;\&quot;* \-#,##0.00_ ;_ &quot;\&quot;* &quot;-&quot;??_ ;_ @_ "/>
    <numFmt numFmtId="185" formatCode="General_)"/>
    <numFmt numFmtId="186" formatCode="#,##0.0_);\(#,##0.0\)"/>
    <numFmt numFmtId="187" formatCode="_(* #,##0.0_);_(* \(#,##0.00\);_(* &quot;-&quot;??_);_(@_)"/>
    <numFmt numFmtId="188" formatCode="&quot;$&quot;#,\);\(&quot;$&quot;#,##0\)"/>
    <numFmt numFmtId="189" formatCode="#,##0.00\ &quot;F&quot;;\-#,##0.00\ &quot;F&quot;"/>
    <numFmt numFmtId="190" formatCode="#,##0;\(#,##0\)"/>
    <numFmt numFmtId="191" formatCode="\$#,##0\ ;\(\$#,##0\)"/>
    <numFmt numFmtId="192" formatCode="dd\-mmm\-yy_)"/>
    <numFmt numFmtId="193" formatCode="_-[$€-2]* #,##0.00_-;\-[$€-2]* #,##0.00_-;_-[$€-2]* &quot;-&quot;??_-"/>
    <numFmt numFmtId="194" formatCode="_-* #,##0.00\ _F_-;\-* #,##0.00\ _F_-;_-* &quot;-&quot;??\ _F_-;_-@_-"/>
    <numFmt numFmtId="195" formatCode="\60\4\7\:"/>
    <numFmt numFmtId="196" formatCode="mm/dd/yy"/>
    <numFmt numFmtId="197" formatCode="&quot;$&quot;#,\);\(&quot;$&quot;#,\)"/>
    <numFmt numFmtId="198" formatCode="&quot;$&quot;#,;\(&quot;$&quot;#,\)"/>
    <numFmt numFmtId="199" formatCode="&quot;\&quot;#,##0.00;[Red]&quot;\&quot;\-#,##0.00"/>
    <numFmt numFmtId="200" formatCode="&quot;\&quot;#,##0;[Red]&quot;\&quot;\-#,##0"/>
    <numFmt numFmtId="201" formatCode="_-&quot;$&quot;* #,##0_-;\-&quot;$&quot;* #,##0_-;_-&quot;$&quot;* &quot;-&quot;_-;_-@_-"/>
    <numFmt numFmtId="202" formatCode="_-&quot;$&quot;* #,##0.00_-;\-&quot;$&quot;* #,##0.00_-;_-&quot;$&quot;* &quot;-&quot;??_-;_-@_-"/>
    <numFmt numFmtId="203" formatCode="d\-mmm\-yyyy"/>
    <numFmt numFmtId="204" formatCode="[$-409]mmm\-yy;@"/>
    <numFmt numFmtId="205" formatCode="&quot;&quot;0.00"/>
    <numFmt numFmtId="206" formatCode="0_);[Red]\(0\)"/>
    <numFmt numFmtId="207" formatCode="0.000%"/>
    <numFmt numFmtId="208" formatCode="_(* #,##0.000_);_(* \(#,##0.000\);_(* &quot;-&quot;??_);_(@_)"/>
    <numFmt numFmtId="209" formatCode="_(* #,##0.0000_);_(* \(#,##0.0000\);_(* &quot;-&quot;??_);_(@_)"/>
    <numFmt numFmtId="210" formatCode="0.000000"/>
    <numFmt numFmtId="211" formatCode="0.0000000000000"/>
    <numFmt numFmtId="212" formatCode="dd\.mm\.yyyy;@"/>
    <numFmt numFmtId="213" formatCode="dd\.mm\.yy;@"/>
  </numFmts>
  <fonts count="199">
    <font>
      <sz val="11"/>
      <color theme="1"/>
      <name val="Calibri"/>
      <family val="2"/>
      <scheme val="minor"/>
    </font>
    <font>
      <sz val="10"/>
      <name val="Arial"/>
      <family val="2"/>
    </font>
    <font>
      <b/>
      <sz val="12"/>
      <name val="Arial"/>
      <family val="2"/>
    </font>
    <font>
      <sz val="12"/>
      <name val="Tms Rmn"/>
    </font>
    <font>
      <sz val="10"/>
      <name val="Helv"/>
    </font>
    <font>
      <sz val="8"/>
      <name val="Arial"/>
      <family val="2"/>
    </font>
    <font>
      <sz val="7"/>
      <name val="Small Fonts"/>
      <family val="2"/>
    </font>
    <font>
      <b/>
      <i/>
      <sz val="16"/>
      <name val="Helv"/>
    </font>
    <font>
      <sz val="10"/>
      <name val="Arial"/>
      <family val="2"/>
    </font>
    <font>
      <sz val="11"/>
      <name val="Calibri"/>
      <family val="2"/>
      <scheme val="minor"/>
    </font>
    <font>
      <b/>
      <sz val="11"/>
      <color theme="1"/>
      <name val="Calibri"/>
      <family val="2"/>
      <scheme val="minor"/>
    </font>
    <font>
      <sz val="11"/>
      <color theme="1"/>
      <name val="Calibri"/>
      <family val="2"/>
      <scheme val="minor"/>
    </font>
    <font>
      <b/>
      <u/>
      <sz val="11"/>
      <name val="Calibri"/>
      <family val="2"/>
      <scheme val="minor"/>
    </font>
    <font>
      <b/>
      <sz val="11"/>
      <name val="Calibri"/>
      <family val="2"/>
      <scheme val="minor"/>
    </font>
    <font>
      <b/>
      <sz val="11"/>
      <color indexed="9"/>
      <name val="Calibri"/>
      <family val="2"/>
      <scheme val="minor"/>
    </font>
    <font>
      <u/>
      <sz val="11"/>
      <name val="Calibri"/>
      <family val="2"/>
      <scheme val="minor"/>
    </font>
    <font>
      <u/>
      <sz val="11"/>
      <color theme="10"/>
      <name val="Calibri"/>
      <family val="2"/>
    </font>
    <font>
      <sz val="12"/>
      <name val="Arial"/>
      <family val="2"/>
    </font>
    <font>
      <sz val="10"/>
      <name val="Times New Roman"/>
      <family val="1"/>
    </font>
    <font>
      <i/>
      <sz val="8"/>
      <color indexed="8"/>
      <name val="Microsoft Sans Serif"/>
      <family val="2"/>
    </font>
    <font>
      <sz val="12"/>
      <name val="VNtimes new roman"/>
    </font>
    <font>
      <sz val="11"/>
      <name val="??"/>
      <family val="3"/>
    </font>
    <font>
      <sz val="14"/>
      <name val="??"/>
      <family val="3"/>
    </font>
    <font>
      <sz val="12"/>
      <name val="????"/>
      <charset val="136"/>
    </font>
    <font>
      <sz val="12"/>
      <name val="???"/>
      <family val="3"/>
    </font>
    <font>
      <sz val="10"/>
      <name val="???"/>
      <family val="3"/>
      <charset val="129"/>
    </font>
    <font>
      <sz val="10"/>
      <name val="Arial"/>
      <family val="2"/>
      <charset val="238"/>
    </font>
    <font>
      <sz val="10"/>
      <name val="Helv"/>
      <charset val="204"/>
    </font>
    <font>
      <sz val="10"/>
      <name val="Arial"/>
      <family val="2"/>
      <charset val="163"/>
    </font>
    <font>
      <sz val="12"/>
      <name val="Times New Roman"/>
      <family val="1"/>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b/>
      <sz val="10"/>
      <name val="MS Sans Serif"/>
      <family val="2"/>
    </font>
    <font>
      <sz val="12"/>
      <name val="µ¸¿òÃ¼"/>
      <family val="3"/>
      <charset val="129"/>
    </font>
    <font>
      <sz val="10"/>
      <color indexed="8"/>
      <name val="Arial"/>
      <family val="2"/>
    </font>
    <font>
      <sz val="9"/>
      <name val="Times New Roman"/>
      <family val="1"/>
    </font>
    <font>
      <sz val="10"/>
      <name val="Courier"/>
      <family val="3"/>
    </font>
    <font>
      <b/>
      <sz val="10"/>
      <name val="Helv"/>
    </font>
    <font>
      <sz val="10"/>
      <name val="VNI-Aptima"/>
    </font>
    <font>
      <sz val="10"/>
      <name val="Verdana"/>
      <family val="2"/>
    </font>
    <font>
      <sz val="8"/>
      <name val="Tahoma"/>
      <family val="2"/>
    </font>
    <font>
      <sz val="14"/>
      <name val="AngsanaUPC"/>
      <family val="1"/>
      <charset val="222"/>
    </font>
    <font>
      <b/>
      <sz val="10"/>
      <color indexed="50"/>
      <name val="Arial"/>
      <family val="2"/>
    </font>
    <font>
      <sz val="10"/>
      <name val="MS Serif"/>
      <family val="1"/>
    </font>
    <font>
      <b/>
      <sz val="10"/>
      <color indexed="48"/>
      <name val="Arial"/>
      <family val="2"/>
    </font>
    <font>
      <sz val="10"/>
      <name val="MS Sans Serif"/>
      <family val="2"/>
    </font>
    <font>
      <b/>
      <sz val="10"/>
      <color indexed="10"/>
      <name val="Arial"/>
      <family val="2"/>
    </font>
    <font>
      <sz val="10"/>
      <color indexed="16"/>
      <name val="MS Serif"/>
      <family val="1"/>
    </font>
    <font>
      <u/>
      <sz val="10"/>
      <color indexed="36"/>
      <name val="Arial"/>
      <family val="2"/>
    </font>
    <font>
      <b/>
      <sz val="12"/>
      <name val=".VnBook-AntiquaH"/>
      <family val="2"/>
    </font>
    <font>
      <b/>
      <sz val="12"/>
      <name val="Helv"/>
    </font>
    <font>
      <b/>
      <sz val="10"/>
      <name val=".VnTime"/>
      <family val="2"/>
    </font>
    <font>
      <sz val="8"/>
      <name val="Microsoft Sans Serif"/>
      <family val="2"/>
    </font>
    <font>
      <b/>
      <sz val="11"/>
      <name val="Helv"/>
    </font>
    <font>
      <b/>
      <sz val="12"/>
      <name val="VN-NTime"/>
    </font>
    <font>
      <sz val="12"/>
      <name val="바탕체"/>
      <family val="1"/>
      <charset val="129"/>
    </font>
    <font>
      <b/>
      <sz val="11"/>
      <name val="Arial"/>
      <family val="2"/>
    </font>
    <font>
      <sz val="9"/>
      <name val="Arial"/>
      <family val="2"/>
    </font>
    <font>
      <sz val="12"/>
      <name val="Helv"/>
      <family val="2"/>
    </font>
    <font>
      <sz val="8"/>
      <name val="Helv"/>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9"/>
      <name val="Arial"/>
      <family val="2"/>
    </font>
    <font>
      <b/>
      <sz val="9"/>
      <color indexed="48"/>
      <name val="Arial"/>
      <family val="2"/>
    </font>
    <font>
      <b/>
      <sz val="9"/>
      <color indexed="10"/>
      <name val="Arial"/>
      <family val="2"/>
    </font>
    <font>
      <b/>
      <sz val="9"/>
      <color indexed="50"/>
      <name val="Arial"/>
      <family val="2"/>
    </font>
    <font>
      <b/>
      <sz val="9"/>
      <color indexed="8"/>
      <name val="Arial"/>
      <family val="2"/>
    </font>
    <font>
      <b/>
      <sz val="8"/>
      <color indexed="8"/>
      <name val="Helv"/>
    </font>
    <font>
      <sz val="12"/>
      <name val="VNTime"/>
    </font>
    <font>
      <sz val="10"/>
      <name val="VNtimes new roman"/>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sz val="14"/>
      <name val=".VnArial"/>
      <family val="2"/>
    </font>
    <font>
      <sz val="10"/>
      <name val="Arial Cyr"/>
      <charset val="204"/>
    </font>
    <font>
      <sz val="14"/>
      <name val="뼻뮝"/>
      <family val="3"/>
      <charset val="129"/>
    </font>
    <font>
      <sz val="12"/>
      <name val="바탕체"/>
      <family val="3"/>
    </font>
    <font>
      <sz val="12"/>
      <name val="뼻뮝"/>
      <family val="1"/>
      <charset val="129"/>
    </font>
    <font>
      <sz val="12"/>
      <name val="宋体"/>
      <charset val="134"/>
    </font>
    <font>
      <sz val="10"/>
      <name val="Helv"/>
      <family val="2"/>
    </font>
    <font>
      <sz val="11"/>
      <name val="돋움"/>
      <family val="3"/>
      <charset val="129"/>
    </font>
    <font>
      <sz val="10"/>
      <name val="굴림체"/>
      <family val="3"/>
      <charset val="129"/>
    </font>
    <font>
      <sz val="12"/>
      <name val="Courier"/>
      <family val="3"/>
    </font>
    <font>
      <sz val="10"/>
      <name val=" "/>
      <family val="1"/>
      <charset val="13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62"/>
      <name val="Arial"/>
      <family val="2"/>
    </font>
    <font>
      <sz val="8"/>
      <color indexed="14"/>
      <name val="Arial"/>
      <family val="2"/>
    </font>
    <font>
      <sz val="8"/>
      <color theme="1"/>
      <name val="Bookman Old Style"/>
      <family val="1"/>
    </font>
    <font>
      <b/>
      <sz val="11"/>
      <color theme="1"/>
      <name val="Bookman Old Style"/>
      <family val="1"/>
    </font>
    <font>
      <b/>
      <sz val="8"/>
      <color theme="1"/>
      <name val="Bookman Old Style"/>
      <family val="1"/>
    </font>
    <font>
      <sz val="11"/>
      <color rgb="FF000000"/>
      <name val="Calibri"/>
      <family val="2"/>
      <scheme val="minor"/>
    </font>
    <font>
      <sz val="11"/>
      <color theme="1"/>
      <name val="Bookman Old Style"/>
      <family val="1"/>
    </font>
    <font>
      <b/>
      <sz val="14"/>
      <name val="Calibri"/>
      <family val="2"/>
      <scheme val="minor"/>
    </font>
    <font>
      <b/>
      <sz val="12"/>
      <name val="Bookman Old Style"/>
      <family val="1"/>
    </font>
    <font>
      <sz val="12"/>
      <name val="Bookman Old Style"/>
      <family val="1"/>
    </font>
    <font>
      <b/>
      <u/>
      <sz val="11"/>
      <name val="Bookman Old Style"/>
      <family val="1"/>
    </font>
    <font>
      <b/>
      <sz val="11"/>
      <name val="Bookman Old Style"/>
      <family val="1"/>
    </font>
    <font>
      <sz val="11"/>
      <name val="Bookman Old Style"/>
      <family val="1"/>
    </font>
    <font>
      <b/>
      <u/>
      <sz val="12"/>
      <name val="Bookman Old Style"/>
      <family val="1"/>
    </font>
    <font>
      <sz val="12"/>
      <color theme="1"/>
      <name val="Bookman Old Style"/>
      <family val="1"/>
    </font>
    <font>
      <b/>
      <sz val="12"/>
      <color theme="1"/>
      <name val="Bookman Old Style"/>
      <family val="1"/>
    </font>
    <font>
      <b/>
      <sz val="13"/>
      <name val="Bookman Old Style"/>
      <family val="1"/>
    </font>
    <font>
      <b/>
      <u/>
      <sz val="13"/>
      <name val="Bookman Old Style"/>
      <family val="1"/>
    </font>
    <font>
      <sz val="13"/>
      <color theme="1"/>
      <name val="Bookman Old Style"/>
      <family val="1"/>
    </font>
    <font>
      <sz val="13"/>
      <name val="Bookman Old Style"/>
      <family val="1"/>
    </font>
    <font>
      <b/>
      <sz val="13"/>
      <color theme="1"/>
      <name val="Bookman Old Style"/>
      <family val="1"/>
    </font>
    <font>
      <u/>
      <sz val="11"/>
      <color theme="1"/>
      <name val="Bookman Old Style"/>
      <family val="1"/>
    </font>
    <font>
      <sz val="11"/>
      <color indexed="8"/>
      <name val="Bookman Old Style"/>
      <family val="1"/>
    </font>
    <font>
      <b/>
      <sz val="11"/>
      <color theme="6" tint="0.59999389629810485"/>
      <name val="Bookman Old Style"/>
      <family val="1"/>
    </font>
    <font>
      <sz val="12"/>
      <color indexed="8"/>
      <name val="Bookman Old Style"/>
      <family val="1"/>
    </font>
    <font>
      <b/>
      <sz val="12"/>
      <color indexed="8"/>
      <name val="Bookman Old Style"/>
      <family val="1"/>
    </font>
    <font>
      <sz val="12"/>
      <color theme="0"/>
      <name val="Bookman Old Style"/>
      <family val="1"/>
    </font>
    <font>
      <u/>
      <sz val="13"/>
      <color theme="1"/>
      <name val="Bookman Old Style"/>
      <family val="1"/>
    </font>
    <font>
      <sz val="11"/>
      <color theme="6" tint="0.59999389629810485"/>
      <name val="Bookman Old Style"/>
      <family val="1"/>
    </font>
    <font>
      <sz val="12"/>
      <color theme="6" tint="0.59999389629810485"/>
      <name val="Bookman Old Style"/>
      <family val="1"/>
    </font>
    <font>
      <b/>
      <vertAlign val="superscript"/>
      <sz val="11"/>
      <name val="Bookman Old Style"/>
      <family val="1"/>
    </font>
    <font>
      <vertAlign val="superscript"/>
      <sz val="11"/>
      <name val="Bookman Old Style"/>
      <family val="1"/>
    </font>
    <font>
      <b/>
      <u/>
      <sz val="13"/>
      <color theme="1"/>
      <name val="Bookman Old Style"/>
      <family val="1"/>
    </font>
    <font>
      <sz val="11"/>
      <color rgb="FFFFFFFF"/>
      <name val="Calibri"/>
      <family val="2"/>
      <scheme val="minor"/>
    </font>
    <font>
      <b/>
      <sz val="12"/>
      <name val="Times New Roman"/>
      <family val="1"/>
    </font>
    <font>
      <sz val="12"/>
      <color rgb="FF000000"/>
      <name val="Times New Roman"/>
      <family val="2"/>
    </font>
    <font>
      <b/>
      <sz val="12"/>
      <color rgb="FF000000"/>
      <name val="Times New Roman"/>
      <family val="2"/>
    </font>
    <font>
      <b/>
      <sz val="12"/>
      <color theme="1"/>
      <name val="Calibri"/>
      <family val="2"/>
      <scheme val="minor"/>
    </font>
    <font>
      <b/>
      <sz val="11"/>
      <color theme="1"/>
      <name val="Times New Roman"/>
      <family val="1"/>
    </font>
    <font>
      <b/>
      <sz val="14"/>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13"/>
      <color theme="1"/>
      <name val="Calibri"/>
      <family val="2"/>
      <scheme val="minor"/>
    </font>
    <font>
      <b/>
      <sz val="13"/>
      <color indexed="8"/>
      <name val="Calibri"/>
      <family val="2"/>
    </font>
    <font>
      <b/>
      <sz val="11"/>
      <color theme="1"/>
      <name val="Arial"/>
      <family val="2"/>
    </font>
    <font>
      <b/>
      <sz val="12"/>
      <color indexed="8"/>
      <name val="Calibri"/>
      <family val="2"/>
    </font>
    <font>
      <sz val="12"/>
      <color indexed="8"/>
      <name val="Calibri"/>
      <family val="2"/>
    </font>
    <font>
      <sz val="14"/>
      <name val="Calibri"/>
      <family val="2"/>
      <scheme val="minor"/>
    </font>
    <font>
      <i/>
      <sz val="12"/>
      <name val="Bookman Old Style"/>
      <family val="1"/>
    </font>
    <font>
      <b/>
      <i/>
      <sz val="12"/>
      <name val="Bookman Old Style"/>
      <family val="1"/>
    </font>
    <font>
      <b/>
      <u/>
      <sz val="12"/>
      <color theme="1"/>
      <name val="Bookman Old Style"/>
      <family val="1"/>
    </font>
    <font>
      <sz val="9"/>
      <color indexed="81"/>
      <name val="Tahoma"/>
      <family val="2"/>
    </font>
    <font>
      <sz val="11"/>
      <color theme="1"/>
      <name val="Calibri"/>
      <family val="2"/>
    </font>
    <font>
      <sz val="11"/>
      <color indexed="8"/>
      <name val="Calibri"/>
      <family val="2"/>
      <charset val="134"/>
    </font>
    <font>
      <sz val="12"/>
      <color rgb="FFD7E4BC"/>
      <name val="Bookman Old Style"/>
      <family val="1"/>
    </font>
    <font>
      <b/>
      <sz val="9"/>
      <color indexed="81"/>
      <name val="Tahoma"/>
      <family val="2"/>
    </font>
    <font>
      <b/>
      <sz val="11"/>
      <color theme="1" tint="4.9989318521683403E-2"/>
      <name val="Calibri"/>
      <family val="2"/>
      <scheme val="minor"/>
    </font>
    <font>
      <sz val="11"/>
      <color theme="1" tint="4.9989318521683403E-2"/>
      <name val="Calibri"/>
      <family val="2"/>
    </font>
    <font>
      <sz val="11"/>
      <color theme="1" tint="4.9989318521683403E-2"/>
      <name val="Calibri"/>
      <family val="2"/>
      <scheme val="minor"/>
    </font>
    <font>
      <sz val="12"/>
      <color theme="1" tint="4.9989318521683403E-2"/>
      <name val="Calibri"/>
      <family val="2"/>
      <scheme val="minor"/>
    </font>
    <font>
      <b/>
      <sz val="20"/>
      <color theme="1"/>
      <name val="Arial"/>
      <family val="2"/>
    </font>
    <font>
      <sz val="11"/>
      <name val="Calibri"/>
      <family val="2"/>
    </font>
    <font>
      <b/>
      <sz val="11"/>
      <name val="Calibri"/>
      <family val="2"/>
    </font>
    <font>
      <u/>
      <sz val="11"/>
      <name val="Bookman Old Style"/>
      <family val="1"/>
    </font>
    <font>
      <b/>
      <u/>
      <sz val="11"/>
      <color theme="1"/>
      <name val="Bookman Old Style"/>
      <family val="1"/>
    </font>
    <font>
      <b/>
      <sz val="10"/>
      <color rgb="FF800000"/>
      <name val="Times New Roman"/>
      <family val="1"/>
    </font>
    <font>
      <b/>
      <sz val="12"/>
      <color rgb="FF008000"/>
      <name val="Times New Roman"/>
      <family val="1"/>
    </font>
    <font>
      <sz val="14"/>
      <color rgb="FF000000"/>
      <name val="Calibri"/>
      <family val="2"/>
      <scheme val="minor"/>
    </font>
    <font>
      <sz val="9"/>
      <color theme="1"/>
      <name val="Calibri"/>
      <family val="2"/>
      <scheme val="minor"/>
    </font>
    <font>
      <sz val="9"/>
      <color rgb="FF000000"/>
      <name val="Calibri"/>
      <family val="2"/>
      <scheme val="minor"/>
    </font>
    <font>
      <sz val="9"/>
      <color indexed="8"/>
      <name val="Calibri"/>
      <family val="2"/>
      <scheme val="minor"/>
    </font>
    <font>
      <sz val="9"/>
      <name val="Calibri"/>
      <family val="2"/>
      <scheme val="minor"/>
    </font>
    <font>
      <sz val="8"/>
      <color rgb="FF000000"/>
      <name val="Calibri"/>
      <family val="2"/>
      <scheme val="minor"/>
    </font>
    <font>
      <b/>
      <sz val="8"/>
      <color rgb="FF000000"/>
      <name val="Calibri"/>
      <family val="2"/>
      <scheme val="minor"/>
    </font>
    <font>
      <sz val="8"/>
      <color indexed="8"/>
      <name val="Calibri"/>
      <family val="2"/>
      <scheme val="minor"/>
    </font>
    <font>
      <sz val="12"/>
      <name val="Calibri"/>
      <family val="2"/>
      <scheme val="minor"/>
    </font>
    <font>
      <sz val="11"/>
      <color rgb="FF000000"/>
      <name val="Calibri"/>
      <family val="2"/>
    </font>
    <font>
      <sz val="11"/>
      <color rgb="FF353535"/>
      <name val="Arial"/>
      <family val="2"/>
    </font>
    <font>
      <sz val="11"/>
      <color rgb="FF000000"/>
      <name val="Book Antiqua"/>
      <family val="1"/>
    </font>
    <font>
      <b/>
      <sz val="11"/>
      <color indexed="81"/>
      <name val="Tahoma"/>
      <family val="2"/>
    </font>
    <font>
      <sz val="11"/>
      <color indexed="81"/>
      <name val="Tahoma"/>
      <family val="2"/>
    </font>
    <font>
      <sz val="8.5"/>
      <color theme="1"/>
      <name val="Book Antiqua"/>
      <family val="1"/>
    </font>
    <font>
      <b/>
      <sz val="8.5"/>
      <color theme="1"/>
      <name val="Book Antiqua"/>
      <family val="1"/>
    </font>
    <font>
      <i/>
      <sz val="11"/>
      <color theme="1"/>
      <name val="Bookman Old Style"/>
      <family val="1"/>
    </font>
  </fonts>
  <fills count="6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4"/>
        <bgColor indexed="64"/>
      </patternFill>
    </fill>
    <fill>
      <patternFill patternType="solid">
        <fgColor indexed="12"/>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indexed="9"/>
        <bgColor indexed="64"/>
      </patternFill>
    </fill>
    <fill>
      <patternFill patternType="solid">
        <fgColor indexed="40"/>
        <bgColor indexed="64"/>
      </patternFill>
    </fill>
    <fill>
      <patternFill patternType="mediumGray">
        <fgColor indexed="22"/>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0"/>
      </patternFill>
    </fill>
    <fill>
      <patternFill patternType="solid">
        <fgColor indexed="54"/>
      </patternFill>
    </fill>
    <fill>
      <patternFill patternType="solid">
        <fgColor indexed="23"/>
      </patternFill>
    </fill>
    <fill>
      <patternFill patternType="solid">
        <fgColor indexed="41"/>
      </patternFill>
    </fill>
    <fill>
      <patternFill patternType="solid">
        <fgColor indexed="9"/>
      </patternFill>
    </fill>
    <fill>
      <patternFill patternType="solid">
        <fgColor rgb="FFD7E4BC"/>
        <bgColor indexed="64"/>
      </patternFill>
    </fill>
    <fill>
      <patternFill patternType="solid">
        <fgColor rgb="FFDBEDF3"/>
      </patternFill>
    </fill>
    <fill>
      <patternFill patternType="solid">
        <fgColor theme="9" tint="0.39997558519241921"/>
        <bgColor indexed="64"/>
      </patternFill>
    </fill>
    <fill>
      <patternFill patternType="solid">
        <fgColor theme="0" tint="-4.9989318521683403E-2"/>
        <bgColor indexed="64"/>
      </patternFill>
    </fill>
  </fills>
  <borders count="173">
    <border>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style="medium">
        <color indexed="0"/>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diagonal/>
    </border>
    <border>
      <left style="thin">
        <color indexed="64"/>
      </left>
      <right style="thin">
        <color indexed="64"/>
      </right>
      <top style="thin">
        <color auto="1"/>
      </top>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auto="1"/>
      </top>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auto="1"/>
      </top>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auto="1"/>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auto="1"/>
      </top>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06">
    <xf numFmtId="0" fontId="0" fillId="0" borderId="0"/>
    <xf numFmtId="0" fontId="1" fillId="0" borderId="0"/>
    <xf numFmtId="0" fontId="3" fillId="0" borderId="0" applyNumberFormat="0" applyFill="0" applyBorder="0" applyAlignment="0" applyProtection="0"/>
    <xf numFmtId="169" fontId="1" fillId="0" borderId="0" applyFont="0" applyFill="0" applyBorder="0" applyAlignment="0" applyProtection="0"/>
    <xf numFmtId="0" fontId="4" fillId="0" borderId="1"/>
    <xf numFmtId="169" fontId="8" fillId="0" borderId="0" applyFont="0" applyFill="0" applyBorder="0" applyAlignment="0" applyProtection="0"/>
    <xf numFmtId="0" fontId="4" fillId="0" borderId="1"/>
    <xf numFmtId="38" fontId="5" fillId="2" borderId="0" applyNumberFormat="0" applyBorder="0" applyAlignment="0" applyProtection="0"/>
    <xf numFmtId="0" fontId="2" fillId="0" borderId="2" applyNumberFormat="0" applyAlignment="0" applyProtection="0">
      <alignment horizontal="left" vertical="center"/>
    </xf>
    <xf numFmtId="0" fontId="2" fillId="0" borderId="3">
      <alignment horizontal="left" vertical="center"/>
    </xf>
    <xf numFmtId="10" fontId="5" fillId="3" borderId="4" applyNumberFormat="0" applyBorder="0" applyAlignment="0" applyProtection="0"/>
    <xf numFmtId="37" fontId="6" fillId="0" borderId="0"/>
    <xf numFmtId="170" fontId="7" fillId="0" borderId="0"/>
    <xf numFmtId="0" fontId="8" fillId="0" borderId="0"/>
    <xf numFmtId="9" fontId="1" fillId="0" borderId="0" applyFont="0" applyFill="0" applyBorder="0" applyAlignment="0" applyProtection="0"/>
    <xf numFmtId="10" fontId="1" fillId="0" borderId="0" applyFont="0" applyFill="0" applyBorder="0" applyAlignment="0" applyProtection="0"/>
    <xf numFmtId="0" fontId="8" fillId="0" borderId="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xf numFmtId="168" fontId="8" fillId="0" borderId="0" applyFont="0" applyFill="0" applyBorder="0" applyAlignment="0" applyProtection="0"/>
    <xf numFmtId="9"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11" fillId="0" borderId="0" applyFont="0" applyFill="0" applyBorder="0" applyAlignment="0" applyProtection="0"/>
    <xf numFmtId="0" fontId="8" fillId="0" borderId="0"/>
    <xf numFmtId="169" fontId="8"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0" fontId="8" fillId="0" borderId="0"/>
    <xf numFmtId="168" fontId="8" fillId="0" borderId="0" applyFont="0" applyFill="0" applyBorder="0" applyAlignment="0" applyProtection="0"/>
    <xf numFmtId="9"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 fillId="0" borderId="0"/>
    <xf numFmtId="0" fontId="18" fillId="0" borderId="0"/>
    <xf numFmtId="168" fontId="19" fillId="0" borderId="0" applyFont="0" applyFill="0" applyBorder="0" applyAlignment="0" applyProtection="0"/>
    <xf numFmtId="0" fontId="1" fillId="0" borderId="0"/>
    <xf numFmtId="0" fontId="1" fillId="0" borderId="0"/>
    <xf numFmtId="168" fontId="18" fillId="0" borderId="0" applyFont="0" applyFill="0" applyBorder="0" applyAlignment="0" applyProtection="0"/>
    <xf numFmtId="174" fontId="20" fillId="0" borderId="32" applyFont="0" applyBorder="0"/>
    <xf numFmtId="180" fontId="21" fillId="0" borderId="0" applyFont="0" applyFill="0" applyBorder="0" applyAlignment="0" applyProtection="0"/>
    <xf numFmtId="0" fontId="22" fillId="0" borderId="0" applyFont="0" applyFill="0" applyBorder="0" applyAlignment="0" applyProtection="0"/>
    <xf numFmtId="181" fontId="21"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82" fontId="23" fillId="0" borderId="0" applyFont="0" applyFill="0" applyBorder="0" applyAlignment="0" applyProtection="0"/>
    <xf numFmtId="9" fontId="24" fillId="0" borderId="0" applyFont="0" applyFill="0" applyBorder="0" applyAlignment="0" applyProtection="0"/>
    <xf numFmtId="0" fontId="25" fillId="0" borderId="0"/>
    <xf numFmtId="0" fontId="26" fillId="0" borderId="0"/>
    <xf numFmtId="0" fontId="26" fillId="0" borderId="0"/>
    <xf numFmtId="0" fontId="26" fillId="0" borderId="0"/>
    <xf numFmtId="0" fontId="2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28" fillId="0" borderId="16"/>
    <xf numFmtId="0" fontId="29" fillId="0" borderId="0" applyNumberFormat="0" applyFill="0" applyBorder="0" applyAlignment="0" applyProtection="0"/>
    <xf numFmtId="0" fontId="30" fillId="2" borderId="0"/>
    <xf numFmtId="0" fontId="31" fillId="2" borderId="0"/>
    <xf numFmtId="0" fontId="32" fillId="2" borderId="0"/>
    <xf numFmtId="0" fontId="33" fillId="0" borderId="0">
      <alignment wrapText="1"/>
    </xf>
    <xf numFmtId="183" fontId="34" fillId="0" borderId="0" applyFont="0" applyFill="0" applyBorder="0" applyAlignment="0" applyProtection="0"/>
    <xf numFmtId="0" fontId="35" fillId="0" borderId="0" applyFont="0" applyFill="0" applyBorder="0" applyAlignment="0" applyProtection="0"/>
    <xf numFmtId="184" fontId="34" fillId="0" borderId="0" applyFont="0" applyFill="0" applyBorder="0" applyAlignment="0" applyProtection="0"/>
    <xf numFmtId="0" fontId="35" fillId="0" borderId="0" applyFont="0" applyFill="0" applyBorder="0" applyAlignment="0" applyProtection="0"/>
    <xf numFmtId="41" fontId="34" fillId="0" borderId="0" applyFont="0" applyFill="0" applyBorder="0" applyAlignment="0" applyProtection="0"/>
    <xf numFmtId="0" fontId="35" fillId="0" borderId="0" applyFont="0" applyFill="0" applyBorder="0" applyAlignment="0" applyProtection="0"/>
    <xf numFmtId="43" fontId="34" fillId="0" borderId="0" applyFont="0" applyFill="0" applyBorder="0" applyAlignment="0" applyProtection="0"/>
    <xf numFmtId="0" fontId="35" fillId="0" borderId="0" applyFont="0" applyFill="0" applyBorder="0" applyAlignment="0" applyProtection="0"/>
    <xf numFmtId="164" fontId="36" fillId="0" borderId="22" applyAlignment="0" applyProtection="0"/>
    <xf numFmtId="0" fontId="35" fillId="0" borderId="0"/>
    <xf numFmtId="0" fontId="37" fillId="0" borderId="0"/>
    <xf numFmtId="0" fontId="35" fillId="0" borderId="0"/>
    <xf numFmtId="0" fontId="38" fillId="0" borderId="0" applyFill="0" applyBorder="0" applyAlignment="0"/>
    <xf numFmtId="185" fontId="39" fillId="0" borderId="0" applyFill="0" applyBorder="0" applyAlignment="0"/>
    <xf numFmtId="177" fontId="39" fillId="0" borderId="0" applyFill="0" applyBorder="0" applyAlignment="0"/>
    <xf numFmtId="186" fontId="40" fillId="0" borderId="0" applyFill="0" applyBorder="0" applyAlignment="0"/>
    <xf numFmtId="179" fontId="40" fillId="0" borderId="0" applyFill="0" applyBorder="0" applyAlignment="0"/>
    <xf numFmtId="187" fontId="39" fillId="0" borderId="0" applyFill="0" applyBorder="0" applyAlignment="0"/>
    <xf numFmtId="188" fontId="40" fillId="0" borderId="0" applyFill="0" applyBorder="0" applyAlignment="0"/>
    <xf numFmtId="185" fontId="39" fillId="0" borderId="0" applyFill="0" applyBorder="0" applyAlignment="0"/>
    <xf numFmtId="0" fontId="41" fillId="0" borderId="0"/>
    <xf numFmtId="1" fontId="42" fillId="0" borderId="11" applyBorder="0"/>
    <xf numFmtId="187" fontId="39" fillId="0" borderId="0" applyFont="0" applyFill="0" applyBorder="0" applyAlignment="0" applyProtection="0"/>
    <xf numFmtId="0" fontId="94" fillId="58" borderId="51" applyNumberFormat="0" applyFont="0" applyAlignment="0" applyProtection="0"/>
    <xf numFmtId="0" fontId="5" fillId="44" borderId="73" applyNumberFormat="0" applyProtection="0">
      <alignment horizontal="left" vertical="top" indent="1"/>
    </xf>
    <xf numFmtId="168" fontId="4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4" fillId="0" borderId="0"/>
    <xf numFmtId="189" fontId="45" fillId="0" borderId="0"/>
    <xf numFmtId="3" fontId="1" fillId="0" borderId="0" applyFont="0" applyFill="0" applyBorder="0" applyAlignment="0" applyProtection="0"/>
    <xf numFmtId="190" fontId="46" fillId="0" borderId="4" applyBorder="0"/>
    <xf numFmtId="0" fontId="47" fillId="0" borderId="0" applyNumberFormat="0" applyAlignment="0">
      <alignment horizontal="left"/>
    </xf>
    <xf numFmtId="185" fontId="39" fillId="0" borderId="0" applyFont="0" applyFill="0" applyBorder="0" applyAlignment="0" applyProtection="0"/>
    <xf numFmtId="167" fontId="1" fillId="0" borderId="0" applyFont="0" applyFill="0" applyBorder="0" applyAlignment="0" applyProtection="0"/>
    <xf numFmtId="191" fontId="1" fillId="0" borderId="0" applyFont="0" applyFill="0" applyBorder="0" applyAlignment="0" applyProtection="0"/>
    <xf numFmtId="192" fontId="45" fillId="0" borderId="0"/>
    <xf numFmtId="190" fontId="48" fillId="0" borderId="0">
      <protection locked="0"/>
    </xf>
    <xf numFmtId="0" fontId="1" fillId="0" borderId="0" applyFont="0" applyFill="0" applyBorder="0" applyAlignment="0" applyProtection="0"/>
    <xf numFmtId="14" fontId="38" fillId="0" borderId="0" applyFill="0" applyBorder="0" applyAlignment="0"/>
    <xf numFmtId="0" fontId="1" fillId="0" borderId="0" applyFont="0" applyFill="0" applyBorder="0" applyAlignment="0" applyProtection="0"/>
    <xf numFmtId="38" fontId="49" fillId="0" borderId="33">
      <alignment vertical="center"/>
    </xf>
    <xf numFmtId="168" fontId="1" fillId="0" borderId="0" applyFont="0" applyFill="0" applyBorder="0" applyAlignment="0" applyProtection="0"/>
    <xf numFmtId="175" fontId="45" fillId="0" borderId="0"/>
    <xf numFmtId="190" fontId="50" fillId="0" borderId="22"/>
    <xf numFmtId="168" fontId="1" fillId="0" borderId="0" applyFont="0" applyFill="0" applyBorder="0" applyAlignment="0" applyProtection="0"/>
    <xf numFmtId="187" fontId="39" fillId="0" borderId="0" applyFill="0" applyBorder="0" applyAlignment="0"/>
    <xf numFmtId="185" fontId="39" fillId="0" borderId="0" applyFill="0" applyBorder="0" applyAlignment="0"/>
    <xf numFmtId="187" fontId="39" fillId="0" borderId="0" applyFill="0" applyBorder="0" applyAlignment="0"/>
    <xf numFmtId="188" fontId="40" fillId="0" borderId="0" applyFill="0" applyBorder="0" applyAlignment="0"/>
    <xf numFmtId="185" fontId="39" fillId="0" borderId="0" applyFill="0" applyBorder="0" applyAlignment="0"/>
    <xf numFmtId="0" fontId="51" fillId="0" borderId="0" applyNumberFormat="0" applyAlignment="0">
      <alignment horizontal="left"/>
    </xf>
    <xf numFmtId="193" fontId="1" fillId="0" borderId="0" applyFont="0" applyFill="0" applyBorder="0" applyAlignment="0" applyProtection="0"/>
    <xf numFmtId="0" fontId="39" fillId="0" borderId="0" applyFill="0" applyBorder="0">
      <alignment horizontal="left" vertical="top"/>
    </xf>
    <xf numFmtId="2" fontId="1" fillId="0" borderId="0" applyFont="0" applyFill="0" applyBorder="0" applyAlignment="0" applyProtection="0"/>
    <xf numFmtId="174" fontId="52" fillId="0" borderId="0" applyFill="0" applyBorder="0" applyAlignment="0" applyProtection="0">
      <alignment vertical="top"/>
      <protection locked="0"/>
    </xf>
    <xf numFmtId="0" fontId="53" fillId="0" borderId="0" applyNumberFormat="0" applyFont="0" applyBorder="0" applyAlignment="0">
      <alignment horizontal="left" vertical="center"/>
    </xf>
    <xf numFmtId="0" fontId="54" fillId="0" borderId="0">
      <alignment horizontal="left"/>
    </xf>
    <xf numFmtId="0" fontId="5" fillId="60" borderId="73" applyNumberFormat="0" applyProtection="0">
      <alignment horizontal="left" vertical="top" indent="1"/>
    </xf>
    <xf numFmtId="168" fontId="19" fillId="0" borderId="0" applyFont="0" applyFill="0" applyBorder="0" applyAlignment="0" applyProtection="0"/>
    <xf numFmtId="164" fontId="55" fillId="16" borderId="4" applyNumberFormat="0" applyAlignment="0">
      <alignment horizontal="left" vertical="top"/>
    </xf>
    <xf numFmtId="0" fontId="11" fillId="0" borderId="0"/>
    <xf numFmtId="187" fontId="39" fillId="0" borderId="0" applyFill="0" applyBorder="0" applyAlignment="0"/>
    <xf numFmtId="185" fontId="39" fillId="0" borderId="0" applyFill="0" applyBorder="0" applyAlignment="0"/>
    <xf numFmtId="187" fontId="39" fillId="0" borderId="0" applyFill="0" applyBorder="0" applyAlignment="0"/>
    <xf numFmtId="188" fontId="40" fillId="0" borderId="0" applyFill="0" applyBorder="0" applyAlignment="0"/>
    <xf numFmtId="185" fontId="39" fillId="0" borderId="0" applyFill="0" applyBorder="0" applyAlignment="0"/>
    <xf numFmtId="38" fontId="56" fillId="15" borderId="0"/>
    <xf numFmtId="169"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0" fontId="57" fillId="0" borderId="14"/>
    <xf numFmtId="0" fontId="17" fillId="0" borderId="0" applyNumberFormat="0" applyFont="0" applyFill="0" applyAlignment="0"/>
    <xf numFmtId="0" fontId="18" fillId="0" borderId="0"/>
    <xf numFmtId="4" fontId="38" fillId="32" borderId="98" applyNumberFormat="0" applyProtection="0">
      <alignment horizontal="left" vertical="center" indent="1"/>
    </xf>
    <xf numFmtId="0" fontId="58" fillId="0" borderId="4" applyNumberFormat="0" applyFont="0" applyFill="0" applyBorder="0" applyAlignment="0">
      <alignment horizontal="center"/>
    </xf>
    <xf numFmtId="0" fontId="1" fillId="0" borderId="0"/>
    <xf numFmtId="0" fontId="59" fillId="0" borderId="0"/>
    <xf numFmtId="0" fontId="1" fillId="0" borderId="0"/>
    <xf numFmtId="0" fontId="43" fillId="0" borderId="0"/>
    <xf numFmtId="168" fontId="19" fillId="0" borderId="0" applyFont="0" applyFill="0" applyBorder="0" applyAlignment="0" applyProtection="0"/>
    <xf numFmtId="0" fontId="1" fillId="0" borderId="0"/>
    <xf numFmtId="0" fontId="60" fillId="0" borderId="0" applyNumberFormat="0" applyFill="0" applyBorder="0" applyAlignment="0" applyProtection="0"/>
    <xf numFmtId="37" fontId="61" fillId="0" borderId="0">
      <protection locked="0"/>
    </xf>
    <xf numFmtId="179" fontId="40" fillId="0" borderId="0" applyFont="0" applyFill="0" applyBorder="0" applyAlignment="0" applyProtection="0"/>
    <xf numFmtId="195" fontId="39" fillId="0" borderId="0" applyFont="0" applyFill="0" applyBorder="0" applyAlignment="0" applyProtection="0"/>
    <xf numFmtId="4" fontId="38" fillId="26" borderId="98" applyNumberFormat="0" applyProtection="0">
      <alignment horizontal="right" vertical="center"/>
    </xf>
    <xf numFmtId="9" fontId="19" fillId="0" borderId="0" applyFont="0" applyFill="0" applyBorder="0" applyAlignment="0" applyProtection="0"/>
    <xf numFmtId="0" fontId="11" fillId="0" borderId="0"/>
    <xf numFmtId="9" fontId="43" fillId="0" borderId="0" applyFont="0" applyFill="0" applyBorder="0" applyAlignment="0" applyProtection="0"/>
    <xf numFmtId="9" fontId="43" fillId="0" borderId="0" applyFont="0" applyFill="0" applyBorder="0" applyAlignment="0" applyProtection="0"/>
    <xf numFmtId="187" fontId="39" fillId="0" borderId="0" applyFill="0" applyBorder="0" applyAlignment="0"/>
    <xf numFmtId="185" fontId="39" fillId="0" borderId="0" applyFill="0" applyBorder="0" applyAlignment="0"/>
    <xf numFmtId="187" fontId="39" fillId="0" borderId="0" applyFill="0" applyBorder="0" applyAlignment="0"/>
    <xf numFmtId="188" fontId="40" fillId="0" borderId="0" applyFill="0" applyBorder="0" applyAlignment="0"/>
    <xf numFmtId="185" fontId="39" fillId="0" borderId="0" applyFill="0" applyBorder="0" applyAlignment="0"/>
    <xf numFmtId="0" fontId="62" fillId="0" borderId="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36" fillId="0" borderId="14">
      <alignment horizontal="center"/>
    </xf>
    <xf numFmtId="3" fontId="49" fillId="0" borderId="0" applyFont="0" applyFill="0" applyBorder="0" applyAlignment="0" applyProtection="0"/>
    <xf numFmtId="0" fontId="49" fillId="17" borderId="0" applyNumberFormat="0" applyFont="0" applyBorder="0" applyAlignment="0" applyProtection="0"/>
    <xf numFmtId="1" fontId="28" fillId="0" borderId="16" applyNumberFormat="0" applyFill="0" applyAlignment="0" applyProtection="0">
      <alignment horizontal="center" vertical="center"/>
    </xf>
    <xf numFmtId="196" fontId="63" fillId="0" borderId="0" applyNumberFormat="0" applyFill="0" applyBorder="0" applyAlignment="0" applyProtection="0">
      <alignment horizontal="left"/>
    </xf>
    <xf numFmtId="4" fontId="38" fillId="18" borderId="34" applyNumberFormat="0" applyProtection="0">
      <alignment vertical="center"/>
    </xf>
    <xf numFmtId="4" fontId="64" fillId="18" borderId="34" applyNumberFormat="0" applyProtection="0">
      <alignment vertical="center"/>
    </xf>
    <xf numFmtId="4" fontId="38" fillId="18" borderId="34" applyNumberFormat="0" applyProtection="0">
      <alignment horizontal="left" vertical="center" indent="1"/>
    </xf>
    <xf numFmtId="4" fontId="38" fillId="18" borderId="34" applyNumberFormat="0" applyProtection="0">
      <alignment horizontal="left" vertical="center" indent="1"/>
    </xf>
    <xf numFmtId="0" fontId="1" fillId="19" borderId="34" applyNumberFormat="0" applyProtection="0">
      <alignment horizontal="left" vertical="center" indent="1"/>
    </xf>
    <xf numFmtId="4" fontId="38" fillId="20" borderId="34" applyNumberFormat="0" applyProtection="0">
      <alignment horizontal="right" vertical="center"/>
    </xf>
    <xf numFmtId="4" fontId="38" fillId="21" borderId="34" applyNumberFormat="0" applyProtection="0">
      <alignment horizontal="right" vertical="center"/>
    </xf>
    <xf numFmtId="4" fontId="38" fillId="22" borderId="34" applyNumberFormat="0" applyProtection="0">
      <alignment horizontal="right" vertical="center"/>
    </xf>
    <xf numFmtId="4" fontId="38" fillId="23" borderId="34" applyNumberFormat="0" applyProtection="0">
      <alignment horizontal="right" vertical="center"/>
    </xf>
    <xf numFmtId="4" fontId="38" fillId="24" borderId="34" applyNumberFormat="0" applyProtection="0">
      <alignment horizontal="right" vertical="center"/>
    </xf>
    <xf numFmtId="4" fontId="38" fillId="25" borderId="34" applyNumberFormat="0" applyProtection="0">
      <alignment horizontal="right" vertical="center"/>
    </xf>
    <xf numFmtId="4" fontId="38" fillId="26" borderId="34" applyNumberFormat="0" applyProtection="0">
      <alignment horizontal="right" vertical="center"/>
    </xf>
    <xf numFmtId="4" fontId="38" fillId="27" borderId="34" applyNumberFormat="0" applyProtection="0">
      <alignment horizontal="right" vertical="center"/>
    </xf>
    <xf numFmtId="4" fontId="38" fillId="28" borderId="34" applyNumberFormat="0" applyProtection="0">
      <alignment horizontal="right" vertical="center"/>
    </xf>
    <xf numFmtId="4" fontId="65" fillId="29" borderId="34" applyNumberFormat="0" applyProtection="0">
      <alignment horizontal="left" vertical="center" indent="1"/>
    </xf>
    <xf numFmtId="4" fontId="38" fillId="30" borderId="35" applyNumberFormat="0" applyProtection="0">
      <alignment horizontal="left" vertical="center" indent="1"/>
    </xf>
    <xf numFmtId="4" fontId="66" fillId="31" borderId="0" applyNumberFormat="0" applyProtection="0">
      <alignment horizontal="left" vertical="center" indent="1"/>
    </xf>
    <xf numFmtId="0" fontId="1" fillId="19" borderId="34" applyNumberFormat="0" applyProtection="0">
      <alignment horizontal="left" vertical="center" indent="1"/>
    </xf>
    <xf numFmtId="4" fontId="38" fillId="30" borderId="34" applyNumberFormat="0" applyProtection="0">
      <alignment horizontal="left" vertical="center" indent="1"/>
    </xf>
    <xf numFmtId="4" fontId="38" fillId="32" borderId="34" applyNumberFormat="0" applyProtection="0">
      <alignment horizontal="left" vertical="center" indent="1"/>
    </xf>
    <xf numFmtId="0" fontId="1" fillId="32" borderId="34" applyNumberFormat="0" applyProtection="0">
      <alignment horizontal="left" vertical="center" indent="1"/>
    </xf>
    <xf numFmtId="0" fontId="1" fillId="32" borderId="34" applyNumberFormat="0" applyProtection="0">
      <alignment horizontal="left" vertical="center" indent="1"/>
    </xf>
    <xf numFmtId="0" fontId="1" fillId="33" borderId="34" applyNumberFormat="0" applyProtection="0">
      <alignment horizontal="left" vertical="center" indent="1"/>
    </xf>
    <xf numFmtId="0" fontId="1" fillId="33" borderId="34" applyNumberFormat="0" applyProtection="0">
      <alignment horizontal="left" vertical="center" indent="1"/>
    </xf>
    <xf numFmtId="0" fontId="1" fillId="2" borderId="34" applyNumberFormat="0" applyProtection="0">
      <alignment horizontal="left" vertical="center" indent="1"/>
    </xf>
    <xf numFmtId="0" fontId="1" fillId="2" borderId="34" applyNumberFormat="0" applyProtection="0">
      <alignment horizontal="left" vertical="center" indent="1"/>
    </xf>
    <xf numFmtId="0" fontId="1" fillId="19" borderId="34" applyNumberFormat="0" applyProtection="0">
      <alignment horizontal="left" vertical="center" indent="1"/>
    </xf>
    <xf numFmtId="0" fontId="1" fillId="19" borderId="34" applyNumberFormat="0" applyProtection="0">
      <alignment horizontal="left" vertical="center" indent="1"/>
    </xf>
    <xf numFmtId="4" fontId="38" fillId="3" borderId="34" applyNumberFormat="0" applyProtection="0">
      <alignment vertical="center"/>
    </xf>
    <xf numFmtId="4" fontId="64" fillId="3" borderId="34" applyNumberFormat="0" applyProtection="0">
      <alignment vertical="center"/>
    </xf>
    <xf numFmtId="4" fontId="38" fillId="3" borderId="34" applyNumberFormat="0" applyProtection="0">
      <alignment horizontal="left" vertical="center" indent="1"/>
    </xf>
    <xf numFmtId="4" fontId="38" fillId="3" borderId="34" applyNumberFormat="0" applyProtection="0">
      <alignment horizontal="left" vertical="center" indent="1"/>
    </xf>
    <xf numFmtId="4" fontId="38" fillId="30" borderId="34" applyNumberFormat="0" applyProtection="0">
      <alignment horizontal="right" vertical="center"/>
    </xf>
    <xf numFmtId="4" fontId="64" fillId="30" borderId="34" applyNumberFormat="0" applyProtection="0">
      <alignment horizontal="right" vertical="center"/>
    </xf>
    <xf numFmtId="0" fontId="1" fillId="19" borderId="34" applyNumberFormat="0" applyProtection="0">
      <alignment horizontal="left" vertical="center" indent="1"/>
    </xf>
    <xf numFmtId="0" fontId="1" fillId="19" borderId="34" applyNumberFormat="0" applyProtection="0">
      <alignment horizontal="left" vertical="center" indent="1"/>
    </xf>
    <xf numFmtId="0" fontId="67" fillId="0" borderId="0"/>
    <xf numFmtId="4" fontId="68" fillId="30" borderId="34" applyNumberFormat="0" applyProtection="0">
      <alignment horizontal="right" vertical="center"/>
    </xf>
    <xf numFmtId="0" fontId="61" fillId="0" borderId="0"/>
    <xf numFmtId="0" fontId="69" fillId="0" borderId="0"/>
    <xf numFmtId="0" fontId="61" fillId="0" borderId="0"/>
    <xf numFmtId="37" fontId="70" fillId="0" borderId="0">
      <protection locked="0"/>
    </xf>
    <xf numFmtId="0" fontId="71" fillId="34" borderId="0"/>
    <xf numFmtId="0" fontId="69" fillId="0" borderId="0"/>
    <xf numFmtId="0" fontId="72" fillId="0" borderId="0"/>
    <xf numFmtId="37" fontId="70" fillId="0" borderId="0">
      <protection locked="0"/>
    </xf>
    <xf numFmtId="0" fontId="73" fillId="0" borderId="0"/>
    <xf numFmtId="0" fontId="71" fillId="34" borderId="0"/>
    <xf numFmtId="0" fontId="69" fillId="0" borderId="0"/>
    <xf numFmtId="0" fontId="69" fillId="0" borderId="0"/>
    <xf numFmtId="49" fontId="61" fillId="0" borderId="0"/>
    <xf numFmtId="0" fontId="1" fillId="0" borderId="0"/>
    <xf numFmtId="0" fontId="1" fillId="0" borderId="0"/>
    <xf numFmtId="0" fontId="57" fillId="0" borderId="0"/>
    <xf numFmtId="40" fontId="74" fillId="0" borderId="0" applyBorder="0">
      <alignment horizontal="right"/>
    </xf>
    <xf numFmtId="49" fontId="38" fillId="0" borderId="0" applyFill="0" applyBorder="0" applyAlignment="0"/>
    <xf numFmtId="197" fontId="40" fillId="0" borderId="0" applyFill="0" applyBorder="0" applyAlignment="0"/>
    <xf numFmtId="198" fontId="40" fillId="0" borderId="0" applyFill="0" applyBorder="0" applyAlignment="0"/>
    <xf numFmtId="0" fontId="75" fillId="0" borderId="36"/>
    <xf numFmtId="0" fontId="60"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76" fillId="0" borderId="0"/>
    <xf numFmtId="0" fontId="76" fillId="0" borderId="0"/>
    <xf numFmtId="164" fontId="77" fillId="30" borderId="23">
      <alignment vertical="top"/>
    </xf>
    <xf numFmtId="0" fontId="78" fillId="35" borderId="4">
      <alignment horizontal="left" vertical="center"/>
    </xf>
    <xf numFmtId="165" fontId="79" fillId="36" borderId="23"/>
    <xf numFmtId="164" fontId="55" fillId="0" borderId="23">
      <alignment horizontal="left" vertical="top"/>
    </xf>
    <xf numFmtId="0" fontId="80" fillId="37" borderId="0">
      <alignment horizontal="left" vertical="center"/>
    </xf>
    <xf numFmtId="164" fontId="81" fillId="0" borderId="16">
      <alignment horizontal="left" vertical="top"/>
    </xf>
    <xf numFmtId="0" fontId="82" fillId="0" borderId="16">
      <alignment horizontal="left" vertical="center"/>
    </xf>
    <xf numFmtId="0" fontId="83" fillId="0" borderId="0" applyNumberFormat="0" applyFill="0" applyBorder="0" applyAlignment="0" applyProtection="0"/>
    <xf numFmtId="0" fontId="84" fillId="0" borderId="0"/>
    <xf numFmtId="168" fontId="1" fillId="0" borderId="0" applyFont="0" applyFill="0" applyBorder="0" applyAlignment="0" applyProtection="0"/>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Font="0" applyFill="0" applyBorder="0" applyAlignment="0" applyProtection="0"/>
    <xf numFmtId="0" fontId="87" fillId="0" borderId="0"/>
    <xf numFmtId="0" fontId="17" fillId="0" borderId="0"/>
    <xf numFmtId="41" fontId="88" fillId="0" borderId="0" applyFont="0" applyFill="0" applyBorder="0" applyAlignment="0" applyProtection="0">
      <alignment vertical="center"/>
    </xf>
    <xf numFmtId="43" fontId="88" fillId="0" borderId="0" applyFont="0" applyFill="0" applyBorder="0" applyAlignment="0" applyProtection="0"/>
    <xf numFmtId="182" fontId="61" fillId="0" borderId="0" applyFont="0" applyFill="0" applyBorder="0" applyAlignment="0" applyProtection="0"/>
    <xf numFmtId="169" fontId="61"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82" fontId="90" fillId="0" borderId="0" applyFont="0" applyFill="0" applyBorder="0" applyAlignment="0" applyProtection="0"/>
    <xf numFmtId="169" fontId="90" fillId="0" borderId="0" applyFont="0" applyFill="0" applyBorder="0" applyAlignment="0" applyProtection="0"/>
    <xf numFmtId="199" fontId="59" fillId="0" borderId="0" applyFont="0" applyFill="0" applyBorder="0" applyAlignment="0" applyProtection="0"/>
    <xf numFmtId="200" fontId="59" fillId="0" borderId="0" applyFont="0" applyFill="0" applyBorder="0" applyAlignment="0" applyProtection="0"/>
    <xf numFmtId="0" fontId="91" fillId="0" borderId="0"/>
    <xf numFmtId="0" fontId="1" fillId="0" borderId="0"/>
    <xf numFmtId="166" fontId="1" fillId="0" borderId="0" applyFont="0" applyFill="0" applyBorder="0" applyAlignment="0" applyProtection="0"/>
    <xf numFmtId="0" fontId="1" fillId="0" borderId="0"/>
    <xf numFmtId="9" fontId="88" fillId="0" borderId="0" applyFont="0" applyFill="0" applyBorder="0" applyAlignment="0" applyProtection="0"/>
    <xf numFmtId="201" fontId="61" fillId="0" borderId="0" applyFont="0" applyFill="0" applyBorder="0" applyAlignment="0" applyProtection="0"/>
    <xf numFmtId="165" fontId="92" fillId="0" borderId="0" applyFont="0" applyFill="0" applyBorder="0" applyAlignment="0" applyProtection="0"/>
    <xf numFmtId="202" fontId="61"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29" fillId="0" borderId="0">
      <alignment vertical="center"/>
    </xf>
    <xf numFmtId="0" fontId="11" fillId="0" borderId="0"/>
    <xf numFmtId="0" fontId="11" fillId="0" borderId="0"/>
    <xf numFmtId="168" fontId="18" fillId="0" borderId="0" applyFont="0" applyFill="0" applyBorder="0" applyAlignment="0" applyProtection="0"/>
    <xf numFmtId="0" fontId="94" fillId="38" borderId="0" applyNumberFormat="0" applyBorder="0" applyAlignment="0" applyProtection="0"/>
    <xf numFmtId="0" fontId="94" fillId="39" borderId="0" applyNumberFormat="0" applyBorder="0" applyAlignment="0" applyProtection="0"/>
    <xf numFmtId="0" fontId="94" fillId="40" borderId="0" applyNumberFormat="0" applyBorder="0" applyAlignment="0" applyProtection="0"/>
    <xf numFmtId="0" fontId="94" fillId="41" borderId="0" applyNumberFormat="0" applyBorder="0" applyAlignment="0" applyProtection="0"/>
    <xf numFmtId="0" fontId="94" fillId="42" borderId="0" applyNumberFormat="0" applyBorder="0" applyAlignment="0" applyProtection="0"/>
    <xf numFmtId="0" fontId="94" fillId="43"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94" fillId="46" borderId="0" applyNumberFormat="0" applyBorder="0" applyAlignment="0" applyProtection="0"/>
    <xf numFmtId="0" fontId="94" fillId="41" borderId="0" applyNumberFormat="0" applyBorder="0" applyAlignment="0" applyProtection="0"/>
    <xf numFmtId="0" fontId="94" fillId="44"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5" fillId="45" borderId="0" applyNumberFormat="0" applyBorder="0" applyAlignment="0" applyProtection="0"/>
    <xf numFmtId="0" fontId="95" fillId="46" borderId="0" applyNumberFormat="0" applyBorder="0" applyAlignment="0" applyProtection="0"/>
    <xf numFmtId="0" fontId="95" fillId="49"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4" borderId="0" applyNumberFormat="0" applyBorder="0" applyAlignment="0" applyProtection="0"/>
    <xf numFmtId="0" fontId="95" fillId="49" borderId="0" applyNumberFormat="0" applyBorder="0" applyAlignment="0" applyProtection="0"/>
    <xf numFmtId="0" fontId="95" fillId="50" borderId="0" applyNumberFormat="0" applyBorder="0" applyAlignment="0" applyProtection="0"/>
    <xf numFmtId="0" fontId="95" fillId="55" borderId="0" applyNumberFormat="0" applyBorder="0" applyAlignment="0" applyProtection="0"/>
    <xf numFmtId="0" fontId="96" fillId="39" borderId="0" applyNumberFormat="0" applyBorder="0" applyAlignment="0" applyProtection="0"/>
    <xf numFmtId="0" fontId="97" fillId="34" borderId="37" applyNumberFormat="0" applyAlignment="0" applyProtection="0"/>
    <xf numFmtId="0" fontId="98" fillId="56" borderId="38" applyNumberFormat="0" applyAlignment="0" applyProtection="0"/>
    <xf numFmtId="166" fontId="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1" fillId="19" borderId="52" applyNumberFormat="0" applyProtection="0">
      <alignment horizontal="left" vertical="center" indent="1"/>
    </xf>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0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9" fillId="0" borderId="0" applyNumberFormat="0" applyFill="0" applyBorder="0" applyAlignment="0" applyProtection="0"/>
    <xf numFmtId="0" fontId="100" fillId="40" borderId="0" applyNumberFormat="0" applyBorder="0" applyAlignment="0" applyProtection="0"/>
    <xf numFmtId="0" fontId="101" fillId="0" borderId="39" applyNumberFormat="0" applyFill="0" applyAlignment="0" applyProtection="0"/>
    <xf numFmtId="0" fontId="102" fillId="0" borderId="40" applyNumberFormat="0" applyFill="0" applyAlignment="0" applyProtection="0"/>
    <xf numFmtId="0" fontId="103" fillId="0" borderId="41" applyNumberFormat="0" applyFill="0" applyAlignment="0" applyProtection="0"/>
    <xf numFmtId="0" fontId="103" fillId="0" borderId="0" applyNumberFormat="0" applyFill="0" applyBorder="0" applyAlignment="0" applyProtection="0"/>
    <xf numFmtId="0" fontId="16" fillId="0" borderId="0" applyNumberFormat="0" applyFill="0" applyBorder="0" applyAlignment="0" applyProtection="0">
      <alignment vertical="top"/>
      <protection locked="0"/>
    </xf>
    <xf numFmtId="0" fontId="104" fillId="43" borderId="37" applyNumberFormat="0" applyAlignment="0" applyProtection="0"/>
    <xf numFmtId="0" fontId="105" fillId="0" borderId="42" applyNumberFormat="0" applyFill="0" applyAlignment="0" applyProtection="0"/>
    <xf numFmtId="0" fontId="106" fillId="57" borderId="0" applyNumberFormat="0" applyBorder="0" applyAlignment="0" applyProtection="0"/>
    <xf numFmtId="0" fontId="11" fillId="0" borderId="0"/>
    <xf numFmtId="164" fontId="36" fillId="0" borderId="101"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19" borderId="52"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58" borderId="5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168"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58" borderId="43" applyNumberFormat="0" applyFont="0" applyAlignment="0" applyProtection="0"/>
    <xf numFmtId="0" fontId="107" fillId="3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8" fillId="0" borderId="0" applyNumberFormat="0" applyFill="0" applyBorder="0" applyAlignment="0" applyProtection="0"/>
    <xf numFmtId="0" fontId="109" fillId="0" borderId="44" applyNumberFormat="0" applyFill="0" applyAlignment="0" applyProtection="0"/>
    <xf numFmtId="0" fontId="110" fillId="0" borderId="0" applyNumberFormat="0" applyFill="0" applyBorder="0" applyAlignment="0" applyProtection="0"/>
    <xf numFmtId="204" fontId="11" fillId="0" borderId="0" applyFont="0" applyFill="0" applyBorder="0" applyAlignment="0" applyProtection="0"/>
    <xf numFmtId="0" fontId="1" fillId="0" borderId="0"/>
    <xf numFmtId="0" fontId="1" fillId="0" borderId="0"/>
    <xf numFmtId="4" fontId="5" fillId="50" borderId="45" applyNumberFormat="0" applyProtection="0">
      <alignment horizontal="left" vertical="center" indent="1"/>
    </xf>
    <xf numFmtId="4" fontId="5" fillId="59" borderId="45" applyNumberFormat="0" applyProtection="0">
      <alignment horizontal="right" vertical="center"/>
    </xf>
    <xf numFmtId="0" fontId="5" fillId="34" borderId="45" applyNumberFormat="0" applyProtection="0">
      <alignment horizontal="left" vertical="center" indent="1"/>
    </xf>
    <xf numFmtId="0" fontId="5" fillId="60" borderId="46" applyNumberFormat="0" applyProtection="0">
      <alignment horizontal="left" vertical="top" indent="1"/>
    </xf>
    <xf numFmtId="0" fontId="5" fillId="61" borderId="45" applyNumberFormat="0" applyProtection="0">
      <alignment horizontal="left" vertical="center" indent="1"/>
    </xf>
    <xf numFmtId="0" fontId="5" fillId="59" borderId="46" applyNumberFormat="0" applyProtection="0">
      <alignment horizontal="left" vertical="top" indent="1"/>
    </xf>
    <xf numFmtId="0" fontId="5" fillId="44" borderId="45" applyNumberFormat="0" applyProtection="0">
      <alignment horizontal="left" vertical="center" indent="1"/>
    </xf>
    <xf numFmtId="0" fontId="5" fillId="44" borderId="46" applyNumberFormat="0" applyProtection="0">
      <alignment horizontal="left" vertical="top" indent="1"/>
    </xf>
    <xf numFmtId="0" fontId="5" fillId="62" borderId="45" applyNumberFormat="0" applyProtection="0">
      <alignment horizontal="left" vertical="center" indent="1"/>
    </xf>
    <xf numFmtId="4" fontId="5" fillId="0" borderId="45" applyNumberFormat="0" applyProtection="0">
      <alignment horizontal="right" vertical="center"/>
    </xf>
    <xf numFmtId="4" fontId="5" fillId="0" borderId="45" applyNumberFormat="0" applyProtection="0">
      <alignment horizontal="right" vertical="center"/>
    </xf>
    <xf numFmtId="4" fontId="111" fillId="15" borderId="45" applyNumberFormat="0" applyProtection="0">
      <alignment horizontal="right" vertical="center"/>
    </xf>
    <xf numFmtId="4" fontId="112" fillId="63" borderId="45" applyNumberFormat="0" applyProtection="0">
      <alignment horizontal="right" vertical="center"/>
    </xf>
    <xf numFmtId="4" fontId="111" fillId="15" borderId="45" applyNumberFormat="0" applyProtection="0">
      <alignment horizontal="right" vertical="center"/>
    </xf>
    <xf numFmtId="0" fontId="1" fillId="0" borderId="0"/>
    <xf numFmtId="4" fontId="5" fillId="50" borderId="45" applyNumberFormat="0" applyProtection="0">
      <alignment horizontal="left" vertical="center" indent="1"/>
    </xf>
    <xf numFmtId="0" fontId="5" fillId="60" borderId="46" applyNumberFormat="0" applyProtection="0">
      <alignment horizontal="left" vertical="top" indent="1"/>
    </xf>
    <xf numFmtId="0" fontId="5" fillId="59" borderId="46" applyNumberFormat="0" applyProtection="0">
      <alignment horizontal="left" vertical="top" indent="1"/>
    </xf>
    <xf numFmtId="0" fontId="5" fillId="44" borderId="46" applyNumberFormat="0" applyProtection="0">
      <alignment horizontal="left" vertical="top" indent="1"/>
    </xf>
    <xf numFmtId="0" fontId="5" fillId="34" borderId="45" applyNumberFormat="0" applyProtection="0">
      <alignment horizontal="left" vertical="center" indent="1"/>
    </xf>
    <xf numFmtId="4" fontId="5" fillId="59" borderId="45" applyNumberFormat="0" applyProtection="0">
      <alignment horizontal="right" vertical="center"/>
    </xf>
    <xf numFmtId="4" fontId="5" fillId="0" borderId="45" applyNumberFormat="0" applyProtection="0">
      <alignment horizontal="right" vertical="center"/>
    </xf>
    <xf numFmtId="4" fontId="111" fillId="15" borderId="45" applyNumberFormat="0" applyProtection="0">
      <alignment horizontal="right" vertical="center"/>
    </xf>
    <xf numFmtId="0" fontId="5" fillId="61" borderId="45" applyNumberFormat="0" applyProtection="0">
      <alignment horizontal="left" vertical="center" indent="1"/>
    </xf>
    <xf numFmtId="0" fontId="5" fillId="44" borderId="45" applyNumberFormat="0" applyProtection="0">
      <alignment horizontal="left" vertical="center" indent="1"/>
    </xf>
    <xf numFmtId="0" fontId="5" fillId="62" borderId="45" applyNumberFormat="0" applyProtection="0">
      <alignment horizontal="left" vertical="center" indent="1"/>
    </xf>
    <xf numFmtId="4" fontId="112" fillId="63" borderId="45" applyNumberFormat="0" applyProtection="0">
      <alignment horizontal="right" vertical="center"/>
    </xf>
    <xf numFmtId="4" fontId="5" fillId="50" borderId="45" applyNumberFormat="0" applyProtection="0">
      <alignment horizontal="left" vertical="center" indent="1"/>
    </xf>
    <xf numFmtId="4" fontId="5" fillId="0" borderId="45" applyNumberFormat="0" applyProtection="0">
      <alignment horizontal="right" vertical="center"/>
    </xf>
    <xf numFmtId="0" fontId="5" fillId="34" borderId="45" applyNumberFormat="0" applyProtection="0">
      <alignment horizontal="left" vertical="center" indent="1"/>
    </xf>
    <xf numFmtId="0" fontId="1" fillId="0" borderId="0"/>
    <xf numFmtId="0" fontId="1" fillId="0" borderId="0"/>
    <xf numFmtId="0" fontId="5" fillId="59" borderId="46" applyNumberFormat="0" applyProtection="0">
      <alignment horizontal="left" vertical="top" indent="1"/>
    </xf>
    <xf numFmtId="43" fontId="1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 fontId="112" fillId="63" borderId="45" applyNumberFormat="0" applyProtection="0">
      <alignment horizontal="right" vertical="center"/>
    </xf>
    <xf numFmtId="0" fontId="5" fillId="62" borderId="45" applyNumberFormat="0" applyProtection="0">
      <alignment horizontal="left" vertical="center" indent="1"/>
    </xf>
    <xf numFmtId="0" fontId="5" fillId="44" borderId="45" applyNumberFormat="0" applyProtection="0">
      <alignment horizontal="left" vertical="center" indent="1"/>
    </xf>
    <xf numFmtId="0" fontId="5" fillId="61" borderId="45" applyNumberFormat="0" applyProtection="0">
      <alignment horizontal="left" vertical="center" indent="1"/>
    </xf>
    <xf numFmtId="0" fontId="94" fillId="0" borderId="0"/>
    <xf numFmtId="0" fontId="11" fillId="0" borderId="0"/>
    <xf numFmtId="4" fontId="5" fillId="59" borderId="45" applyNumberFormat="0" applyProtection="0">
      <alignment horizontal="right" vertical="center"/>
    </xf>
    <xf numFmtId="0" fontId="94" fillId="58" borderId="43" applyNumberFormat="0" applyFont="0" applyAlignment="0" applyProtection="0"/>
    <xf numFmtId="0" fontId="5" fillId="44" borderId="46" applyNumberFormat="0" applyProtection="0">
      <alignment horizontal="left" vertical="top" indent="1"/>
    </xf>
    <xf numFmtId="9" fontId="1" fillId="0" borderId="0" applyFont="0" applyFill="0" applyBorder="0" applyAlignment="0" applyProtection="0"/>
    <xf numFmtId="0" fontId="5" fillId="60" borderId="46" applyNumberFormat="0" applyProtection="0">
      <alignment horizontal="left" vertical="top" indent="1"/>
    </xf>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94" fillId="0" borderId="0"/>
    <xf numFmtId="0" fontId="11" fillId="0" borderId="0"/>
    <xf numFmtId="0" fontId="94" fillId="58" borderId="43" applyNumberFormat="0" applyFont="0" applyAlignment="0" applyProtection="0"/>
    <xf numFmtId="9" fontId="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205" fontId="1" fillId="0" borderId="0" applyFont="0" applyFill="0" applyBorder="0" applyAlignment="0" applyProtection="0"/>
    <xf numFmtId="4" fontId="5" fillId="59" borderId="72" applyNumberFormat="0" applyProtection="0">
      <alignment horizontal="right" vertical="center"/>
    </xf>
    <xf numFmtId="168" fontId="1" fillId="0" borderId="0" applyFont="0" applyFill="0" applyBorder="0" applyAlignment="0" applyProtection="0"/>
    <xf numFmtId="168" fontId="11" fillId="0" borderId="0" applyFont="0" applyFill="0" applyBorder="0" applyAlignment="0" applyProtection="0"/>
    <xf numFmtId="203" fontId="1" fillId="0" borderId="0" applyFont="0" applyFill="0" applyBorder="0" applyAlignment="0" applyProtection="0"/>
    <xf numFmtId="43" fontId="94"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 fillId="0" borderId="0" applyFont="0" applyFill="0" applyBorder="0" applyAlignment="0" applyProtection="0"/>
    <xf numFmtId="168" fontId="11" fillId="0" borderId="0" applyFont="0" applyFill="0" applyBorder="0" applyAlignment="0" applyProtection="0"/>
    <xf numFmtId="0" fontId="1" fillId="0" borderId="0"/>
    <xf numFmtId="0" fontId="11" fillId="0" borderId="0"/>
    <xf numFmtId="0" fontId="11" fillId="0" borderId="0"/>
    <xf numFmtId="0" fontId="1" fillId="0" borderId="0"/>
    <xf numFmtId="4" fontId="38" fillId="3" borderId="52" applyNumberFormat="0" applyProtection="0">
      <alignment horizontal="left" vertical="center" indent="1"/>
    </xf>
    <xf numFmtId="0" fontId="1" fillId="33" borderId="59" applyNumberFormat="0" applyProtection="0">
      <alignment horizontal="left" vertical="center" indent="1"/>
    </xf>
    <xf numFmtId="4" fontId="68" fillId="30" borderId="52" applyNumberFormat="0" applyProtection="0">
      <alignment horizontal="right" vertical="center"/>
    </xf>
    <xf numFmtId="0" fontId="1" fillId="19" borderId="52" applyNumberFormat="0" applyProtection="0">
      <alignment horizontal="left" vertical="center" indent="1"/>
    </xf>
    <xf numFmtId="0" fontId="1" fillId="19" borderId="52" applyNumberFormat="0" applyProtection="0">
      <alignment horizontal="left" vertical="center" indent="1"/>
    </xf>
    <xf numFmtId="4" fontId="64" fillId="30" borderId="52" applyNumberFormat="0" applyProtection="0">
      <alignment horizontal="right" vertical="center"/>
    </xf>
    <xf numFmtId="4" fontId="38" fillId="30" borderId="52" applyNumberFormat="0" applyProtection="0">
      <alignment horizontal="right" vertical="center"/>
    </xf>
    <xf numFmtId="4" fontId="38" fillId="3" borderId="52" applyNumberFormat="0" applyProtection="0">
      <alignment horizontal="left" vertical="center" indent="1"/>
    </xf>
    <xf numFmtId="4" fontId="64" fillId="3" borderId="52" applyNumberFormat="0" applyProtection="0">
      <alignment vertical="center"/>
    </xf>
    <xf numFmtId="4" fontId="38" fillId="3" borderId="52" applyNumberFormat="0" applyProtection="0">
      <alignment vertical="center"/>
    </xf>
    <xf numFmtId="0" fontId="1" fillId="19" borderId="52" applyNumberFormat="0" applyProtection="0">
      <alignment horizontal="left" vertical="center" indent="1"/>
    </xf>
    <xf numFmtId="0" fontId="1" fillId="19" borderId="52" applyNumberFormat="0" applyProtection="0">
      <alignment horizontal="left" vertical="center" indent="1"/>
    </xf>
    <xf numFmtId="0" fontId="1" fillId="2" borderId="52" applyNumberFormat="0" applyProtection="0">
      <alignment horizontal="left" vertical="center" indent="1"/>
    </xf>
    <xf numFmtId="0" fontId="1" fillId="2" borderId="52" applyNumberFormat="0" applyProtection="0">
      <alignment horizontal="left" vertical="center" indent="1"/>
    </xf>
    <xf numFmtId="0" fontId="1" fillId="33" borderId="52" applyNumberFormat="0" applyProtection="0">
      <alignment horizontal="left" vertical="center" indent="1"/>
    </xf>
    <xf numFmtId="0" fontId="1" fillId="33" borderId="52" applyNumberFormat="0" applyProtection="0">
      <alignment horizontal="left" vertical="center" indent="1"/>
    </xf>
    <xf numFmtId="0" fontId="1" fillId="32" borderId="52" applyNumberFormat="0" applyProtection="0">
      <alignment horizontal="left" vertical="center" indent="1"/>
    </xf>
    <xf numFmtId="0" fontId="1" fillId="32" borderId="52" applyNumberFormat="0" applyProtection="0">
      <alignment horizontal="left" vertical="center" indent="1"/>
    </xf>
    <xf numFmtId="4" fontId="38" fillId="32" borderId="52" applyNumberFormat="0" applyProtection="0">
      <alignment horizontal="left" vertical="center" indent="1"/>
    </xf>
    <xf numFmtId="4" fontId="38" fillId="30" borderId="52" applyNumberFormat="0" applyProtection="0">
      <alignment horizontal="left" vertical="center" indent="1"/>
    </xf>
    <xf numFmtId="0" fontId="1" fillId="19" borderId="52" applyNumberFormat="0" applyProtection="0">
      <alignment horizontal="left" vertical="center" indent="1"/>
    </xf>
    <xf numFmtId="4" fontId="38" fillId="30" borderId="54" applyNumberFormat="0" applyProtection="0">
      <alignment horizontal="left" vertical="center" indent="1"/>
    </xf>
    <xf numFmtId="4" fontId="65" fillId="29" borderId="52" applyNumberFormat="0" applyProtection="0">
      <alignment horizontal="left" vertical="center" indent="1"/>
    </xf>
    <xf numFmtId="4" fontId="38" fillId="23" borderId="52" applyNumberFormat="0" applyProtection="0">
      <alignment horizontal="right" vertical="center"/>
    </xf>
    <xf numFmtId="0" fontId="1" fillId="19" borderId="52" applyNumberFormat="0" applyProtection="0">
      <alignment horizontal="left" vertical="center" indent="1"/>
    </xf>
    <xf numFmtId="4" fontId="38" fillId="18" borderId="52" applyNumberFormat="0" applyProtection="0">
      <alignment horizontal="left" vertical="center" indent="1"/>
    </xf>
    <xf numFmtId="4" fontId="38" fillId="18" borderId="52" applyNumberFormat="0" applyProtection="0">
      <alignment horizontal="left" vertical="center" indent="1"/>
    </xf>
    <xf numFmtId="4" fontId="64" fillId="18" borderId="52" applyNumberFormat="0" applyProtection="0">
      <alignment vertical="center"/>
    </xf>
    <xf numFmtId="4" fontId="38" fillId="18" borderId="52" applyNumberFormat="0" applyProtection="0">
      <alignment vertical="center"/>
    </xf>
    <xf numFmtId="0" fontId="109" fillId="0" borderId="53" applyNumberFormat="0" applyFill="0" applyAlignment="0" applyProtection="0"/>
    <xf numFmtId="0" fontId="107" fillId="34" borderId="52" applyNumberFormat="0" applyAlignment="0" applyProtection="0"/>
    <xf numFmtId="4" fontId="38" fillId="28" borderId="52" applyNumberFormat="0" applyProtection="0">
      <alignment horizontal="right" vertical="center"/>
    </xf>
    <xf numFmtId="0" fontId="97" fillId="34" borderId="50" applyNumberFormat="0" applyAlignment="0" applyProtection="0"/>
    <xf numFmtId="0" fontId="1" fillId="32" borderId="59" applyNumberFormat="0" applyProtection="0">
      <alignment horizontal="left" vertical="center" indent="1"/>
    </xf>
    <xf numFmtId="4" fontId="38" fillId="24" borderId="52" applyNumberFormat="0" applyProtection="0">
      <alignment horizontal="right" vertical="center"/>
    </xf>
    <xf numFmtId="0" fontId="104" fillId="43" borderId="50" applyNumberFormat="0" applyAlignment="0" applyProtection="0"/>
    <xf numFmtId="4" fontId="38" fillId="26" borderId="59" applyNumberFormat="0" applyProtection="0">
      <alignment horizontal="right" vertical="center"/>
    </xf>
    <xf numFmtId="4" fontId="38" fillId="26" borderId="52" applyNumberFormat="0" applyProtection="0">
      <alignment horizontal="right" vertical="center"/>
    </xf>
    <xf numFmtId="0" fontId="1" fillId="58" borderId="51" applyNumberFormat="0" applyFont="0" applyAlignment="0" applyProtection="0"/>
    <xf numFmtId="4" fontId="38" fillId="27" borderId="52" applyNumberFormat="0" applyProtection="0">
      <alignment horizontal="right" vertical="center"/>
    </xf>
    <xf numFmtId="4" fontId="38" fillId="25" borderId="52" applyNumberFormat="0" applyProtection="0">
      <alignment horizontal="right" vertical="center"/>
    </xf>
    <xf numFmtId="4" fontId="38" fillId="22" borderId="52" applyNumberFormat="0" applyProtection="0">
      <alignment horizontal="right" vertical="center"/>
    </xf>
    <xf numFmtId="0" fontId="1" fillId="19" borderId="59" applyNumberFormat="0" applyProtection="0">
      <alignment horizontal="left" vertical="center" indent="1"/>
    </xf>
    <xf numFmtId="0" fontId="1" fillId="58" borderId="58" applyNumberFormat="0" applyFont="0" applyAlignment="0" applyProtection="0"/>
    <xf numFmtId="164" fontId="55" fillId="0" borderId="48">
      <alignment horizontal="left" vertical="top"/>
    </xf>
    <xf numFmtId="0" fontId="1" fillId="19" borderId="59" applyNumberFormat="0" applyProtection="0">
      <alignment horizontal="left" vertical="center" indent="1"/>
    </xf>
    <xf numFmtId="4" fontId="38" fillId="32" borderId="59" applyNumberFormat="0" applyProtection="0">
      <alignment horizontal="left" vertical="center" indent="1"/>
    </xf>
    <xf numFmtId="0" fontId="1" fillId="32" borderId="59" applyNumberFormat="0" applyProtection="0">
      <alignment horizontal="left" vertical="center" indent="1"/>
    </xf>
    <xf numFmtId="0" fontId="1" fillId="2" borderId="59" applyNumberFormat="0" applyProtection="0">
      <alignment horizontal="left" vertical="center" indent="1"/>
    </xf>
    <xf numFmtId="4" fontId="38" fillId="3" borderId="59" applyNumberFormat="0" applyProtection="0">
      <alignment horizontal="left" vertical="center" indent="1"/>
    </xf>
    <xf numFmtId="0" fontId="107" fillId="34" borderId="59" applyNumberFormat="0" applyAlignment="0" applyProtection="0"/>
    <xf numFmtId="0" fontId="109" fillId="0" borderId="60" applyNumberFormat="0" applyFill="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168" fontId="19" fillId="0" borderId="0" applyFont="0" applyFill="0" applyBorder="0" applyAlignment="0" applyProtection="0"/>
    <xf numFmtId="0" fontId="1" fillId="0" borderId="0"/>
    <xf numFmtId="0" fontId="1" fillId="0" borderId="0"/>
    <xf numFmtId="168" fontId="18" fillId="0" borderId="0" applyFont="0" applyFill="0" applyBorder="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56" applyNumberFormat="0" applyProtection="0">
      <alignment horizontal="left" vertical="top" indent="1"/>
    </xf>
    <xf numFmtId="0" fontId="5" fillId="59" borderId="56" applyNumberFormat="0" applyProtection="0">
      <alignment horizontal="left" vertical="top" indent="1"/>
    </xf>
    <xf numFmtId="0" fontId="5" fillId="60" borderId="56"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59" applyNumberFormat="0" applyProtection="0">
      <alignment horizontal="right" vertical="center"/>
    </xf>
    <xf numFmtId="165" fontId="79" fillId="36" borderId="48"/>
    <xf numFmtId="164" fontId="36" fillId="0" borderId="47" applyAlignment="0" applyProtection="0"/>
    <xf numFmtId="164" fontId="77" fillId="30" borderId="48">
      <alignment vertical="top"/>
    </xf>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1" fillId="0" borderId="0" applyFont="0" applyFill="0" applyBorder="0" applyAlignment="0" applyProtection="0"/>
    <xf numFmtId="190" fontId="50" fillId="0" borderId="47"/>
    <xf numFmtId="0" fontId="2" fillId="0" borderId="3">
      <alignment horizontal="left" vertical="center"/>
    </xf>
    <xf numFmtId="0" fontId="1" fillId="33" borderId="59" applyNumberFormat="0" applyProtection="0">
      <alignment horizontal="left" vertical="center" indent="1"/>
    </xf>
    <xf numFmtId="0" fontId="1" fillId="2" borderId="59" applyNumberFormat="0" applyProtection="0">
      <alignment horizontal="left" vertical="center" indent="1"/>
    </xf>
    <xf numFmtId="0" fontId="1" fillId="19" borderId="59" applyNumberFormat="0" applyProtection="0">
      <alignment horizontal="left" vertical="center" indent="1"/>
    </xf>
    <xf numFmtId="0" fontId="1" fillId="19" borderId="59" applyNumberFormat="0" applyProtection="0">
      <alignment horizontal="left" vertical="center" indent="1"/>
    </xf>
    <xf numFmtId="4" fontId="38" fillId="3" borderId="59" applyNumberFormat="0" applyProtection="0">
      <alignment vertical="center"/>
    </xf>
    <xf numFmtId="4" fontId="64" fillId="3" borderId="59" applyNumberFormat="0" applyProtection="0">
      <alignment vertical="center"/>
    </xf>
    <xf numFmtId="4" fontId="38" fillId="3" borderId="59" applyNumberFormat="0" applyProtection="0">
      <alignment horizontal="left" vertical="center" indent="1"/>
    </xf>
    <xf numFmtId="4" fontId="38" fillId="30" borderId="59" applyNumberFormat="0" applyProtection="0">
      <alignment horizontal="right" vertical="center"/>
    </xf>
    <xf numFmtId="4" fontId="64" fillId="30" borderId="59" applyNumberFormat="0" applyProtection="0">
      <alignment horizontal="right" vertical="center"/>
    </xf>
    <xf numFmtId="0" fontId="1" fillId="19" borderId="59" applyNumberFormat="0" applyProtection="0">
      <alignment horizontal="left" vertical="center" indent="1"/>
    </xf>
    <xf numFmtId="4" fontId="68" fillId="30" borderId="59" applyNumberFormat="0" applyProtection="0">
      <alignment horizontal="right" vertical="center"/>
    </xf>
    <xf numFmtId="0" fontId="1" fillId="0" borderId="0"/>
    <xf numFmtId="0" fontId="43" fillId="0" borderId="0"/>
    <xf numFmtId="0" fontId="1" fillId="0" borderId="0"/>
    <xf numFmtId="9" fontId="19" fillId="0" borderId="0" applyFont="0" applyFill="0" applyBorder="0" applyAlignment="0" applyProtection="0"/>
    <xf numFmtId="4" fontId="38" fillId="18" borderId="59" applyNumberFormat="0" applyProtection="0">
      <alignment horizontal="left" vertical="center" indent="1"/>
    </xf>
    <xf numFmtId="0" fontId="1" fillId="19" borderId="59" applyNumberFormat="0" applyProtection="0">
      <alignment horizontal="left" vertical="center" indent="1"/>
    </xf>
    <xf numFmtId="4" fontId="38" fillId="20" borderId="59" applyNumberFormat="0" applyProtection="0">
      <alignment horizontal="right" vertical="center"/>
    </xf>
    <xf numFmtId="4" fontId="38" fillId="21" borderId="59" applyNumberFormat="0" applyProtection="0">
      <alignment horizontal="right" vertical="center"/>
    </xf>
    <xf numFmtId="4" fontId="38" fillId="22" borderId="59" applyNumberFormat="0" applyProtection="0">
      <alignment horizontal="right" vertical="center"/>
    </xf>
    <xf numFmtId="0" fontId="2" fillId="0" borderId="57">
      <alignment horizontal="left" vertical="center"/>
    </xf>
    <xf numFmtId="4" fontId="38" fillId="23" borderId="59" applyNumberFormat="0" applyProtection="0">
      <alignment horizontal="right" vertical="center"/>
    </xf>
    <xf numFmtId="4" fontId="38" fillId="30" borderId="59" applyNumberFormat="0" applyProtection="0">
      <alignment horizontal="left" vertical="center" indent="1"/>
    </xf>
    <xf numFmtId="4" fontId="38" fillId="18" borderId="59" applyNumberFormat="0" applyProtection="0">
      <alignment vertical="center"/>
    </xf>
    <xf numFmtId="4" fontId="64" fillId="18" borderId="59" applyNumberFormat="0" applyProtection="0">
      <alignment vertical="center"/>
    </xf>
    <xf numFmtId="4" fontId="38" fillId="18" borderId="59" applyNumberFormat="0" applyProtection="0">
      <alignment horizontal="left" vertical="center" indent="1"/>
    </xf>
    <xf numFmtId="4" fontId="5" fillId="0" borderId="45" applyNumberFormat="0" applyProtection="0">
      <alignment horizontal="right" vertical="center"/>
    </xf>
    <xf numFmtId="4" fontId="111" fillId="15" borderId="45" applyNumberFormat="0" applyProtection="0">
      <alignment horizontal="right" vertical="center"/>
    </xf>
    <xf numFmtId="4" fontId="5" fillId="50" borderId="45" applyNumberFormat="0" applyProtection="0">
      <alignment horizontal="left" vertical="center" indent="1"/>
    </xf>
    <xf numFmtId="0" fontId="5" fillId="60" borderId="46" applyNumberFormat="0" applyProtection="0">
      <alignment horizontal="left" vertical="top" indent="1"/>
    </xf>
    <xf numFmtId="0" fontId="5" fillId="59" borderId="46" applyNumberFormat="0" applyProtection="0">
      <alignment horizontal="left" vertical="top" indent="1"/>
    </xf>
    <xf numFmtId="0" fontId="5" fillId="44" borderId="46" applyNumberFormat="0" applyProtection="0">
      <alignment horizontal="left" vertical="top" indent="1"/>
    </xf>
    <xf numFmtId="0" fontId="5" fillId="34" borderId="45" applyNumberFormat="0" applyProtection="0">
      <alignment horizontal="left" vertical="center" indent="1"/>
    </xf>
    <xf numFmtId="4" fontId="5" fillId="59" borderId="45" applyNumberFormat="0" applyProtection="0">
      <alignment horizontal="right" vertical="center"/>
    </xf>
    <xf numFmtId="4" fontId="5" fillId="0" borderId="45" applyNumberFormat="0" applyProtection="0">
      <alignment horizontal="right" vertical="center"/>
    </xf>
    <xf numFmtId="4" fontId="111" fillId="15" borderId="45" applyNumberFormat="0" applyProtection="0">
      <alignment horizontal="right" vertical="center"/>
    </xf>
    <xf numFmtId="0" fontId="5" fillId="61" borderId="45" applyNumberFormat="0" applyProtection="0">
      <alignment horizontal="left" vertical="center" indent="1"/>
    </xf>
    <xf numFmtId="0" fontId="5" fillId="44" borderId="45" applyNumberFormat="0" applyProtection="0">
      <alignment horizontal="left" vertical="center" indent="1"/>
    </xf>
    <xf numFmtId="0" fontId="5" fillId="62" borderId="45" applyNumberFormat="0" applyProtection="0">
      <alignment horizontal="left" vertical="center" indent="1"/>
    </xf>
    <xf numFmtId="4" fontId="112" fillId="63" borderId="45" applyNumberFormat="0" applyProtection="0">
      <alignment horizontal="right" vertical="center"/>
    </xf>
    <xf numFmtId="4" fontId="5" fillId="50" borderId="45" applyNumberFormat="0" applyProtection="0">
      <alignment horizontal="left" vertical="center" indent="1"/>
    </xf>
    <xf numFmtId="4" fontId="5" fillId="0" borderId="45" applyNumberFormat="0" applyProtection="0">
      <alignment horizontal="right" vertical="center"/>
    </xf>
    <xf numFmtId="0" fontId="5" fillId="34" borderId="45" applyNumberFormat="0" applyProtection="0">
      <alignment horizontal="left" vertical="center" indent="1"/>
    </xf>
    <xf numFmtId="0" fontId="5" fillId="59" borderId="46" applyNumberFormat="0" applyProtection="0">
      <alignment horizontal="left" vertical="top" indent="1"/>
    </xf>
    <xf numFmtId="4" fontId="38" fillId="21" borderId="52" applyNumberFormat="0" applyProtection="0">
      <alignment horizontal="right" vertical="center"/>
    </xf>
    <xf numFmtId="4" fontId="112" fillId="63" borderId="45" applyNumberFormat="0" applyProtection="0">
      <alignment horizontal="right" vertical="center"/>
    </xf>
    <xf numFmtId="0" fontId="5" fillId="62" borderId="45" applyNumberFormat="0" applyProtection="0">
      <alignment horizontal="left" vertical="center" indent="1"/>
    </xf>
    <xf numFmtId="0" fontId="5" fillId="44" borderId="45" applyNumberFormat="0" applyProtection="0">
      <alignment horizontal="left" vertical="center" indent="1"/>
    </xf>
    <xf numFmtId="0" fontId="5" fillId="61" borderId="45" applyNumberFormat="0" applyProtection="0">
      <alignment horizontal="left" vertical="center" indent="1"/>
    </xf>
    <xf numFmtId="4" fontId="5" fillId="59" borderId="45" applyNumberFormat="0" applyProtection="0">
      <alignment horizontal="right" vertical="center"/>
    </xf>
    <xf numFmtId="0" fontId="5" fillId="44" borderId="46" applyNumberFormat="0" applyProtection="0">
      <alignment horizontal="left" vertical="top" indent="1"/>
    </xf>
    <xf numFmtId="0" fontId="5" fillId="60" borderId="46" applyNumberFormat="0" applyProtection="0">
      <alignment horizontal="left" vertical="top" indent="1"/>
    </xf>
    <xf numFmtId="4" fontId="38" fillId="20" borderId="52" applyNumberFormat="0" applyProtection="0">
      <alignment horizontal="right" vertical="center"/>
    </xf>
    <xf numFmtId="0" fontId="2" fillId="0" borderId="49">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56" applyNumberFormat="0" applyProtection="0">
      <alignment horizontal="left" vertical="top" indent="1"/>
    </xf>
    <xf numFmtId="4" fontId="38" fillId="30" borderId="54"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1" applyNumberFormat="0" applyFont="0" applyAlignment="0" applyProtection="0"/>
    <xf numFmtId="0" fontId="5" fillId="44" borderId="56" applyNumberFormat="0" applyProtection="0">
      <alignment horizontal="left" vertical="top" indent="1"/>
    </xf>
    <xf numFmtId="0" fontId="5" fillId="60" borderId="56" applyNumberFormat="0" applyProtection="0">
      <alignment horizontal="left" vertical="top" indent="1"/>
    </xf>
    <xf numFmtId="4" fontId="38" fillId="28" borderId="59" applyNumberFormat="0" applyProtection="0">
      <alignment horizontal="right" vertical="center"/>
    </xf>
    <xf numFmtId="0" fontId="94" fillId="58" borderId="51" applyNumberFormat="0" applyFont="0" applyAlignment="0" applyProtection="0"/>
    <xf numFmtId="4" fontId="38" fillId="27" borderId="59" applyNumberFormat="0" applyProtection="0">
      <alignment horizontal="right" vertical="center"/>
    </xf>
    <xf numFmtId="4" fontId="38" fillId="24" borderId="59" applyNumberFormat="0" applyProtection="0">
      <alignment horizontal="right" vertical="center"/>
    </xf>
    <xf numFmtId="4" fontId="65" fillId="29" borderId="59"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56" applyNumberFormat="0" applyProtection="0">
      <alignment horizontal="left" vertical="top" indent="1"/>
    </xf>
    <xf numFmtId="0" fontId="5" fillId="59" borderId="56" applyNumberFormat="0" applyProtection="0">
      <alignment horizontal="left" vertical="top" indent="1"/>
    </xf>
    <xf numFmtId="0" fontId="5" fillId="44" borderId="56"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56"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56" applyNumberFormat="0" applyProtection="0">
      <alignment horizontal="left" vertical="top" indent="1"/>
    </xf>
    <xf numFmtId="0" fontId="5" fillId="60" borderId="56" applyNumberFormat="0" applyProtection="0">
      <alignment horizontal="left" vertical="top" indent="1"/>
    </xf>
    <xf numFmtId="0" fontId="94" fillId="58" borderId="58" applyNumberFormat="0" applyFont="0" applyAlignment="0" applyProtection="0"/>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9" fontId="43" fillId="0" borderId="0" applyFont="0" applyFill="0" applyBorder="0" applyAlignment="0" applyProtection="0"/>
    <xf numFmtId="168" fontId="1" fillId="0" borderId="0" applyFont="0" applyFill="0" applyBorder="0" applyAlignment="0" applyProtection="0"/>
    <xf numFmtId="4" fontId="38" fillId="30" borderId="98" applyNumberFormat="0" applyProtection="0">
      <alignment horizontal="left" vertical="center" indent="1"/>
    </xf>
    <xf numFmtId="168" fontId="1" fillId="0" borderId="0" applyFont="0" applyFill="0" applyBorder="0" applyAlignment="0" applyProtection="0"/>
    <xf numFmtId="0" fontId="5" fillId="59" borderId="73" applyNumberFormat="0" applyProtection="0">
      <alignment horizontal="left" vertical="top" indent="1"/>
    </xf>
    <xf numFmtId="0" fontId="5" fillId="34" borderId="72" applyNumberFormat="0" applyProtection="0">
      <alignment horizontal="left" vertical="center" indent="1"/>
    </xf>
    <xf numFmtId="4" fontId="5" fillId="0" borderId="72" applyNumberFormat="0" applyProtection="0">
      <alignment horizontal="right" vertical="center"/>
    </xf>
    <xf numFmtId="4" fontId="5" fillId="50" borderId="72" applyNumberFormat="0" applyProtection="0">
      <alignment horizontal="left" vertical="center" indent="1"/>
    </xf>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4" fontId="111" fillId="15" borderId="72" applyNumberFormat="0" applyProtection="0">
      <alignment horizontal="right" vertical="center"/>
    </xf>
    <xf numFmtId="4" fontId="5" fillId="0" borderId="72" applyNumberFormat="0" applyProtection="0">
      <alignment horizontal="right" vertical="center"/>
    </xf>
    <xf numFmtId="0" fontId="18" fillId="0" borderId="0"/>
    <xf numFmtId="4" fontId="111" fillId="15" borderId="72" applyNumberFormat="0" applyProtection="0">
      <alignment horizontal="right" vertical="center"/>
    </xf>
    <xf numFmtId="4" fontId="38" fillId="24" borderId="98" applyNumberFormat="0" applyProtection="0">
      <alignment horizontal="right" vertical="center"/>
    </xf>
    <xf numFmtId="9" fontId="1" fillId="0" borderId="0" applyFont="0" applyFill="0" applyBorder="0" applyAlignment="0" applyProtection="0"/>
    <xf numFmtId="164" fontId="36" fillId="0" borderId="61" applyAlignment="0" applyProtection="0"/>
    <xf numFmtId="9" fontId="1" fillId="0" borderId="0" applyFont="0" applyFill="0" applyBorder="0" applyAlignment="0" applyProtection="0"/>
    <xf numFmtId="166" fontId="1" fillId="0" borderId="0" applyFont="0" applyFill="0" applyBorder="0" applyAlignment="0" applyProtection="0"/>
    <xf numFmtId="0" fontId="107" fillId="34" borderId="68" applyNumberFormat="0" applyAlignment="0" applyProtection="0"/>
    <xf numFmtId="168" fontId="4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 fontId="38" fillId="24" borderId="98" applyNumberFormat="0" applyProtection="0">
      <alignment horizontal="right" vertical="center"/>
    </xf>
    <xf numFmtId="4" fontId="38" fillId="23" borderId="98" applyNumberFormat="0" applyProtection="0">
      <alignment horizontal="right" vertical="center"/>
    </xf>
    <xf numFmtId="0" fontId="11" fillId="0" borderId="0"/>
    <xf numFmtId="0" fontId="11" fillId="0" borderId="0"/>
    <xf numFmtId="0" fontId="1" fillId="32" borderId="98" applyNumberFormat="0" applyProtection="0">
      <alignment horizontal="left" vertical="center" indent="1"/>
    </xf>
    <xf numFmtId="164" fontId="77" fillId="30" borderId="70">
      <alignment vertical="top"/>
    </xf>
    <xf numFmtId="4" fontId="38" fillId="20" borderId="98" applyNumberFormat="0" applyProtection="0">
      <alignment horizontal="right" vertical="center"/>
    </xf>
    <xf numFmtId="165" fontId="79" fillId="36" borderId="70"/>
    <xf numFmtId="164" fontId="55" fillId="0" borderId="70">
      <alignment horizontal="left" vertical="top"/>
    </xf>
    <xf numFmtId="0" fontId="11" fillId="0" borderId="0"/>
    <xf numFmtId="190" fontId="50" fillId="0" borderId="61"/>
    <xf numFmtId="168" fontId="18" fillId="0" borderId="0" applyFont="0" applyFill="0" applyBorder="0" applyAlignment="0" applyProtection="0"/>
    <xf numFmtId="0" fontId="1" fillId="0" borderId="0"/>
    <xf numFmtId="0" fontId="11" fillId="0" borderId="0"/>
    <xf numFmtId="0" fontId="2" fillId="0" borderId="49">
      <alignment horizontal="left" vertical="center"/>
    </xf>
    <xf numFmtId="0" fontId="1" fillId="0" borderId="0"/>
    <xf numFmtId="4" fontId="38" fillId="27" borderId="98" applyNumberFormat="0" applyProtection="0">
      <alignment horizontal="right" vertical="center"/>
    </xf>
    <xf numFmtId="4" fontId="65" fillId="29" borderId="98" applyNumberFormat="0" applyProtection="0">
      <alignment horizontal="left" vertical="center" indent="1"/>
    </xf>
    <xf numFmtId="0" fontId="1" fillId="19" borderId="98" applyNumberFormat="0" applyProtection="0">
      <alignment horizontal="left" vertical="center" indent="1"/>
    </xf>
    <xf numFmtId="4" fontId="38" fillId="30" borderId="98" applyNumberFormat="0" applyProtection="0">
      <alignment horizontal="left" vertical="center" indent="1"/>
    </xf>
    <xf numFmtId="0" fontId="1" fillId="32" borderId="98" applyNumberFormat="0" applyProtection="0">
      <alignment horizontal="left" vertical="center" indent="1"/>
    </xf>
    <xf numFmtId="0" fontId="1" fillId="33" borderId="98" applyNumberFormat="0" applyProtection="0">
      <alignment horizontal="left" vertical="center" indent="1"/>
    </xf>
    <xf numFmtId="0" fontId="1" fillId="33" borderId="98" applyNumberFormat="0" applyProtection="0">
      <alignment horizontal="left" vertical="center" indent="1"/>
    </xf>
    <xf numFmtId="4" fontId="64" fillId="3" borderId="98" applyNumberFormat="0" applyProtection="0">
      <alignment vertical="center"/>
    </xf>
    <xf numFmtId="4" fontId="38" fillId="3" borderId="98" applyNumberFormat="0" applyProtection="0">
      <alignment horizontal="left" vertical="center" indent="1"/>
    </xf>
    <xf numFmtId="4" fontId="38" fillId="3" borderId="98" applyNumberFormat="0" applyProtection="0">
      <alignment horizontal="left" vertical="center" indent="1"/>
    </xf>
    <xf numFmtId="0" fontId="1" fillId="0" borderId="0"/>
    <xf numFmtId="0" fontId="1" fillId="2" borderId="98" applyNumberFormat="0" applyProtection="0">
      <alignment horizontal="left" vertical="center" indent="1"/>
    </xf>
    <xf numFmtId="168" fontId="18" fillId="0" borderId="0" applyFont="0" applyFill="0" applyBorder="0" applyAlignment="0" applyProtection="0"/>
    <xf numFmtId="0" fontId="43" fillId="0" borderId="0"/>
    <xf numFmtId="0" fontId="1" fillId="19" borderId="98" applyNumberFormat="0" applyProtection="0">
      <alignment horizontal="left" vertical="center" indent="1"/>
    </xf>
    <xf numFmtId="0" fontId="1" fillId="0" borderId="0"/>
    <xf numFmtId="4" fontId="38" fillId="32" borderId="98" applyNumberFormat="0" applyProtection="0">
      <alignment horizontal="left" vertical="center" indent="1"/>
    </xf>
    <xf numFmtId="0" fontId="11" fillId="0" borderId="0"/>
    <xf numFmtId="0" fontId="11" fillId="0" borderId="0"/>
    <xf numFmtId="164" fontId="36" fillId="0" borderId="86" applyAlignment="0" applyProtection="0"/>
    <xf numFmtId="9" fontId="19" fillId="0" borderId="0" applyFont="0" applyFill="0" applyBorder="0" applyAlignment="0" applyProtection="0"/>
    <xf numFmtId="164" fontId="77" fillId="30" borderId="100">
      <alignment vertical="top"/>
    </xf>
    <xf numFmtId="9" fontId="43" fillId="0" borderId="0" applyFont="0" applyFill="0" applyBorder="0" applyAlignment="0" applyProtection="0"/>
    <xf numFmtId="9" fontId="43" fillId="0" borderId="0" applyFont="0" applyFill="0" applyBorder="0" applyAlignment="0" applyProtection="0"/>
    <xf numFmtId="4" fontId="38" fillId="30" borderId="63" applyNumberFormat="0" applyProtection="0">
      <alignment horizontal="left" vertical="center" indent="1"/>
    </xf>
    <xf numFmtId="4" fontId="65" fillId="29" borderId="68" applyNumberFormat="0" applyProtection="0">
      <alignment horizontal="left" vertical="center" indent="1"/>
    </xf>
    <xf numFmtId="4" fontId="38" fillId="28" borderId="68" applyNumberFormat="0" applyProtection="0">
      <alignment horizontal="right" vertical="center"/>
    </xf>
    <xf numFmtId="4" fontId="38" fillId="27" borderId="68" applyNumberFormat="0" applyProtection="0">
      <alignment horizontal="right" vertical="center"/>
    </xf>
    <xf numFmtId="4" fontId="38" fillId="26" borderId="68" applyNumberFormat="0" applyProtection="0">
      <alignment horizontal="right" vertical="center"/>
    </xf>
    <xf numFmtId="4" fontId="38" fillId="25" borderId="68" applyNumberFormat="0" applyProtection="0">
      <alignment horizontal="right" vertical="center"/>
    </xf>
    <xf numFmtId="4" fontId="38" fillId="24" borderId="68" applyNumberFormat="0" applyProtection="0">
      <alignment horizontal="right" vertical="center"/>
    </xf>
    <xf numFmtId="4" fontId="38" fillId="23" borderId="68" applyNumberFormat="0" applyProtection="0">
      <alignment horizontal="right" vertical="center"/>
    </xf>
    <xf numFmtId="4" fontId="38" fillId="22" borderId="68" applyNumberFormat="0" applyProtection="0">
      <alignment horizontal="right" vertical="center"/>
    </xf>
    <xf numFmtId="4" fontId="38" fillId="21" borderId="68" applyNumberFormat="0" applyProtection="0">
      <alignment horizontal="right" vertical="center"/>
    </xf>
    <xf numFmtId="4" fontId="38" fillId="20" borderId="68" applyNumberFormat="0" applyProtection="0">
      <alignment horizontal="right" vertical="center"/>
    </xf>
    <xf numFmtId="0" fontId="1" fillId="19" borderId="68" applyNumberFormat="0" applyProtection="0">
      <alignment horizontal="left" vertical="center" indent="1"/>
    </xf>
    <xf numFmtId="4" fontId="38" fillId="18" borderId="68" applyNumberFormat="0" applyProtection="0">
      <alignment horizontal="left" vertical="center" indent="1"/>
    </xf>
    <xf numFmtId="4" fontId="38" fillId="18" borderId="68" applyNumberFormat="0" applyProtection="0">
      <alignment horizontal="left" vertical="center" indent="1"/>
    </xf>
    <xf numFmtId="4" fontId="64" fillId="18" borderId="68" applyNumberFormat="0" applyProtection="0">
      <alignment vertical="center"/>
    </xf>
    <xf numFmtId="164" fontId="55" fillId="0" borderId="100">
      <alignment horizontal="left" vertical="top"/>
    </xf>
    <xf numFmtId="168" fontId="1" fillId="0" borderId="0" applyFont="0" applyFill="0" applyBorder="0" applyAlignment="0" applyProtection="0"/>
    <xf numFmtId="9"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 fontId="38" fillId="28" borderId="52" applyNumberFormat="0" applyProtection="0">
      <alignment horizontal="right" vertical="center"/>
    </xf>
    <xf numFmtId="0" fontId="43" fillId="0" borderId="0"/>
    <xf numFmtId="0" fontId="1" fillId="0" borderId="0"/>
    <xf numFmtId="0" fontId="104" fillId="43" borderId="102" applyNumberFormat="0" applyAlignment="0" applyProtection="0"/>
    <xf numFmtId="43" fontId="1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5" fontId="79" fillId="36" borderId="100"/>
    <xf numFmtId="164" fontId="77" fillId="30" borderId="100">
      <alignment vertical="top"/>
    </xf>
    <xf numFmtId="0" fontId="11" fillId="0" borderId="0"/>
    <xf numFmtId="0" fontId="11" fillId="0" borderId="0"/>
    <xf numFmtId="164" fontId="36" fillId="0" borderId="71" applyAlignment="0" applyProtection="0"/>
    <xf numFmtId="0" fontId="1" fillId="0" borderId="0"/>
    <xf numFmtId="0" fontId="11" fillId="0" borderId="0"/>
    <xf numFmtId="0" fontId="11" fillId="0" borderId="0"/>
    <xf numFmtId="0" fontId="11" fillId="0" borderId="0"/>
    <xf numFmtId="0" fontId="11" fillId="0" borderId="0"/>
    <xf numFmtId="4" fontId="38" fillId="25" borderId="98" applyNumberFormat="0" applyProtection="0">
      <alignment horizontal="right" vertical="center"/>
    </xf>
    <xf numFmtId="4" fontId="38" fillId="24" borderId="98" applyNumberFormat="0" applyProtection="0">
      <alignment horizontal="right" vertical="center"/>
    </xf>
    <xf numFmtId="4" fontId="38" fillId="23" borderId="98" applyNumberFormat="0" applyProtection="0">
      <alignment horizontal="right" vertical="center"/>
    </xf>
    <xf numFmtId="0" fontId="11" fillId="0" borderId="0"/>
    <xf numFmtId="4" fontId="38" fillId="22" borderId="98" applyNumberFormat="0" applyProtection="0">
      <alignment horizontal="right" vertical="center"/>
    </xf>
    <xf numFmtId="4" fontId="38" fillId="21" borderId="98" applyNumberFormat="0" applyProtection="0">
      <alignment horizontal="right" vertical="center"/>
    </xf>
    <xf numFmtId="4" fontId="38" fillId="20" borderId="98" applyNumberFormat="0" applyProtection="0">
      <alignment horizontal="right" vertical="center"/>
    </xf>
    <xf numFmtId="0" fontId="1" fillId="19" borderId="98" applyNumberFormat="0" applyProtection="0">
      <alignment horizontal="left" vertical="center" indent="1"/>
    </xf>
    <xf numFmtId="4" fontId="38" fillId="18" borderId="98" applyNumberFormat="0" applyProtection="0">
      <alignment horizontal="left" vertical="center" indent="1"/>
    </xf>
    <xf numFmtId="4" fontId="64" fillId="18" borderId="98" applyNumberFormat="0" applyProtection="0">
      <alignment vertical="center"/>
    </xf>
    <xf numFmtId="4" fontId="38" fillId="18" borderId="98" applyNumberFormat="0" applyProtection="0">
      <alignment vertical="center"/>
    </xf>
    <xf numFmtId="0" fontId="1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8" fillId="0" borderId="0" applyFont="0" applyFill="0" applyBorder="0" applyAlignment="0" applyProtection="0"/>
    <xf numFmtId="0" fontId="1" fillId="0" borderId="0"/>
    <xf numFmtId="4" fontId="64" fillId="18" borderId="98" applyNumberFormat="0" applyProtection="0">
      <alignment vertical="center"/>
    </xf>
    <xf numFmtId="0" fontId="11" fillId="0" borderId="0"/>
    <xf numFmtId="9" fontId="19" fillId="0" borderId="0" applyFont="0" applyFill="0" applyBorder="0" applyAlignment="0" applyProtection="0"/>
    <xf numFmtId="4" fontId="38" fillId="28" borderId="98" applyNumberFormat="0" applyProtection="0">
      <alignment horizontal="right" vertical="center"/>
    </xf>
    <xf numFmtId="4" fontId="38" fillId="30" borderId="98" applyNumberFormat="0" applyProtection="0">
      <alignment horizontal="right" vertical="center"/>
    </xf>
    <xf numFmtId="0" fontId="43" fillId="0" borderId="0"/>
    <xf numFmtId="168" fontId="19" fillId="0" borderId="0" applyFont="0" applyFill="0" applyBorder="0" applyAlignment="0" applyProtection="0"/>
    <xf numFmtId="0" fontId="18" fillId="0" borderId="0"/>
    <xf numFmtId="0" fontId="1" fillId="0" borderId="0"/>
    <xf numFmtId="168" fontId="18" fillId="0" borderId="0" applyFont="0" applyFill="0" applyBorder="0" applyAlignment="0" applyProtection="0"/>
    <xf numFmtId="168" fontId="18" fillId="0" borderId="0" applyFont="0" applyFill="0" applyBorder="0" applyAlignment="0" applyProtection="0"/>
    <xf numFmtId="168" fontId="43" fillId="0" borderId="0" applyFont="0" applyFill="0" applyBorder="0" applyAlignment="0" applyProtection="0"/>
    <xf numFmtId="168" fontId="18" fillId="0" borderId="0" applyFont="0" applyFill="0" applyBorder="0" applyAlignment="0" applyProtection="0"/>
    <xf numFmtId="0" fontId="1" fillId="0" borderId="0"/>
    <xf numFmtId="4" fontId="5" fillId="59" borderId="72" applyNumberFormat="0" applyProtection="0">
      <alignment horizontal="right" vertical="center"/>
    </xf>
    <xf numFmtId="0" fontId="5" fillId="34" borderId="72" applyNumberFormat="0" applyProtection="0">
      <alignment horizontal="left" vertical="center" indent="1"/>
    </xf>
    <xf numFmtId="0" fontId="5" fillId="44" borderId="73" applyNumberFormat="0" applyProtection="0">
      <alignment horizontal="left" vertical="top" indent="1"/>
    </xf>
    <xf numFmtId="0" fontId="5" fillId="59" borderId="73" applyNumberFormat="0" applyProtection="0">
      <alignment horizontal="left" vertical="top" indent="1"/>
    </xf>
    <xf numFmtId="0" fontId="5" fillId="60" borderId="73" applyNumberFormat="0" applyProtection="0">
      <alignment horizontal="left" vertical="top" indent="1"/>
    </xf>
    <xf numFmtId="4" fontId="5" fillId="50" borderId="72" applyNumberFormat="0" applyProtection="0">
      <alignment horizontal="left" vertical="center" indent="1"/>
    </xf>
    <xf numFmtId="4" fontId="5" fillId="0" borderId="72" applyNumberFormat="0" applyProtection="0">
      <alignment horizontal="right" vertical="center"/>
    </xf>
    <xf numFmtId="9" fontId="43" fillId="0" borderId="0" applyFont="0" applyFill="0" applyBorder="0" applyAlignment="0" applyProtection="0"/>
    <xf numFmtId="0" fontId="109" fillId="0" borderId="53" applyNumberFormat="0" applyFill="0" applyAlignment="0" applyProtection="0"/>
    <xf numFmtId="0" fontId="1" fillId="58" borderId="51" applyNumberFormat="0" applyFont="0" applyAlignment="0" applyProtection="0"/>
    <xf numFmtId="0" fontId="11" fillId="0" borderId="0"/>
    <xf numFmtId="0" fontId="1" fillId="0" borderId="0"/>
    <xf numFmtId="0" fontId="43" fillId="0" borderId="0"/>
    <xf numFmtId="4" fontId="38" fillId="30" borderId="98" applyNumberFormat="0" applyProtection="0">
      <alignment horizontal="right" vertical="center"/>
    </xf>
    <xf numFmtId="4" fontId="38" fillId="28" borderId="98" applyNumberFormat="0" applyProtection="0">
      <alignment horizontal="right" vertical="center"/>
    </xf>
    <xf numFmtId="168" fontId="29"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2" fillId="0" borderId="88">
      <alignment horizontal="left" vertical="center"/>
    </xf>
    <xf numFmtId="43" fontId="11" fillId="0" borderId="0" applyFont="0" applyFill="0" applyBorder="0" applyAlignment="0" applyProtection="0"/>
    <xf numFmtId="9" fontId="19" fillId="0" borderId="0" applyFont="0" applyFill="0" applyBorder="0" applyAlignment="0" applyProtection="0"/>
    <xf numFmtId="0" fontId="11" fillId="0" borderId="0"/>
    <xf numFmtId="168" fontId="1" fillId="0" borderId="0" applyFont="0" applyFill="0" applyBorder="0" applyAlignment="0" applyProtection="0"/>
    <xf numFmtId="168" fontId="1" fillId="0" borderId="0" applyFont="0" applyFill="0" applyBorder="0" applyAlignment="0" applyProtection="0"/>
    <xf numFmtId="0" fontId="11" fillId="0" borderId="0"/>
    <xf numFmtId="168" fontId="43" fillId="0" borderId="0" applyFont="0" applyFill="0" applyBorder="0" applyAlignment="0" applyProtection="0"/>
    <xf numFmtId="168" fontId="29" fillId="0" borderId="0" applyFont="0" applyFill="0" applyBorder="0" applyAlignment="0" applyProtection="0"/>
    <xf numFmtId="164" fontId="55" fillId="0" borderId="100">
      <alignment horizontal="left" vertical="top"/>
    </xf>
    <xf numFmtId="165" fontId="79" fillId="36" borderId="100"/>
    <xf numFmtId="4" fontId="38" fillId="18" borderId="52" applyNumberFormat="0" applyProtection="0">
      <alignment vertical="center"/>
    </xf>
    <xf numFmtId="4" fontId="64" fillId="18" borderId="52" applyNumberFormat="0" applyProtection="0">
      <alignment vertical="center"/>
    </xf>
    <xf numFmtId="4" fontId="38" fillId="18" borderId="52" applyNumberFormat="0" applyProtection="0">
      <alignment horizontal="left" vertical="center" indent="1"/>
    </xf>
    <xf numFmtId="4" fontId="38" fillId="21" borderId="52" applyNumberFormat="0" applyProtection="0">
      <alignment horizontal="right" vertical="center"/>
    </xf>
    <xf numFmtId="4" fontId="38" fillId="22" borderId="52" applyNumberFormat="0" applyProtection="0">
      <alignment horizontal="right" vertical="center"/>
    </xf>
    <xf numFmtId="0" fontId="11" fillId="0" borderId="0"/>
    <xf numFmtId="4" fontId="38" fillId="23" borderId="52" applyNumberFormat="0" applyProtection="0">
      <alignment horizontal="right" vertical="center"/>
    </xf>
    <xf numFmtId="4" fontId="38" fillId="24" borderId="52" applyNumberFormat="0" applyProtection="0">
      <alignment horizontal="right" vertical="center"/>
    </xf>
    <xf numFmtId="4" fontId="38" fillId="25" borderId="52" applyNumberFormat="0" applyProtection="0">
      <alignment horizontal="right" vertical="center"/>
    </xf>
    <xf numFmtId="4" fontId="38" fillId="26" borderId="52" applyNumberFormat="0" applyProtection="0">
      <alignment horizontal="right" vertical="center"/>
    </xf>
    <xf numFmtId="4" fontId="38" fillId="27" borderId="52" applyNumberFormat="0" applyProtection="0">
      <alignment horizontal="right" vertical="center"/>
    </xf>
    <xf numFmtId="4" fontId="65" fillId="29" borderId="52" applyNumberFormat="0" applyProtection="0">
      <alignment horizontal="left" vertical="center" indent="1"/>
    </xf>
    <xf numFmtId="4" fontId="38" fillId="30" borderId="63" applyNumberFormat="0" applyProtection="0">
      <alignment horizontal="left" vertical="center" indent="1"/>
    </xf>
    <xf numFmtId="0" fontId="1" fillId="19" borderId="52" applyNumberFormat="0" applyProtection="0">
      <alignment horizontal="left" vertical="center" indent="1"/>
    </xf>
    <xf numFmtId="4" fontId="38" fillId="30" borderId="52" applyNumberFormat="0" applyProtection="0">
      <alignment horizontal="left" vertical="center" indent="1"/>
    </xf>
    <xf numFmtId="4" fontId="38" fillId="32" borderId="52" applyNumberFormat="0" applyProtection="0">
      <alignment horizontal="left" vertical="center" indent="1"/>
    </xf>
    <xf numFmtId="0" fontId="1" fillId="33" borderId="52" applyNumberFormat="0" applyProtection="0">
      <alignment horizontal="left" vertical="center" indent="1"/>
    </xf>
    <xf numFmtId="4" fontId="64" fillId="3" borderId="52" applyNumberFormat="0" applyProtection="0">
      <alignment vertical="center"/>
    </xf>
    <xf numFmtId="4" fontId="38" fillId="3" borderId="52" applyNumberFormat="0" applyProtection="0">
      <alignment horizontal="left" vertical="center" indent="1"/>
    </xf>
    <xf numFmtId="4" fontId="38" fillId="3" borderId="52" applyNumberFormat="0" applyProtection="0">
      <alignment horizontal="left" vertical="center" indent="1"/>
    </xf>
    <xf numFmtId="0" fontId="11" fillId="0" borderId="0"/>
    <xf numFmtId="0" fontId="1" fillId="2" borderId="52" applyNumberFormat="0" applyProtection="0">
      <alignment horizontal="left" vertical="center" indent="1"/>
    </xf>
    <xf numFmtId="4" fontId="64" fillId="30" borderId="52" applyNumberFormat="0" applyProtection="0">
      <alignment horizontal="right" vertical="center"/>
    </xf>
    <xf numFmtId="166"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 fillId="0" borderId="0"/>
    <xf numFmtId="43" fontId="11" fillId="0" borderId="0" applyFont="0" applyFill="0" applyBorder="0" applyAlignment="0" applyProtection="0"/>
    <xf numFmtId="0" fontId="11" fillId="0" borderId="0"/>
    <xf numFmtId="43" fontId="1" fillId="0" borderId="0" applyFont="0" applyFill="0" applyBorder="0" applyAlignment="0" applyProtection="0"/>
    <xf numFmtId="9" fontId="19" fillId="0" borderId="0" applyFont="0" applyFill="0" applyBorder="0" applyAlignment="0" applyProtection="0"/>
    <xf numFmtId="0" fontId="1" fillId="0" borderId="0"/>
    <xf numFmtId="168" fontId="18" fillId="0" borderId="0" applyFont="0" applyFill="0" applyBorder="0" applyAlignment="0" applyProtection="0"/>
    <xf numFmtId="168" fontId="18" fillId="0" borderId="0" applyFont="0" applyFill="0" applyBorder="0" applyAlignment="0" applyProtection="0"/>
    <xf numFmtId="4" fontId="38" fillId="30" borderId="93" applyNumberFormat="0" applyProtection="0">
      <alignment horizontal="left" vertical="center" indent="1"/>
    </xf>
    <xf numFmtId="4" fontId="38" fillId="3" borderId="98" applyNumberFormat="0" applyProtection="0">
      <alignment vertical="center"/>
    </xf>
    <xf numFmtId="0" fontId="11" fillId="0" borderId="0"/>
    <xf numFmtId="4" fontId="64" fillId="30" borderId="98" applyNumberFormat="0" applyProtection="0">
      <alignment horizontal="righ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4" fontId="68" fillId="30" borderId="98" applyNumberFormat="0" applyProtection="0">
      <alignment horizontal="right" vertical="center"/>
    </xf>
    <xf numFmtId="0" fontId="97" fillId="34" borderId="50" applyNumberFormat="0" applyAlignment="0" applyProtection="0"/>
    <xf numFmtId="168" fontId="18" fillId="0" borderId="0" applyFont="0" applyFill="0" applyBorder="0" applyAlignment="0" applyProtection="0"/>
    <xf numFmtId="0" fontId="1" fillId="0" borderId="0"/>
    <xf numFmtId="0" fontId="1" fillId="0" borderId="0"/>
    <xf numFmtId="0" fontId="11" fillId="0" borderId="0"/>
    <xf numFmtId="168" fontId="29" fillId="0" borderId="0" applyFont="0" applyFill="0" applyBorder="0" applyAlignment="0" applyProtection="0"/>
    <xf numFmtId="0" fontId="1" fillId="0" borderId="0"/>
    <xf numFmtId="168" fontId="18" fillId="0" borderId="0" applyFont="0" applyFill="0" applyBorder="0" applyAlignment="0" applyProtection="0"/>
    <xf numFmtId="0" fontId="11" fillId="0" borderId="0"/>
    <xf numFmtId="168"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43" fontId="1" fillId="0" borderId="0" applyFont="0" applyFill="0" applyBorder="0" applyAlignment="0" applyProtection="0"/>
    <xf numFmtId="0" fontId="104" fillId="43" borderId="50" applyNumberFormat="0" applyAlignment="0" applyProtection="0"/>
    <xf numFmtId="0" fontId="1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04" fillId="43" borderId="50"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7" fillId="34" borderId="102" applyNumberFormat="0" applyAlignment="0" applyProtection="0"/>
    <xf numFmtId="4" fontId="68" fillId="30" borderId="98" applyNumberFormat="0" applyProtection="0">
      <alignment horizontal="righ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4" fontId="64" fillId="30" borderId="98" applyNumberFormat="0" applyProtection="0">
      <alignment horizontal="right" vertical="center"/>
    </xf>
    <xf numFmtId="0" fontId="1" fillId="2" borderId="98" applyNumberFormat="0" applyProtection="0">
      <alignment horizontal="left" vertical="center" indent="1"/>
    </xf>
    <xf numFmtId="0" fontId="11" fillId="0" borderId="0"/>
    <xf numFmtId="4" fontId="38" fillId="3" borderId="98" applyNumberFormat="0" applyProtection="0">
      <alignment horizontal="left" vertical="center" indent="1"/>
    </xf>
    <xf numFmtId="4" fontId="38" fillId="3" borderId="98" applyNumberFormat="0" applyProtection="0">
      <alignment horizontal="left" vertical="center" indent="1"/>
    </xf>
    <xf numFmtId="4" fontId="64" fillId="3" borderId="98" applyNumberFormat="0" applyProtection="0">
      <alignment vertical="center"/>
    </xf>
    <xf numFmtId="4" fontId="38" fillId="3" borderId="98" applyNumberFormat="0" applyProtection="0">
      <alignment vertical="center"/>
    </xf>
    <xf numFmtId="0" fontId="1" fillId="33" borderId="98" applyNumberFormat="0" applyProtection="0">
      <alignment horizontal="left" vertical="center" indent="1"/>
    </xf>
    <xf numFmtId="0" fontId="1" fillId="33" borderId="98" applyNumberFormat="0" applyProtection="0">
      <alignment horizontal="left" vertical="center" indent="1"/>
    </xf>
    <xf numFmtId="0" fontId="1" fillId="19" borderId="98" applyNumberFormat="0" applyProtection="0">
      <alignment horizontal="left" vertical="center" indent="1"/>
    </xf>
    <xf numFmtId="4" fontId="38" fillId="30" borderId="93" applyNumberFormat="0" applyProtection="0">
      <alignment horizontal="left" vertical="center" indent="1"/>
    </xf>
    <xf numFmtId="4" fontId="65" fillId="29" borderId="98" applyNumberFormat="0" applyProtection="0">
      <alignment horizontal="left" vertical="center" indent="1"/>
    </xf>
    <xf numFmtId="0" fontId="1" fillId="0" borderId="0"/>
    <xf numFmtId="0" fontId="11" fillId="0" borderId="0"/>
    <xf numFmtId="0" fontId="1" fillId="0" borderId="0"/>
    <xf numFmtId="168" fontId="29" fillId="0" borderId="0" applyFont="0" applyFill="0" applyBorder="0" applyAlignment="0" applyProtection="0"/>
    <xf numFmtId="0" fontId="11" fillId="0" borderId="0"/>
    <xf numFmtId="0" fontId="11" fillId="0" borderId="0"/>
    <xf numFmtId="0" fontId="11" fillId="0" borderId="0"/>
    <xf numFmtId="0" fontId="1" fillId="0" borderId="0"/>
    <xf numFmtId="164" fontId="55" fillId="0" borderId="100">
      <alignment horizontal="left" vertical="top"/>
    </xf>
    <xf numFmtId="0" fontId="97" fillId="34" borderId="50" applyNumberFormat="0" applyAlignment="0" applyProtection="0"/>
    <xf numFmtId="4" fontId="68" fillId="30" borderId="98" applyNumberFormat="0" applyProtection="0">
      <alignment horizontal="right" vertical="center"/>
    </xf>
    <xf numFmtId="0" fontId="11" fillId="0" borderId="0"/>
    <xf numFmtId="4" fontId="38" fillId="3" borderId="98" applyNumberFormat="0" applyProtection="0">
      <alignment vertical="center"/>
    </xf>
    <xf numFmtId="0" fontId="11" fillId="0" borderId="0"/>
    <xf numFmtId="0" fontId="1" fillId="19" borderId="98" applyNumberFormat="0" applyProtection="0">
      <alignment horizontal="left" vertical="center" indent="1"/>
    </xf>
    <xf numFmtId="4" fontId="64" fillId="30" borderId="98" applyNumberFormat="0" applyProtection="0">
      <alignment horizontal="right" vertical="center"/>
    </xf>
    <xf numFmtId="0" fontId="1" fillId="2" borderId="98" applyNumberFormat="0" applyProtection="0">
      <alignment horizontal="left" vertical="center" indent="1"/>
    </xf>
    <xf numFmtId="0" fontId="11" fillId="0" borderId="0"/>
    <xf numFmtId="0" fontId="1" fillId="33" borderId="98" applyNumberFormat="0" applyProtection="0">
      <alignment horizontal="left" vertical="center" indent="1"/>
    </xf>
    <xf numFmtId="0" fontId="1" fillId="33" borderId="98" applyNumberFormat="0" applyProtection="0">
      <alignment horizontal="left" vertical="center" indent="1"/>
    </xf>
    <xf numFmtId="0" fontId="1" fillId="32" borderId="98" applyNumberFormat="0" applyProtection="0">
      <alignment horizontal="left" vertical="center" indent="1"/>
    </xf>
    <xf numFmtId="0" fontId="1" fillId="32" borderId="98" applyNumberFormat="0" applyProtection="0">
      <alignment horizontal="left" vertical="center" indent="1"/>
    </xf>
    <xf numFmtId="0" fontId="1" fillId="19" borderId="98" applyNumberFormat="0" applyProtection="0">
      <alignment horizontal="left" vertical="center" indent="1"/>
    </xf>
    <xf numFmtId="4" fontId="38" fillId="30" borderId="93" applyNumberFormat="0" applyProtection="0">
      <alignment horizontal="left" vertical="center" indent="1"/>
    </xf>
    <xf numFmtId="4" fontId="65" fillId="29" borderId="98" applyNumberFormat="0" applyProtection="0">
      <alignment horizontal="left" vertical="center" indent="1"/>
    </xf>
    <xf numFmtId="4" fontId="38" fillId="27" borderId="98" applyNumberFormat="0" applyProtection="0">
      <alignment horizontal="right" vertical="center"/>
    </xf>
    <xf numFmtId="4" fontId="38" fillId="26" borderId="98" applyNumberFormat="0" applyProtection="0">
      <alignment horizontal="right" vertical="center"/>
    </xf>
    <xf numFmtId="0" fontId="1" fillId="32" borderId="98" applyNumberFormat="0" applyProtection="0">
      <alignment horizontal="left" vertical="center" indent="1"/>
    </xf>
    <xf numFmtId="4" fontId="38" fillId="21" borderId="98" applyNumberFormat="0" applyProtection="0">
      <alignment horizontal="right" vertical="center"/>
    </xf>
    <xf numFmtId="0" fontId="11" fillId="0" borderId="0"/>
    <xf numFmtId="168" fontId="18" fillId="0" borderId="0" applyFont="0" applyFill="0" applyBorder="0" applyAlignment="0" applyProtection="0"/>
    <xf numFmtId="168" fontId="18" fillId="0" borderId="0" applyFont="0" applyFill="0" applyBorder="0" applyAlignment="0" applyProtection="0"/>
    <xf numFmtId="0" fontId="18" fillId="0" borderId="0"/>
    <xf numFmtId="168" fontId="19" fillId="0" borderId="0" applyFont="0" applyFill="0" applyBorder="0" applyAlignment="0" applyProtection="0"/>
    <xf numFmtId="0" fontId="43" fillId="0" borderId="0"/>
    <xf numFmtId="4" fontId="38" fillId="30" borderId="98" applyNumberFormat="0" applyProtection="0">
      <alignment horizontal="right" vertical="center"/>
    </xf>
    <xf numFmtId="4" fontId="38" fillId="28" borderId="98" applyNumberFormat="0" applyProtection="0">
      <alignment horizontal="right" vertical="center"/>
    </xf>
    <xf numFmtId="0" fontId="11" fillId="0" borderId="0"/>
    <xf numFmtId="0" fontId="2" fillId="0" borderId="106">
      <alignment horizontal="left" vertical="center"/>
    </xf>
    <xf numFmtId="9" fontId="19" fillId="0" borderId="0" applyFont="0" applyFill="0" applyBorder="0" applyAlignment="0" applyProtection="0"/>
    <xf numFmtId="0" fontId="11" fillId="0" borderId="0"/>
    <xf numFmtId="0" fontId="11" fillId="0" borderId="0"/>
    <xf numFmtId="168" fontId="1" fillId="0" borderId="0" applyFont="0" applyFill="0" applyBorder="0" applyAlignment="0" applyProtection="0"/>
    <xf numFmtId="168" fontId="1" fillId="0" borderId="0" applyFont="0" applyFill="0" applyBorder="0" applyAlignment="0" applyProtection="0"/>
    <xf numFmtId="0" fontId="11" fillId="0" borderId="0"/>
    <xf numFmtId="168" fontId="43" fillId="0" borderId="0" applyFont="0" applyFill="0" applyBorder="0" applyAlignment="0" applyProtection="0"/>
    <xf numFmtId="4" fontId="38" fillId="18" borderId="98" applyNumberFormat="0" applyProtection="0">
      <alignment vertical="center"/>
    </xf>
    <xf numFmtId="4" fontId="64" fillId="18" borderId="98" applyNumberFormat="0" applyProtection="0">
      <alignment vertical="center"/>
    </xf>
    <xf numFmtId="4" fontId="38" fillId="18" borderId="98" applyNumberFormat="0" applyProtection="0">
      <alignment horizontal="left" vertical="center" indent="1"/>
    </xf>
    <xf numFmtId="164" fontId="55" fillId="0" borderId="70">
      <alignment horizontal="left" vertical="top"/>
    </xf>
    <xf numFmtId="165" fontId="79" fillId="36" borderId="70"/>
    <xf numFmtId="0" fontId="1" fillId="19" borderId="98" applyNumberFormat="0" applyProtection="0">
      <alignment horizontal="left" vertical="center" indent="1"/>
    </xf>
    <xf numFmtId="164" fontId="77" fillId="30" borderId="70">
      <alignment vertical="top"/>
    </xf>
    <xf numFmtId="4" fontId="38" fillId="20" borderId="98" applyNumberFormat="0" applyProtection="0">
      <alignment horizontal="right" vertical="center"/>
    </xf>
    <xf numFmtId="4" fontId="38" fillId="21" borderId="98" applyNumberFormat="0" applyProtection="0">
      <alignment horizontal="right" vertical="center"/>
    </xf>
    <xf numFmtId="4" fontId="38" fillId="22" borderId="98" applyNumberFormat="0" applyProtection="0">
      <alignment horizontal="right" vertical="center"/>
    </xf>
    <xf numFmtId="0" fontId="11" fillId="0" borderId="0"/>
    <xf numFmtId="0" fontId="1" fillId="32" borderId="98" applyNumberFormat="0" applyProtection="0">
      <alignment horizontal="left" vertical="center" indent="1"/>
    </xf>
    <xf numFmtId="0" fontId="11" fillId="0" borderId="0"/>
    <xf numFmtId="4" fontId="68" fillId="30" borderId="68" applyNumberFormat="0" applyProtection="0">
      <alignment horizontal="right" vertical="center"/>
    </xf>
    <xf numFmtId="0" fontId="1" fillId="19" borderId="68" applyNumberFormat="0" applyProtection="0">
      <alignment horizontal="left" vertical="center" indent="1"/>
    </xf>
    <xf numFmtId="0" fontId="1" fillId="19" borderId="68" applyNumberFormat="0" applyProtection="0">
      <alignment horizontal="left" vertical="center" indent="1"/>
    </xf>
    <xf numFmtId="4" fontId="64" fillId="30" borderId="68" applyNumberFormat="0" applyProtection="0">
      <alignment horizontal="right" vertical="center"/>
    </xf>
    <xf numFmtId="9" fontId="1" fillId="0" borderId="0" applyFont="0" applyFill="0" applyBorder="0" applyAlignment="0" applyProtection="0"/>
    <xf numFmtId="4" fontId="38" fillId="30" borderId="68" applyNumberFormat="0" applyProtection="0">
      <alignment horizontal="right" vertical="center"/>
    </xf>
    <xf numFmtId="4" fontId="38" fillId="3" borderId="68" applyNumberFormat="0" applyProtection="0">
      <alignment horizontal="left" vertical="center" indent="1"/>
    </xf>
    <xf numFmtId="4" fontId="38" fillId="3" borderId="68" applyNumberFormat="0" applyProtection="0">
      <alignment horizontal="left" vertical="center" indent="1"/>
    </xf>
    <xf numFmtId="4" fontId="64" fillId="3" borderId="68" applyNumberFormat="0" applyProtection="0">
      <alignment vertical="center"/>
    </xf>
    <xf numFmtId="4" fontId="38" fillId="3" borderId="68" applyNumberFormat="0" applyProtection="0">
      <alignment vertical="center"/>
    </xf>
    <xf numFmtId="0" fontId="1" fillId="19" borderId="68" applyNumberFormat="0" applyProtection="0">
      <alignment horizontal="left" vertical="center" indent="1"/>
    </xf>
    <xf numFmtId="0" fontId="1" fillId="19" borderId="68" applyNumberFormat="0" applyProtection="0">
      <alignment horizontal="left" vertical="center" indent="1"/>
    </xf>
    <xf numFmtId="9" fontId="1" fillId="0" borderId="0" applyFont="0" applyFill="0" applyBorder="0" applyAlignment="0" applyProtection="0"/>
    <xf numFmtId="0" fontId="1" fillId="33" borderId="68" applyNumberFormat="0" applyProtection="0">
      <alignment horizontal="left" vertical="center" indent="1"/>
    </xf>
    <xf numFmtId="0" fontId="1" fillId="32" borderId="68" applyNumberFormat="0" applyProtection="0">
      <alignment horizontal="left" vertical="center" indent="1"/>
    </xf>
    <xf numFmtId="0" fontId="1" fillId="32" borderId="68" applyNumberFormat="0" applyProtection="0">
      <alignment horizontal="left" vertical="center" indent="1"/>
    </xf>
    <xf numFmtId="4" fontId="38" fillId="32" borderId="68" applyNumberFormat="0" applyProtection="0">
      <alignment horizontal="left" vertical="center" indent="1"/>
    </xf>
    <xf numFmtId="4" fontId="38" fillId="30" borderId="68" applyNumberFormat="0" applyProtection="0">
      <alignment horizontal="left" vertical="center" indent="1"/>
    </xf>
    <xf numFmtId="0" fontId="1" fillId="19" borderId="68" applyNumberFormat="0" applyProtection="0">
      <alignment horizontal="left" vertical="center" indent="1"/>
    </xf>
    <xf numFmtId="4" fontId="38" fillId="32" borderId="98" applyNumberFormat="0" applyProtection="0">
      <alignment horizontal="left" vertical="center" indent="1"/>
    </xf>
    <xf numFmtId="0" fontId="1" fillId="19" borderId="52" applyNumberFormat="0" applyProtection="0">
      <alignment horizontal="left" vertical="center" indent="1"/>
    </xf>
    <xf numFmtId="168" fontId="18" fillId="0" borderId="0" applyFont="0" applyFill="0" applyBorder="0" applyAlignment="0" applyProtection="0"/>
    <xf numFmtId="4" fontId="38" fillId="25" borderId="98" applyNumberFormat="0" applyProtection="0">
      <alignment horizontal="right" vertical="center"/>
    </xf>
    <xf numFmtId="0" fontId="1" fillId="0" borderId="0"/>
    <xf numFmtId="190" fontId="50" fillId="0" borderId="71"/>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166" fontId="1" fillId="0" borderId="0" applyFont="0" applyFill="0" applyBorder="0" applyAlignment="0" applyProtection="0"/>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38" fillId="23" borderId="98" applyNumberFormat="0" applyProtection="0">
      <alignment horizontal="right" vertical="center"/>
    </xf>
    <xf numFmtId="0" fontId="1" fillId="32" borderId="52" applyNumberFormat="0" applyProtection="0">
      <alignment horizontal="left" vertical="center" indent="1"/>
    </xf>
    <xf numFmtId="0" fontId="1" fillId="32" borderId="52" applyNumberFormat="0" applyProtection="0">
      <alignment horizontal="left" vertical="center" indent="1"/>
    </xf>
    <xf numFmtId="168" fontId="1" fillId="0" borderId="0" applyFont="0" applyFill="0" applyBorder="0" applyAlignment="0" applyProtection="0"/>
    <xf numFmtId="0" fontId="1" fillId="19" borderId="52" applyNumberFormat="0" applyProtection="0">
      <alignment horizontal="left" vertical="center" indent="1"/>
    </xf>
    <xf numFmtId="168" fontId="1" fillId="0" borderId="0" applyFont="0" applyFill="0" applyBorder="0" applyAlignment="0" applyProtection="0"/>
    <xf numFmtId="0" fontId="1" fillId="0" borderId="0"/>
    <xf numFmtId="0" fontId="1" fillId="0" borderId="0"/>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168" fontId="18" fillId="0" borderId="0" applyFont="0" applyFill="0" applyBorder="0" applyAlignment="0" applyProtection="0"/>
    <xf numFmtId="4" fontId="38" fillId="3" borderId="98" applyNumberFormat="0" applyProtection="0">
      <alignment horizontal="left" vertical="center" indent="1"/>
    </xf>
    <xf numFmtId="4" fontId="5" fillId="59" borderId="55" applyNumberFormat="0" applyProtection="0">
      <alignment horizontal="right" vertical="center"/>
    </xf>
    <xf numFmtId="0" fontId="1" fillId="2" borderId="68" applyNumberFormat="0" applyProtection="0">
      <alignment horizontal="left" vertical="center" indent="1"/>
    </xf>
    <xf numFmtId="166" fontId="1" fillId="0" borderId="0" applyFont="0" applyFill="0" applyBorder="0" applyAlignment="0" applyProtection="0"/>
    <xf numFmtId="0" fontId="104" fillId="43" borderId="102" applyNumberFormat="0" applyAlignment="0" applyProtection="0"/>
    <xf numFmtId="4" fontId="38" fillId="20" borderId="52" applyNumberFormat="0" applyProtection="0">
      <alignment horizontal="right" vertical="center"/>
    </xf>
    <xf numFmtId="4" fontId="68" fillId="30" borderId="52" applyNumberFormat="0" applyProtection="0">
      <alignment horizontal="right" vertical="center"/>
    </xf>
    <xf numFmtId="4" fontId="38" fillId="3" borderId="98" applyNumberFormat="0" applyProtection="0">
      <alignment horizontal="left" vertical="center" indent="1"/>
    </xf>
    <xf numFmtId="0" fontId="1" fillId="2" borderId="68" applyNumberFormat="0" applyProtection="0">
      <alignment horizontal="left" vertical="center" indent="1"/>
    </xf>
    <xf numFmtId="43" fontId="11" fillId="0" borderId="0" applyFont="0" applyFill="0" applyBorder="0" applyAlignment="0" applyProtection="0"/>
    <xf numFmtId="168" fontId="11" fillId="0" borderId="0" applyFont="0" applyFill="0" applyBorder="0" applyAlignment="0" applyProtection="0"/>
    <xf numFmtId="0" fontId="1" fillId="33" borderId="52" applyNumberFormat="0" applyProtection="0">
      <alignment horizontal="left" vertical="center" indent="1"/>
    </xf>
    <xf numFmtId="0" fontId="1" fillId="19" borderId="52" applyNumberFormat="0" applyProtection="0">
      <alignment horizontal="left" vertical="center" indent="1"/>
    </xf>
    <xf numFmtId="164" fontId="77" fillId="30" borderId="100">
      <alignment vertical="top"/>
    </xf>
    <xf numFmtId="203" fontId="1" fillId="0" borderId="0" applyFont="0" applyFill="0" applyBorder="0" applyAlignment="0" applyProtection="0"/>
    <xf numFmtId="43" fontId="94" fillId="0" borderId="0" applyFont="0" applyFill="0" applyBorder="0" applyAlignment="0" applyProtection="0"/>
    <xf numFmtId="0" fontId="11" fillId="0" borderId="0"/>
    <xf numFmtId="43" fontId="1" fillId="0" borderId="0" applyFont="0" applyFill="0" applyBorder="0" applyAlignment="0" applyProtection="0"/>
    <xf numFmtId="0" fontId="11" fillId="0" borderId="0"/>
    <xf numFmtId="0" fontId="1" fillId="0" borderId="0"/>
    <xf numFmtId="0" fontId="1" fillId="33" borderId="68" applyNumberFormat="0" applyProtection="0">
      <alignment horizontal="left" vertical="center" indent="1"/>
    </xf>
    <xf numFmtId="168" fontId="29" fillId="0" borderId="0" applyFont="0" applyFill="0" applyBorder="0" applyAlignment="0" applyProtection="0"/>
    <xf numFmtId="168"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1" fillId="0" borderId="0"/>
    <xf numFmtId="4" fontId="38" fillId="30" borderId="63" applyNumberFormat="0" applyProtection="0">
      <alignment horizontal="left" vertical="center" indent="1"/>
    </xf>
    <xf numFmtId="4" fontId="38" fillId="22" borderId="98" applyNumberFormat="0" applyProtection="0">
      <alignment horizontal="right" vertical="center"/>
    </xf>
    <xf numFmtId="9" fontId="43" fillId="0" borderId="0" applyFont="0" applyFill="0" applyBorder="0" applyAlignment="0" applyProtection="0"/>
    <xf numFmtId="168" fontId="43" fillId="0" borderId="0" applyFont="0" applyFill="0" applyBorder="0" applyAlignment="0" applyProtection="0"/>
    <xf numFmtId="165" fontId="79" fillId="36" borderId="100"/>
    <xf numFmtId="4" fontId="38" fillId="18" borderId="68" applyNumberFormat="0" applyProtection="0">
      <alignment vertical="center"/>
    </xf>
    <xf numFmtId="4" fontId="38" fillId="30" borderId="98" applyNumberFormat="0" applyProtection="0">
      <alignment horizontal="left" vertical="center" indent="1"/>
    </xf>
    <xf numFmtId="4" fontId="38" fillId="30" borderId="52" applyNumberFormat="0" applyProtection="0">
      <alignment horizontal="right" vertical="center"/>
    </xf>
    <xf numFmtId="0" fontId="1" fillId="32" borderId="68" applyNumberFormat="0" applyProtection="0">
      <alignment horizontal="left" vertical="center" indent="1"/>
    </xf>
    <xf numFmtId="9" fontId="19" fillId="0" borderId="0" applyFont="0" applyFill="0" applyBorder="0" applyAlignment="0" applyProtection="0"/>
    <xf numFmtId="4" fontId="38" fillId="26" borderId="68" applyNumberFormat="0" applyProtection="0">
      <alignment horizontal="right" vertical="center"/>
    </xf>
    <xf numFmtId="43" fontId="1" fillId="0" borderId="0" applyFont="0" applyFill="0" applyBorder="0" applyAlignment="0" applyProtection="0"/>
    <xf numFmtId="0" fontId="2" fillId="0" borderId="74">
      <alignment horizontal="left" vertical="center"/>
    </xf>
    <xf numFmtId="0" fontId="1" fillId="19" borderId="68" applyNumberFormat="0" applyProtection="0">
      <alignment horizontal="left" vertical="center" indent="1"/>
    </xf>
    <xf numFmtId="0" fontId="1" fillId="58" borderId="67" applyNumberFormat="0" applyFont="0" applyAlignment="0" applyProtection="0"/>
    <xf numFmtId="164" fontId="55" fillId="0" borderId="62">
      <alignment horizontal="left" vertical="top"/>
    </xf>
    <xf numFmtId="0" fontId="1" fillId="19" borderId="68" applyNumberFormat="0" applyProtection="0">
      <alignment horizontal="left" vertical="center" indent="1"/>
    </xf>
    <xf numFmtId="4" fontId="38" fillId="32" borderId="68" applyNumberFormat="0" applyProtection="0">
      <alignment horizontal="left" vertical="center" indent="1"/>
    </xf>
    <xf numFmtId="0" fontId="1" fillId="32" borderId="68" applyNumberFormat="0" applyProtection="0">
      <alignment horizontal="left" vertical="center" indent="1"/>
    </xf>
    <xf numFmtId="0" fontId="1" fillId="2" borderId="68" applyNumberFormat="0" applyProtection="0">
      <alignment horizontal="left" vertical="center" indent="1"/>
    </xf>
    <xf numFmtId="4" fontId="38" fillId="3" borderId="68" applyNumberFormat="0" applyProtection="0">
      <alignment horizontal="left" vertical="center" indent="1"/>
    </xf>
    <xf numFmtId="0" fontId="107" fillId="34" borderId="68" applyNumberFormat="0" applyAlignment="0" applyProtection="0"/>
    <xf numFmtId="0" fontId="109" fillId="0" borderId="69" applyNumberFormat="0" applyFill="0" applyAlignment="0" applyProtection="0"/>
    <xf numFmtId="4" fontId="38" fillId="3" borderId="52" applyNumberFormat="0" applyProtection="0">
      <alignment vertical="center"/>
    </xf>
    <xf numFmtId="4" fontId="38" fillId="26" borderId="98" applyNumberFormat="0" applyProtection="0">
      <alignment horizontal="right" vertical="center"/>
    </xf>
    <xf numFmtId="0" fontId="11" fillId="0" borderId="0"/>
    <xf numFmtId="4" fontId="5" fillId="59" borderId="64" applyNumberFormat="0" applyProtection="0">
      <alignment horizontal="right" vertical="center"/>
    </xf>
    <xf numFmtId="0" fontId="5" fillId="34" borderId="64" applyNumberFormat="0" applyProtection="0">
      <alignment horizontal="left" vertical="center" indent="1"/>
    </xf>
    <xf numFmtId="0" fontId="5" fillId="44" borderId="65" applyNumberFormat="0" applyProtection="0">
      <alignment horizontal="left" vertical="top" indent="1"/>
    </xf>
    <xf numFmtId="0" fontId="5" fillId="59" borderId="65" applyNumberFormat="0" applyProtection="0">
      <alignment horizontal="left" vertical="top" indent="1"/>
    </xf>
    <xf numFmtId="0" fontId="5" fillId="60" borderId="65" applyNumberFormat="0" applyProtection="0">
      <alignment horizontal="left" vertical="top" indent="1"/>
    </xf>
    <xf numFmtId="4" fontId="5" fillId="50" borderId="64" applyNumberFormat="0" applyProtection="0">
      <alignment horizontal="left" vertical="center" indent="1"/>
    </xf>
    <xf numFmtId="4" fontId="111" fillId="15" borderId="64" applyNumberFormat="0" applyProtection="0">
      <alignment horizontal="right" vertical="center"/>
    </xf>
    <xf numFmtId="4" fontId="5" fillId="0" borderId="64" applyNumberFormat="0" applyProtection="0">
      <alignment horizontal="right" vertical="center"/>
    </xf>
    <xf numFmtId="4" fontId="38" fillId="25" borderId="68" applyNumberFormat="0" applyProtection="0">
      <alignment horizontal="right" vertical="center"/>
    </xf>
    <xf numFmtId="165" fontId="79" fillId="36" borderId="62"/>
    <xf numFmtId="190" fontId="50" fillId="0" borderId="86"/>
    <xf numFmtId="164" fontId="77" fillId="30" borderId="62">
      <alignment vertical="top"/>
    </xf>
    <xf numFmtId="0" fontId="11" fillId="0" borderId="0"/>
    <xf numFmtId="0" fontId="2" fillId="0" borderId="57">
      <alignment horizontal="left" vertical="center"/>
    </xf>
    <xf numFmtId="0" fontId="1" fillId="33" borderId="68" applyNumberFormat="0" applyProtection="0">
      <alignment horizontal="left" vertical="center" indent="1"/>
    </xf>
    <xf numFmtId="0" fontId="1" fillId="2" borderId="68" applyNumberFormat="0" applyProtection="0">
      <alignment horizontal="left" vertical="center" indent="1"/>
    </xf>
    <xf numFmtId="0" fontId="1" fillId="19" borderId="68" applyNumberFormat="0" applyProtection="0">
      <alignment horizontal="left" vertical="center" indent="1"/>
    </xf>
    <xf numFmtId="0" fontId="1" fillId="19" borderId="68" applyNumberFormat="0" applyProtection="0">
      <alignment horizontal="left" vertical="center" indent="1"/>
    </xf>
    <xf numFmtId="4" fontId="38" fillId="3" borderId="68" applyNumberFormat="0" applyProtection="0">
      <alignment vertical="center"/>
    </xf>
    <xf numFmtId="4" fontId="64" fillId="3" borderId="68" applyNumberFormat="0" applyProtection="0">
      <alignment vertical="center"/>
    </xf>
    <xf numFmtId="4" fontId="38" fillId="3" borderId="68" applyNumberFormat="0" applyProtection="0">
      <alignment horizontal="left" vertical="center" indent="1"/>
    </xf>
    <xf numFmtId="4" fontId="38" fillId="30" borderId="68" applyNumberFormat="0" applyProtection="0">
      <alignment horizontal="right" vertical="center"/>
    </xf>
    <xf numFmtId="4" fontId="64" fillId="30" borderId="68" applyNumberFormat="0" applyProtection="0">
      <alignment horizontal="right" vertical="center"/>
    </xf>
    <xf numFmtId="0" fontId="1" fillId="19" borderId="68" applyNumberFormat="0" applyProtection="0">
      <alignment horizontal="left" vertical="center" indent="1"/>
    </xf>
    <xf numFmtId="4" fontId="68" fillId="30" borderId="68" applyNumberFormat="0" applyProtection="0">
      <alignment horizontal="right" vertical="center"/>
    </xf>
    <xf numFmtId="4" fontId="64" fillId="3" borderId="98" applyNumberFormat="0" applyProtection="0">
      <alignment vertical="center"/>
    </xf>
    <xf numFmtId="0" fontId="1" fillId="33" borderId="68" applyNumberFormat="0" applyProtection="0">
      <alignment horizontal="left" vertical="center" indent="1"/>
    </xf>
    <xf numFmtId="4" fontId="38" fillId="18" borderId="68" applyNumberFormat="0" applyProtection="0">
      <alignment horizontal="left" vertical="center" indent="1"/>
    </xf>
    <xf numFmtId="0" fontId="1" fillId="19" borderId="68" applyNumberFormat="0" applyProtection="0">
      <alignment horizontal="left" vertical="center" indent="1"/>
    </xf>
    <xf numFmtId="4" fontId="38" fillId="20" borderId="68" applyNumberFormat="0" applyProtection="0">
      <alignment horizontal="right" vertical="center"/>
    </xf>
    <xf numFmtId="4" fontId="38" fillId="21" borderId="68" applyNumberFormat="0" applyProtection="0">
      <alignment horizontal="right" vertical="center"/>
    </xf>
    <xf numFmtId="4" fontId="38" fillId="22" borderId="68" applyNumberFormat="0" applyProtection="0">
      <alignment horizontal="right" vertical="center"/>
    </xf>
    <xf numFmtId="0" fontId="2" fillId="0" borderId="66">
      <alignment horizontal="left" vertical="center"/>
    </xf>
    <xf numFmtId="4" fontId="38" fillId="23" borderId="68" applyNumberFormat="0" applyProtection="0">
      <alignment horizontal="right" vertical="center"/>
    </xf>
    <xf numFmtId="4" fontId="38" fillId="30" borderId="68" applyNumberFormat="0" applyProtection="0">
      <alignment horizontal="left" vertical="center" indent="1"/>
    </xf>
    <xf numFmtId="4" fontId="38" fillId="18" borderId="68" applyNumberFormat="0" applyProtection="0">
      <alignment vertical="center"/>
    </xf>
    <xf numFmtId="4" fontId="64" fillId="18" borderId="68" applyNumberFormat="0" applyProtection="0">
      <alignment vertical="center"/>
    </xf>
    <xf numFmtId="4" fontId="38" fillId="18" borderId="68"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168" fontId="1" fillId="0" borderId="0" applyFont="0" applyFill="0" applyBorder="0" applyAlignment="0" applyProtection="0"/>
    <xf numFmtId="0" fontId="2" fillId="0" borderId="57">
      <alignment horizontal="left" vertical="center"/>
    </xf>
    <xf numFmtId="4" fontId="5" fillId="0" borderId="64" applyNumberFormat="0" applyProtection="0">
      <alignment horizontal="right" vertical="center"/>
    </xf>
    <xf numFmtId="4" fontId="111" fillId="15" borderId="64" applyNumberFormat="0" applyProtection="0">
      <alignment horizontal="right" vertical="center"/>
    </xf>
    <xf numFmtId="0" fontId="5" fillId="61" borderId="64" applyNumberFormat="0" applyProtection="0">
      <alignment horizontal="left" vertical="center" indent="1"/>
    </xf>
    <xf numFmtId="0" fontId="5" fillId="44" borderId="64" applyNumberFormat="0" applyProtection="0">
      <alignment horizontal="left" vertical="center" indent="1"/>
    </xf>
    <xf numFmtId="0" fontId="5" fillId="62" borderId="64" applyNumberFormat="0" applyProtection="0">
      <alignment horizontal="left" vertical="center" indent="1"/>
    </xf>
    <xf numFmtId="4" fontId="112" fillId="63" borderId="64" applyNumberFormat="0" applyProtection="0">
      <alignment horizontal="right" vertical="center"/>
    </xf>
    <xf numFmtId="4" fontId="5" fillId="50" borderId="64" applyNumberFormat="0" applyProtection="0">
      <alignment horizontal="left" vertical="center" indent="1"/>
    </xf>
    <xf numFmtId="4" fontId="5" fillId="0" borderId="64" applyNumberFormat="0" applyProtection="0">
      <alignment horizontal="right" vertical="center"/>
    </xf>
    <xf numFmtId="0" fontId="5" fillId="34" borderId="64" applyNumberFormat="0" applyProtection="0">
      <alignment horizontal="left" vertical="center" indent="1"/>
    </xf>
    <xf numFmtId="0" fontId="5" fillId="59" borderId="65" applyNumberFormat="0" applyProtection="0">
      <alignment horizontal="left" vertical="top" indent="1"/>
    </xf>
    <xf numFmtId="4" fontId="38" fillId="30" borderId="63" applyNumberFormat="0" applyProtection="0">
      <alignment horizontal="left" vertical="center" indent="1"/>
    </xf>
    <xf numFmtId="4" fontId="112" fillId="63" borderId="64" applyNumberFormat="0" applyProtection="0">
      <alignment horizontal="right" vertical="center"/>
    </xf>
    <xf numFmtId="0" fontId="5" fillId="62" borderId="64" applyNumberFormat="0" applyProtection="0">
      <alignment horizontal="left" vertical="center" indent="1"/>
    </xf>
    <xf numFmtId="0" fontId="5" fillId="44" borderId="64" applyNumberFormat="0" applyProtection="0">
      <alignment horizontal="left" vertical="center" indent="1"/>
    </xf>
    <xf numFmtId="0" fontId="5" fillId="61" borderId="64" applyNumberFormat="0" applyProtection="0">
      <alignment horizontal="left" vertical="center" indent="1"/>
    </xf>
    <xf numFmtId="4" fontId="5" fillId="59" borderId="64" applyNumberFormat="0" applyProtection="0">
      <alignment horizontal="right" vertical="center"/>
    </xf>
    <xf numFmtId="0" fontId="5" fillId="44" borderId="65" applyNumberFormat="0" applyProtection="0">
      <alignment horizontal="left" vertical="top" indent="1"/>
    </xf>
    <xf numFmtId="0" fontId="5" fillId="60" borderId="65" applyNumberFormat="0" applyProtection="0">
      <alignment horizontal="left" vertical="top" indent="1"/>
    </xf>
    <xf numFmtId="4" fontId="38" fillId="28" borderId="68" applyNumberFormat="0" applyProtection="0">
      <alignment horizontal="right" vertical="center"/>
    </xf>
    <xf numFmtId="0" fontId="1" fillId="0" borderId="0"/>
    <xf numFmtId="4" fontId="38" fillId="27" borderId="68" applyNumberFormat="0" applyProtection="0">
      <alignment horizontal="right" vertical="center"/>
    </xf>
    <xf numFmtId="4" fontId="38" fillId="24" borderId="68" applyNumberFormat="0" applyProtection="0">
      <alignment horizontal="right" vertical="center"/>
    </xf>
    <xf numFmtId="4" fontId="65" fillId="29" borderId="68" applyNumberFormat="0" applyProtection="0">
      <alignment horizontal="left" vertical="center" indent="1"/>
    </xf>
    <xf numFmtId="4" fontId="5" fillId="0" borderId="64" applyNumberFormat="0" applyProtection="0">
      <alignment horizontal="right" vertical="center"/>
    </xf>
    <xf numFmtId="4" fontId="111" fillId="15" borderId="64" applyNumberFormat="0" applyProtection="0">
      <alignment horizontal="right" vertical="center"/>
    </xf>
    <xf numFmtId="4" fontId="5" fillId="50" borderId="64" applyNumberFormat="0" applyProtection="0">
      <alignment horizontal="left" vertical="center" indent="1"/>
    </xf>
    <xf numFmtId="0" fontId="5" fillId="60" borderId="65" applyNumberFormat="0" applyProtection="0">
      <alignment horizontal="left" vertical="top" indent="1"/>
    </xf>
    <xf numFmtId="0" fontId="5" fillId="59" borderId="65" applyNumberFormat="0" applyProtection="0">
      <alignment horizontal="left" vertical="top" indent="1"/>
    </xf>
    <xf numFmtId="0" fontId="5" fillId="44" borderId="65" applyNumberFormat="0" applyProtection="0">
      <alignment horizontal="left" vertical="top" indent="1"/>
    </xf>
    <xf numFmtId="0" fontId="5" fillId="34" borderId="64" applyNumberFormat="0" applyProtection="0">
      <alignment horizontal="left" vertical="center" indent="1"/>
    </xf>
    <xf numFmtId="4" fontId="5" fillId="59" borderId="64" applyNumberFormat="0" applyProtection="0">
      <alignment horizontal="right" vertical="center"/>
    </xf>
    <xf numFmtId="4" fontId="5" fillId="0" borderId="64" applyNumberFormat="0" applyProtection="0">
      <alignment horizontal="right" vertical="center"/>
    </xf>
    <xf numFmtId="4" fontId="111" fillId="15" borderId="64" applyNumberFormat="0" applyProtection="0">
      <alignment horizontal="right" vertical="center"/>
    </xf>
    <xf numFmtId="0" fontId="5" fillId="61" borderId="64" applyNumberFormat="0" applyProtection="0">
      <alignment horizontal="left" vertical="center" indent="1"/>
    </xf>
    <xf numFmtId="0" fontId="5" fillId="44" borderId="64" applyNumberFormat="0" applyProtection="0">
      <alignment horizontal="left" vertical="center" indent="1"/>
    </xf>
    <xf numFmtId="0" fontId="5" fillId="62" borderId="64" applyNumberFormat="0" applyProtection="0">
      <alignment horizontal="left" vertical="center" indent="1"/>
    </xf>
    <xf numFmtId="4" fontId="112" fillId="63" borderId="64" applyNumberFormat="0" applyProtection="0">
      <alignment horizontal="right" vertical="center"/>
    </xf>
    <xf numFmtId="4" fontId="5" fillId="50" borderId="64" applyNumberFormat="0" applyProtection="0">
      <alignment horizontal="left" vertical="center" indent="1"/>
    </xf>
    <xf numFmtId="4" fontId="5" fillId="0" borderId="64" applyNumberFormat="0" applyProtection="0">
      <alignment horizontal="right" vertical="center"/>
    </xf>
    <xf numFmtId="0" fontId="5" fillId="34" borderId="64" applyNumberFormat="0" applyProtection="0">
      <alignment horizontal="left" vertical="center" indent="1"/>
    </xf>
    <xf numFmtId="0" fontId="5" fillId="59" borderId="65" applyNumberFormat="0" applyProtection="0">
      <alignment horizontal="left" vertical="top" indent="1"/>
    </xf>
    <xf numFmtId="4" fontId="112" fillId="63" borderId="64" applyNumberFormat="0" applyProtection="0">
      <alignment horizontal="right" vertical="center"/>
    </xf>
    <xf numFmtId="0" fontId="5" fillId="62" borderId="64" applyNumberFormat="0" applyProtection="0">
      <alignment horizontal="left" vertical="center" indent="1"/>
    </xf>
    <xf numFmtId="0" fontId="5" fillId="44" borderId="64" applyNumberFormat="0" applyProtection="0">
      <alignment horizontal="left" vertical="center" indent="1"/>
    </xf>
    <xf numFmtId="0" fontId="5" fillId="61" borderId="64" applyNumberFormat="0" applyProtection="0">
      <alignment horizontal="left" vertical="center" indent="1"/>
    </xf>
    <xf numFmtId="4" fontId="5" fillId="59" borderId="64" applyNumberFormat="0" applyProtection="0">
      <alignment horizontal="right" vertical="center"/>
    </xf>
    <xf numFmtId="0" fontId="94" fillId="58" borderId="67" applyNumberFormat="0" applyFont="0" applyAlignment="0" applyProtection="0"/>
    <xf numFmtId="0" fontId="5" fillId="44" borderId="65" applyNumberFormat="0" applyProtection="0">
      <alignment horizontal="left" vertical="top" indent="1"/>
    </xf>
    <xf numFmtId="0" fontId="5" fillId="60" borderId="65" applyNumberFormat="0" applyProtection="0">
      <alignment horizontal="left" vertical="top" indent="1"/>
    </xf>
    <xf numFmtId="0" fontId="94" fillId="58" borderId="67" applyNumberFormat="0" applyFont="0" applyAlignment="0" applyProtection="0"/>
    <xf numFmtId="168" fontId="11" fillId="0" borderId="0" applyFont="0" applyFill="0" applyBorder="0" applyAlignment="0" applyProtection="0"/>
    <xf numFmtId="203"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18" borderId="52" applyNumberFormat="0" applyProtection="0">
      <alignment horizontal="left" vertical="center" indent="1"/>
    </xf>
    <xf numFmtId="4" fontId="38" fillId="3" borderId="77" applyNumberFormat="0" applyProtection="0">
      <alignment horizontal="left" vertical="center" indent="1"/>
    </xf>
    <xf numFmtId="0" fontId="1" fillId="33" borderId="84" applyNumberFormat="0" applyProtection="0">
      <alignment horizontal="left" vertical="center" indent="1"/>
    </xf>
    <xf numFmtId="4" fontId="68" fillId="30" borderId="77" applyNumberFormat="0" applyProtection="0">
      <alignment horizontal="right" vertical="center"/>
    </xf>
    <xf numFmtId="0" fontId="1" fillId="19" borderId="77" applyNumberFormat="0" applyProtection="0">
      <alignment horizontal="left" vertical="center" indent="1"/>
    </xf>
    <xf numFmtId="0" fontId="1" fillId="19" borderId="77" applyNumberFormat="0" applyProtection="0">
      <alignment horizontal="left" vertical="center" indent="1"/>
    </xf>
    <xf numFmtId="4" fontId="64" fillId="30" borderId="77" applyNumberFormat="0" applyProtection="0">
      <alignment horizontal="right" vertical="center"/>
    </xf>
    <xf numFmtId="4" fontId="38" fillId="30" borderId="77" applyNumberFormat="0" applyProtection="0">
      <alignment horizontal="right" vertical="center"/>
    </xf>
    <xf numFmtId="4" fontId="38" fillId="3" borderId="77" applyNumberFormat="0" applyProtection="0">
      <alignment horizontal="left" vertical="center" indent="1"/>
    </xf>
    <xf numFmtId="4" fontId="64" fillId="3" borderId="77" applyNumberFormat="0" applyProtection="0">
      <alignment vertical="center"/>
    </xf>
    <xf numFmtId="4" fontId="38" fillId="3" borderId="77" applyNumberFormat="0" applyProtection="0">
      <alignment vertical="center"/>
    </xf>
    <xf numFmtId="0" fontId="1" fillId="19" borderId="77" applyNumberFormat="0" applyProtection="0">
      <alignment horizontal="left" vertical="center" indent="1"/>
    </xf>
    <xf numFmtId="0" fontId="1" fillId="19" borderId="77" applyNumberFormat="0" applyProtection="0">
      <alignment horizontal="left" vertical="center" indent="1"/>
    </xf>
    <xf numFmtId="0" fontId="1" fillId="2" borderId="77" applyNumberFormat="0" applyProtection="0">
      <alignment horizontal="left" vertical="center" indent="1"/>
    </xf>
    <xf numFmtId="0" fontId="1" fillId="2" borderId="77" applyNumberFormat="0" applyProtection="0">
      <alignment horizontal="left" vertical="center" indent="1"/>
    </xf>
    <xf numFmtId="0" fontId="1" fillId="33" borderId="77" applyNumberFormat="0" applyProtection="0">
      <alignment horizontal="left" vertical="center" indent="1"/>
    </xf>
    <xf numFmtId="0" fontId="1" fillId="33" borderId="77" applyNumberFormat="0" applyProtection="0">
      <alignment horizontal="left" vertical="center" indent="1"/>
    </xf>
    <xf numFmtId="0" fontId="1" fillId="32" borderId="77" applyNumberFormat="0" applyProtection="0">
      <alignment horizontal="left" vertical="center" indent="1"/>
    </xf>
    <xf numFmtId="0" fontId="1" fillId="32" borderId="77" applyNumberFormat="0" applyProtection="0">
      <alignment horizontal="left" vertical="center" indent="1"/>
    </xf>
    <xf numFmtId="4" fontId="38" fillId="32" borderId="77" applyNumberFormat="0" applyProtection="0">
      <alignment horizontal="left" vertical="center" indent="1"/>
    </xf>
    <xf numFmtId="4" fontId="38" fillId="30" borderId="77" applyNumberFormat="0" applyProtection="0">
      <alignment horizontal="left" vertical="center" indent="1"/>
    </xf>
    <xf numFmtId="0" fontId="1" fillId="19" borderId="77" applyNumberFormat="0" applyProtection="0">
      <alignment horizontal="left" vertical="center" indent="1"/>
    </xf>
    <xf numFmtId="4" fontId="38" fillId="30" borderId="79" applyNumberFormat="0" applyProtection="0">
      <alignment horizontal="left" vertical="center" indent="1"/>
    </xf>
    <xf numFmtId="4" fontId="65" fillId="29" borderId="77" applyNumberFormat="0" applyProtection="0">
      <alignment horizontal="left" vertical="center" indent="1"/>
    </xf>
    <xf numFmtId="4" fontId="38" fillId="23" borderId="77" applyNumberFormat="0" applyProtection="0">
      <alignment horizontal="right" vertical="center"/>
    </xf>
    <xf numFmtId="0" fontId="1" fillId="19" borderId="77" applyNumberFormat="0" applyProtection="0">
      <alignment horizontal="left" vertical="center" indent="1"/>
    </xf>
    <xf numFmtId="4" fontId="38" fillId="18" borderId="77" applyNumberFormat="0" applyProtection="0">
      <alignment horizontal="left" vertical="center" indent="1"/>
    </xf>
    <xf numFmtId="4" fontId="38" fillId="18" borderId="77" applyNumberFormat="0" applyProtection="0">
      <alignment horizontal="left" vertical="center" indent="1"/>
    </xf>
    <xf numFmtId="4" fontId="64" fillId="18" borderId="77" applyNumberFormat="0" applyProtection="0">
      <alignment vertical="center"/>
    </xf>
    <xf numFmtId="4" fontId="38" fillId="18" borderId="77" applyNumberFormat="0" applyProtection="0">
      <alignment vertical="center"/>
    </xf>
    <xf numFmtId="0" fontId="109" fillId="0" borderId="78" applyNumberFormat="0" applyFill="0" applyAlignment="0" applyProtection="0"/>
    <xf numFmtId="0" fontId="107" fillId="34" borderId="77" applyNumberFormat="0" applyAlignment="0" applyProtection="0"/>
    <xf numFmtId="4" fontId="38" fillId="28" borderId="77" applyNumberFormat="0" applyProtection="0">
      <alignment horizontal="right" vertical="center"/>
    </xf>
    <xf numFmtId="0" fontId="97" fillId="34" borderId="75" applyNumberFormat="0" applyAlignment="0" applyProtection="0"/>
    <xf numFmtId="0" fontId="1" fillId="32" borderId="84" applyNumberFormat="0" applyProtection="0">
      <alignment horizontal="left" vertical="center" indent="1"/>
    </xf>
    <xf numFmtId="4" fontId="38" fillId="24" borderId="77" applyNumberFormat="0" applyProtection="0">
      <alignment horizontal="right" vertical="center"/>
    </xf>
    <xf numFmtId="0" fontId="104" fillId="43" borderId="75" applyNumberFormat="0" applyAlignment="0" applyProtection="0"/>
    <xf numFmtId="4" fontId="38" fillId="26" borderId="84" applyNumberFormat="0" applyProtection="0">
      <alignment horizontal="right" vertical="center"/>
    </xf>
    <xf numFmtId="4" fontId="38" fillId="26" borderId="77" applyNumberFormat="0" applyProtection="0">
      <alignment horizontal="right" vertical="center"/>
    </xf>
    <xf numFmtId="0" fontId="1" fillId="58" borderId="76" applyNumberFormat="0" applyFont="0" applyAlignment="0" applyProtection="0"/>
    <xf numFmtId="4" fontId="38" fillId="27" borderId="77" applyNumberFormat="0" applyProtection="0">
      <alignment horizontal="right" vertical="center"/>
    </xf>
    <xf numFmtId="4" fontId="38" fillId="25" borderId="77" applyNumberFormat="0" applyProtection="0">
      <alignment horizontal="right" vertical="center"/>
    </xf>
    <xf numFmtId="4" fontId="38" fillId="22" borderId="77" applyNumberFormat="0" applyProtection="0">
      <alignment horizontal="right" vertical="center"/>
    </xf>
    <xf numFmtId="0" fontId="1" fillId="19" borderId="84" applyNumberFormat="0" applyProtection="0">
      <alignment horizontal="left" vertical="center" indent="1"/>
    </xf>
    <xf numFmtId="0" fontId="1" fillId="58" borderId="83" applyNumberFormat="0" applyFont="0" applyAlignment="0" applyProtection="0"/>
    <xf numFmtId="164" fontId="55" fillId="0" borderId="62">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0" fontId="1" fillId="0" borderId="0"/>
    <xf numFmtId="0" fontId="43" fillId="0" borderId="0"/>
    <xf numFmtId="0" fontId="1" fillId="19" borderId="98" applyNumberFormat="0" applyProtection="0">
      <alignment horizontal="left" vertical="center" indent="1"/>
    </xf>
    <xf numFmtId="0" fontId="11" fillId="0" borderId="0"/>
    <xf numFmtId="4" fontId="5" fillId="59" borderId="80" applyNumberFormat="0" applyProtection="0">
      <alignment horizontal="right" vertical="center"/>
    </xf>
    <xf numFmtId="0" fontId="5" fillId="34" borderId="80"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80" applyNumberFormat="0" applyProtection="0">
      <alignment horizontal="left" vertical="center" indent="1"/>
    </xf>
    <xf numFmtId="4" fontId="111" fillId="15" borderId="80" applyNumberFormat="0" applyProtection="0">
      <alignment horizontal="right" vertical="center"/>
    </xf>
    <xf numFmtId="4" fontId="5" fillId="0" borderId="80" applyNumberFormat="0" applyProtection="0">
      <alignment horizontal="right" vertical="center"/>
    </xf>
    <xf numFmtId="4" fontId="38" fillId="25" borderId="84" applyNumberFormat="0" applyProtection="0">
      <alignment horizontal="right" vertical="center"/>
    </xf>
    <xf numFmtId="165" fontId="79" fillId="36" borderId="62"/>
    <xf numFmtId="0" fontId="1" fillId="0" borderId="0"/>
    <xf numFmtId="164" fontId="77" fillId="30" borderId="62">
      <alignment vertical="top"/>
    </xf>
    <xf numFmtId="43" fontId="11" fillId="0" borderId="0" applyFont="0" applyFill="0" applyBorder="0" applyAlignment="0" applyProtection="0"/>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38" fillId="27" borderId="98" applyNumberFormat="0" applyProtection="0">
      <alignment horizontal="right" vertical="center"/>
    </xf>
    <xf numFmtId="0" fontId="1" fillId="2" borderId="52"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82">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72" applyNumberFormat="0" applyProtection="0">
      <alignment horizontal="right" vertical="center"/>
    </xf>
    <xf numFmtId="4" fontId="111" fillId="15" borderId="72" applyNumberFormat="0" applyProtection="0">
      <alignment horizontal="right" vertical="center"/>
    </xf>
    <xf numFmtId="4" fontId="5" fillId="50" borderId="72"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72" applyNumberFormat="0" applyProtection="0">
      <alignment horizontal="left" vertical="center" indent="1"/>
    </xf>
    <xf numFmtId="4" fontId="5" fillId="59" borderId="72" applyNumberFormat="0" applyProtection="0">
      <alignment horizontal="right" vertical="center"/>
    </xf>
    <xf numFmtId="4" fontId="5" fillId="0" borderId="72" applyNumberFormat="0" applyProtection="0">
      <alignment horizontal="right" vertical="center"/>
    </xf>
    <xf numFmtId="4" fontId="111" fillId="15" borderId="72" applyNumberFormat="0" applyProtection="0">
      <alignment horizontal="right" vertical="center"/>
    </xf>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4" fontId="5" fillId="50" borderId="72" applyNumberFormat="0" applyProtection="0">
      <alignment horizontal="left" vertical="center" indent="1"/>
    </xf>
    <xf numFmtId="4" fontId="5" fillId="0" borderId="72" applyNumberFormat="0" applyProtection="0">
      <alignment horizontal="right" vertical="center"/>
    </xf>
    <xf numFmtId="0" fontId="5" fillId="34" borderId="72" applyNumberFormat="0" applyProtection="0">
      <alignment horizontal="left" vertical="center" indent="1"/>
    </xf>
    <xf numFmtId="0" fontId="5" fillId="59" borderId="73" applyNumberFormat="0" applyProtection="0">
      <alignment horizontal="left" vertical="top" indent="1"/>
    </xf>
    <xf numFmtId="4" fontId="38" fillId="21" borderId="77" applyNumberFormat="0" applyProtection="0">
      <alignment horizontal="right" vertical="center"/>
    </xf>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4" fontId="5" fillId="59" borderId="72" applyNumberFormat="0" applyProtection="0">
      <alignment horizontal="right" vertical="center"/>
    </xf>
    <xf numFmtId="0" fontId="5" fillId="44" borderId="73" applyNumberFormat="0" applyProtection="0">
      <alignment horizontal="left" vertical="top" indent="1"/>
    </xf>
    <xf numFmtId="0" fontId="5" fillId="60" borderId="73" applyNumberFormat="0" applyProtection="0">
      <alignment horizontal="left" vertical="top" indent="1"/>
    </xf>
    <xf numFmtId="4" fontId="38" fillId="20" borderId="77" applyNumberFormat="0" applyProtection="0">
      <alignment horizontal="right" vertical="center"/>
    </xf>
    <xf numFmtId="0" fontId="2" fillId="0" borderId="74">
      <alignment horizontal="left" vertical="center"/>
    </xf>
    <xf numFmtId="4" fontId="5" fillId="0" borderId="80" applyNumberFormat="0" applyProtection="0">
      <alignment horizontal="right" vertical="center"/>
    </xf>
    <xf numFmtId="4" fontId="111" fillId="15" borderId="80" applyNumberFormat="0" applyProtection="0">
      <alignment horizontal="right" vertical="center"/>
    </xf>
    <xf numFmtId="0" fontId="5" fillId="61" borderId="80" applyNumberFormat="0" applyProtection="0">
      <alignment horizontal="left" vertical="center" indent="1"/>
    </xf>
    <xf numFmtId="0" fontId="5" fillId="44" borderId="80" applyNumberFormat="0" applyProtection="0">
      <alignment horizontal="left" vertical="center" indent="1"/>
    </xf>
    <xf numFmtId="0" fontId="5" fillId="62" borderId="80" applyNumberFormat="0" applyProtection="0">
      <alignment horizontal="left" vertical="center" indent="1"/>
    </xf>
    <xf numFmtId="4" fontId="112" fillId="63" borderId="80" applyNumberFormat="0" applyProtection="0">
      <alignment horizontal="right" vertical="center"/>
    </xf>
    <xf numFmtId="4" fontId="5" fillId="50" borderId="80" applyNumberFormat="0" applyProtection="0">
      <alignment horizontal="left" vertical="center" indent="1"/>
    </xf>
    <xf numFmtId="4" fontId="5" fillId="0" borderId="80" applyNumberFormat="0" applyProtection="0">
      <alignment horizontal="right" vertical="center"/>
    </xf>
    <xf numFmtId="0" fontId="5" fillId="34" borderId="80" applyNumberFormat="0" applyProtection="0">
      <alignment horizontal="left" vertical="center" indent="1"/>
    </xf>
    <xf numFmtId="0" fontId="5" fillId="59" borderId="81" applyNumberFormat="0" applyProtection="0">
      <alignment horizontal="left" vertical="top" indent="1"/>
    </xf>
    <xf numFmtId="4" fontId="38" fillId="30" borderId="79" applyNumberFormat="0" applyProtection="0">
      <alignment horizontal="left" vertical="center" indent="1"/>
    </xf>
    <xf numFmtId="4" fontId="112" fillId="63" borderId="80" applyNumberFormat="0" applyProtection="0">
      <alignment horizontal="right" vertical="center"/>
    </xf>
    <xf numFmtId="0" fontId="5" fillId="62" borderId="80" applyNumberFormat="0" applyProtection="0">
      <alignment horizontal="left" vertical="center" indent="1"/>
    </xf>
    <xf numFmtId="0" fontId="5" fillId="44" borderId="80" applyNumberFormat="0" applyProtection="0">
      <alignment horizontal="left" vertical="center" indent="1"/>
    </xf>
    <xf numFmtId="0" fontId="5" fillId="61" borderId="80" applyNumberFormat="0" applyProtection="0">
      <alignment horizontal="left" vertical="center" indent="1"/>
    </xf>
    <xf numFmtId="4" fontId="5" fillId="59" borderId="80" applyNumberFormat="0" applyProtection="0">
      <alignment horizontal="right" vertical="center"/>
    </xf>
    <xf numFmtId="0" fontId="94" fillId="58" borderId="76"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76"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80" applyNumberFormat="0" applyProtection="0">
      <alignment horizontal="right" vertical="center"/>
    </xf>
    <xf numFmtId="4" fontId="111" fillId="15" borderId="80" applyNumberFormat="0" applyProtection="0">
      <alignment horizontal="right" vertical="center"/>
    </xf>
    <xf numFmtId="4" fontId="5" fillId="50" borderId="80"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80" applyNumberFormat="0" applyProtection="0">
      <alignment horizontal="left" vertical="center" indent="1"/>
    </xf>
    <xf numFmtId="4" fontId="5" fillId="59" borderId="80" applyNumberFormat="0" applyProtection="0">
      <alignment horizontal="right" vertical="center"/>
    </xf>
    <xf numFmtId="4" fontId="5" fillId="0" borderId="80" applyNumberFormat="0" applyProtection="0">
      <alignment horizontal="right" vertical="center"/>
    </xf>
    <xf numFmtId="4" fontId="111" fillId="15" borderId="80" applyNumberFormat="0" applyProtection="0">
      <alignment horizontal="right" vertical="center"/>
    </xf>
    <xf numFmtId="0" fontId="5" fillId="61" borderId="80" applyNumberFormat="0" applyProtection="0">
      <alignment horizontal="left" vertical="center" indent="1"/>
    </xf>
    <xf numFmtId="0" fontId="5" fillId="44" borderId="80" applyNumberFormat="0" applyProtection="0">
      <alignment horizontal="left" vertical="center" indent="1"/>
    </xf>
    <xf numFmtId="0" fontId="5" fillId="62" borderId="80" applyNumberFormat="0" applyProtection="0">
      <alignment horizontal="left" vertical="center" indent="1"/>
    </xf>
    <xf numFmtId="4" fontId="112" fillId="63" borderId="80" applyNumberFormat="0" applyProtection="0">
      <alignment horizontal="right" vertical="center"/>
    </xf>
    <xf numFmtId="4" fontId="5" fillId="50" borderId="80" applyNumberFormat="0" applyProtection="0">
      <alignment horizontal="left" vertical="center" indent="1"/>
    </xf>
    <xf numFmtId="4" fontId="5" fillId="0" borderId="80" applyNumberFormat="0" applyProtection="0">
      <alignment horizontal="right" vertical="center"/>
    </xf>
    <xf numFmtId="0" fontId="5" fillId="34" borderId="80" applyNumberFormat="0" applyProtection="0">
      <alignment horizontal="left" vertical="center" indent="1"/>
    </xf>
    <xf numFmtId="0" fontId="5" fillId="59" borderId="81" applyNumberFormat="0" applyProtection="0">
      <alignment horizontal="left" vertical="top" indent="1"/>
    </xf>
    <xf numFmtId="4" fontId="112" fillId="63" borderId="80" applyNumberFormat="0" applyProtection="0">
      <alignment horizontal="right" vertical="center"/>
    </xf>
    <xf numFmtId="0" fontId="5" fillId="62" borderId="80" applyNumberFormat="0" applyProtection="0">
      <alignment horizontal="left" vertical="center" indent="1"/>
    </xf>
    <xf numFmtId="0" fontId="5" fillId="44" borderId="80" applyNumberFormat="0" applyProtection="0">
      <alignment horizontal="left" vertical="center" indent="1"/>
    </xf>
    <xf numFmtId="0" fontId="5" fillId="61" borderId="80" applyNumberFormat="0" applyProtection="0">
      <alignment horizontal="left" vertical="center" indent="1"/>
    </xf>
    <xf numFmtId="4" fontId="5" fillId="59" borderId="80" applyNumberFormat="0" applyProtection="0">
      <alignment horizontal="right" vertical="center"/>
    </xf>
    <xf numFmtId="0" fontId="94" fillId="58" borderId="83"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83" applyNumberFormat="0" applyFont="0" applyAlignment="0" applyProtection="0"/>
    <xf numFmtId="0" fontId="11" fillId="0" borderId="0"/>
    <xf numFmtId="0" fontId="104" fillId="43" borderId="102" applyNumberFormat="0" applyAlignment="0" applyProtection="0"/>
    <xf numFmtId="0" fontId="1" fillId="58" borderId="51" applyNumberFormat="0" applyFont="0" applyAlignment="0" applyProtection="0"/>
    <xf numFmtId="0" fontId="107" fillId="34" borderId="52" applyNumberFormat="0" applyAlignment="0" applyProtection="0"/>
    <xf numFmtId="43" fontId="1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90" fontId="50" fillId="0" borderId="101"/>
    <xf numFmtId="9" fontId="1" fillId="0" borderId="0" applyFont="0" applyFill="0" applyBorder="0" applyAlignment="0" applyProtection="0"/>
    <xf numFmtId="4" fontId="38" fillId="25" borderId="98" applyNumberFormat="0" applyProtection="0">
      <alignment horizontal="right" vertical="center"/>
    </xf>
    <xf numFmtId="0" fontId="109" fillId="0" borderId="53" applyNumberFormat="0" applyFill="0" applyAlignment="0" applyProtection="0"/>
    <xf numFmtId="4" fontId="38" fillId="18" borderId="98" applyNumberFormat="0" applyProtection="0">
      <alignment vertical="center"/>
    </xf>
    <xf numFmtId="9" fontId="43" fillId="0" borderId="0" applyFont="0" applyFill="0" applyBorder="0" applyAlignment="0" applyProtection="0"/>
    <xf numFmtId="4" fontId="5" fillId="0" borderId="72" applyNumberFormat="0" applyProtection="0">
      <alignment horizontal="right" vertical="center"/>
    </xf>
    <xf numFmtId="4" fontId="111" fillId="15" borderId="72" applyNumberFormat="0" applyProtection="0">
      <alignment horizontal="right" vertical="center"/>
    </xf>
    <xf numFmtId="0" fontId="18" fillId="0" borderId="0"/>
    <xf numFmtId="4" fontId="5" fillId="50" borderId="72"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72" applyNumberFormat="0" applyProtection="0">
      <alignment horizontal="left" vertical="center" indent="1"/>
    </xf>
    <xf numFmtId="4" fontId="5" fillId="59" borderId="72" applyNumberFormat="0" applyProtection="0">
      <alignment horizontal="right" vertical="center"/>
    </xf>
    <xf numFmtId="4" fontId="5" fillId="0" borderId="72" applyNumberFormat="0" applyProtection="0">
      <alignment horizontal="right" vertical="center"/>
    </xf>
    <xf numFmtId="4" fontId="111" fillId="15" borderId="72" applyNumberFormat="0" applyProtection="0">
      <alignment horizontal="right" vertical="center"/>
    </xf>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4" fontId="5" fillId="50" borderId="72" applyNumberFormat="0" applyProtection="0">
      <alignment horizontal="left" vertical="center" indent="1"/>
    </xf>
    <xf numFmtId="4" fontId="5" fillId="0" borderId="72" applyNumberFormat="0" applyProtection="0">
      <alignment horizontal="right" vertical="center"/>
    </xf>
    <xf numFmtId="0" fontId="5" fillId="34" borderId="72" applyNumberFormat="0" applyProtection="0">
      <alignment horizontal="left" vertical="center" indent="1"/>
    </xf>
    <xf numFmtId="0" fontId="5" fillId="59" borderId="73" applyNumberFormat="0" applyProtection="0">
      <alignment horizontal="left" vertical="top" indent="1"/>
    </xf>
    <xf numFmtId="168" fontId="1" fillId="0" borderId="0" applyFont="0" applyFill="0" applyBorder="0" applyAlignment="0" applyProtection="0"/>
    <xf numFmtId="168" fontId="1" fillId="0" borderId="0" applyFont="0" applyFill="0" applyBorder="0" applyAlignment="0" applyProtection="0"/>
    <xf numFmtId="9" fontId="43" fillId="0" borderId="0" applyFont="0" applyFill="0" applyBorder="0" applyAlignment="0" applyProtection="0"/>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0" fontId="1" fillId="19" borderId="98" applyNumberFormat="0" applyProtection="0">
      <alignment horizontal="left" vertical="center" indent="1"/>
    </xf>
    <xf numFmtId="4" fontId="5" fillId="59" borderId="72" applyNumberFormat="0" applyProtection="0">
      <alignment horizontal="right" vertical="center"/>
    </xf>
    <xf numFmtId="0" fontId="94" fillId="58" borderId="51" applyNumberFormat="0" applyFont="0" applyAlignment="0" applyProtection="0"/>
    <xf numFmtId="0" fontId="5" fillId="44" borderId="73" applyNumberFormat="0" applyProtection="0">
      <alignment horizontal="left" vertical="top" indent="1"/>
    </xf>
    <xf numFmtId="0" fontId="5" fillId="60" borderId="73" applyNumberFormat="0" applyProtection="0">
      <alignment horizontal="left" vertical="top" indent="1"/>
    </xf>
    <xf numFmtId="168" fontId="19" fillId="0" borderId="0" applyFont="0" applyFill="0" applyBorder="0" applyAlignment="0" applyProtection="0"/>
    <xf numFmtId="164" fontId="36" fillId="0" borderId="101" applyAlignment="0" applyProtection="0"/>
    <xf numFmtId="0" fontId="1" fillId="19" borderId="98" applyNumberFormat="0" applyProtection="0">
      <alignment horizontal="left" vertical="center" indent="1"/>
    </xf>
    <xf numFmtId="0" fontId="94" fillId="58" borderId="51" applyNumberFormat="0" applyFont="0" applyAlignment="0" applyProtection="0"/>
    <xf numFmtId="43" fontId="11" fillId="0" borderId="0" applyFont="0" applyFill="0" applyBorder="0" applyAlignment="0" applyProtection="0"/>
    <xf numFmtId="168" fontId="11" fillId="0" borderId="0" applyFont="0" applyFill="0" applyBorder="0" applyAlignment="0" applyProtection="0"/>
    <xf numFmtId="203"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3" borderId="91" applyNumberFormat="0" applyProtection="0">
      <alignment horizontal="left" vertical="center" indent="1"/>
    </xf>
    <xf numFmtId="0" fontId="1" fillId="33" borderId="98" applyNumberFormat="0" applyProtection="0">
      <alignment horizontal="left" vertical="center" indent="1"/>
    </xf>
    <xf numFmtId="4" fontId="68" fillId="30" borderId="91" applyNumberFormat="0" applyProtection="0">
      <alignment horizontal="right" vertical="center"/>
    </xf>
    <xf numFmtId="0" fontId="1" fillId="19" borderId="91" applyNumberFormat="0" applyProtection="0">
      <alignment horizontal="left" vertical="center" indent="1"/>
    </xf>
    <xf numFmtId="0" fontId="1" fillId="19" borderId="91" applyNumberFormat="0" applyProtection="0">
      <alignment horizontal="left" vertical="center" indent="1"/>
    </xf>
    <xf numFmtId="4" fontId="64" fillId="30" borderId="91" applyNumberFormat="0" applyProtection="0">
      <alignment horizontal="right" vertical="center"/>
    </xf>
    <xf numFmtId="4" fontId="38" fillId="30" borderId="91" applyNumberFormat="0" applyProtection="0">
      <alignment horizontal="right" vertical="center"/>
    </xf>
    <xf numFmtId="4" fontId="38" fillId="3" borderId="91" applyNumberFormat="0" applyProtection="0">
      <alignment horizontal="left" vertical="center" indent="1"/>
    </xf>
    <xf numFmtId="4" fontId="64" fillId="3" borderId="91" applyNumberFormat="0" applyProtection="0">
      <alignment vertical="center"/>
    </xf>
    <xf numFmtId="4" fontId="38" fillId="3" borderId="91" applyNumberFormat="0" applyProtection="0">
      <alignment vertical="center"/>
    </xf>
    <xf numFmtId="0" fontId="1" fillId="19" borderId="91" applyNumberFormat="0" applyProtection="0">
      <alignment horizontal="left" vertical="center" indent="1"/>
    </xf>
    <xf numFmtId="0" fontId="1" fillId="19" borderId="91" applyNumberFormat="0" applyProtection="0">
      <alignment horizontal="left" vertical="center" indent="1"/>
    </xf>
    <xf numFmtId="0" fontId="1" fillId="2" borderId="91" applyNumberFormat="0" applyProtection="0">
      <alignment horizontal="left" vertical="center" indent="1"/>
    </xf>
    <xf numFmtId="0" fontId="1" fillId="2" borderId="91" applyNumberFormat="0" applyProtection="0">
      <alignment horizontal="left" vertical="center" indent="1"/>
    </xf>
    <xf numFmtId="0" fontId="1" fillId="33" borderId="91" applyNumberFormat="0" applyProtection="0">
      <alignment horizontal="left" vertical="center" indent="1"/>
    </xf>
    <xf numFmtId="0" fontId="1" fillId="33" borderId="91" applyNumberFormat="0" applyProtection="0">
      <alignment horizontal="left" vertical="center" indent="1"/>
    </xf>
    <xf numFmtId="0" fontId="1" fillId="32" borderId="91" applyNumberFormat="0" applyProtection="0">
      <alignment horizontal="left" vertical="center" indent="1"/>
    </xf>
    <xf numFmtId="0" fontId="1" fillId="32" borderId="91" applyNumberFormat="0" applyProtection="0">
      <alignment horizontal="left" vertical="center" indent="1"/>
    </xf>
    <xf numFmtId="4" fontId="38" fillId="32" borderId="91" applyNumberFormat="0" applyProtection="0">
      <alignment horizontal="left" vertical="center" indent="1"/>
    </xf>
    <xf numFmtId="4" fontId="38" fillId="30" borderId="91" applyNumberFormat="0" applyProtection="0">
      <alignment horizontal="left" vertical="center" indent="1"/>
    </xf>
    <xf numFmtId="0" fontId="1" fillId="19" borderId="91" applyNumberFormat="0" applyProtection="0">
      <alignment horizontal="left" vertical="center" indent="1"/>
    </xf>
    <xf numFmtId="4" fontId="38" fillId="30" borderId="93" applyNumberFormat="0" applyProtection="0">
      <alignment horizontal="left" vertical="center" indent="1"/>
    </xf>
    <xf numFmtId="4" fontId="65" fillId="29" borderId="91" applyNumberFormat="0" applyProtection="0">
      <alignment horizontal="left" vertical="center" indent="1"/>
    </xf>
    <xf numFmtId="4" fontId="38" fillId="23" borderId="91" applyNumberFormat="0" applyProtection="0">
      <alignment horizontal="right" vertical="center"/>
    </xf>
    <xf numFmtId="0" fontId="1" fillId="19" borderId="91" applyNumberFormat="0" applyProtection="0">
      <alignment horizontal="left" vertical="center" indent="1"/>
    </xf>
    <xf numFmtId="4" fontId="38" fillId="18" borderId="91" applyNumberFormat="0" applyProtection="0">
      <alignment horizontal="left" vertical="center" indent="1"/>
    </xf>
    <xf numFmtId="4" fontId="38" fillId="18" borderId="91" applyNumberFormat="0" applyProtection="0">
      <alignment horizontal="left" vertical="center" indent="1"/>
    </xf>
    <xf numFmtId="4" fontId="64" fillId="18" borderId="91" applyNumberFormat="0" applyProtection="0">
      <alignment vertical="center"/>
    </xf>
    <xf numFmtId="4" fontId="38" fillId="18" borderId="91" applyNumberFormat="0" applyProtection="0">
      <alignment vertical="center"/>
    </xf>
    <xf numFmtId="0" fontId="109" fillId="0" borderId="92" applyNumberFormat="0" applyFill="0" applyAlignment="0" applyProtection="0"/>
    <xf numFmtId="0" fontId="107" fillId="34" borderId="91" applyNumberFormat="0" applyAlignment="0" applyProtection="0"/>
    <xf numFmtId="4" fontId="38" fillId="28" borderId="91" applyNumberFormat="0" applyProtection="0">
      <alignment horizontal="right" vertical="center"/>
    </xf>
    <xf numFmtId="0" fontId="97" fillId="34" borderId="89" applyNumberFormat="0" applyAlignment="0" applyProtection="0"/>
    <xf numFmtId="0" fontId="1" fillId="32" borderId="98" applyNumberFormat="0" applyProtection="0">
      <alignment horizontal="left" vertical="center" indent="1"/>
    </xf>
    <xf numFmtId="4" fontId="38" fillId="24" borderId="91" applyNumberFormat="0" applyProtection="0">
      <alignment horizontal="right" vertical="center"/>
    </xf>
    <xf numFmtId="0" fontId="104" fillId="43" borderId="89" applyNumberFormat="0" applyAlignment="0" applyProtection="0"/>
    <xf numFmtId="4" fontId="38" fillId="26" borderId="98" applyNumberFormat="0" applyProtection="0">
      <alignment horizontal="right" vertical="center"/>
    </xf>
    <xf numFmtId="4" fontId="38" fillId="26" borderId="91" applyNumberFormat="0" applyProtection="0">
      <alignment horizontal="right" vertical="center"/>
    </xf>
    <xf numFmtId="0" fontId="1" fillId="58" borderId="90" applyNumberFormat="0" applyFont="0" applyAlignment="0" applyProtection="0"/>
    <xf numFmtId="4" fontId="38" fillId="27" borderId="91" applyNumberFormat="0" applyProtection="0">
      <alignment horizontal="right" vertical="center"/>
    </xf>
    <xf numFmtId="4" fontId="38" fillId="25" borderId="91" applyNumberFormat="0" applyProtection="0">
      <alignment horizontal="right" vertical="center"/>
    </xf>
    <xf numFmtId="4" fontId="38" fillId="22" borderId="91" applyNumberFormat="0" applyProtection="0">
      <alignment horizontal="right" vertical="center"/>
    </xf>
    <xf numFmtId="0" fontId="1" fillId="19" borderId="98" applyNumberFormat="0" applyProtection="0">
      <alignment horizontal="left" vertical="center" indent="1"/>
    </xf>
    <xf numFmtId="0" fontId="1" fillId="58" borderId="97" applyNumberFormat="0" applyFont="0" applyAlignment="0" applyProtection="0"/>
    <xf numFmtId="164" fontId="55" fillId="0" borderId="87">
      <alignment horizontal="left" vertical="top"/>
    </xf>
    <xf numFmtId="0" fontId="1" fillId="19" borderId="98" applyNumberFormat="0" applyProtection="0">
      <alignment horizontal="left" vertical="center" indent="1"/>
    </xf>
    <xf numFmtId="4" fontId="38" fillId="32" borderId="98" applyNumberFormat="0" applyProtection="0">
      <alignment horizontal="left" vertical="center" indent="1"/>
    </xf>
    <xf numFmtId="0" fontId="1" fillId="32" borderId="98" applyNumberFormat="0" applyProtection="0">
      <alignment horizontal="left" vertical="center" indent="1"/>
    </xf>
    <xf numFmtId="0" fontId="1" fillId="2" borderId="98" applyNumberFormat="0" applyProtection="0">
      <alignment horizontal="left" vertical="center" indent="1"/>
    </xf>
    <xf numFmtId="4" fontId="38" fillId="3" borderId="98" applyNumberFormat="0" applyProtection="0">
      <alignment horizontal="left" vertical="center" indent="1"/>
    </xf>
    <xf numFmtId="0" fontId="107" fillId="34" borderId="98" applyNumberFormat="0" applyAlignment="0" applyProtection="0"/>
    <xf numFmtId="0" fontId="109" fillId="0" borderId="99" applyNumberFormat="0" applyFill="0" applyAlignment="0" applyProtection="0"/>
    <xf numFmtId="0" fontId="97" fillId="34" borderId="102" applyNumberFormat="0" applyAlignment="0" applyProtection="0"/>
    <xf numFmtId="4" fontId="5" fillId="59" borderId="94" applyNumberFormat="0" applyProtection="0">
      <alignment horizontal="right" vertical="center"/>
    </xf>
    <xf numFmtId="0" fontId="5" fillId="34" borderId="94" applyNumberFormat="0" applyProtection="0">
      <alignment horizontal="left" vertical="center" indent="1"/>
    </xf>
    <xf numFmtId="0" fontId="5" fillId="44" borderId="95" applyNumberFormat="0" applyProtection="0">
      <alignment horizontal="left" vertical="top" indent="1"/>
    </xf>
    <xf numFmtId="0" fontId="5" fillId="59" borderId="95" applyNumberFormat="0" applyProtection="0">
      <alignment horizontal="left" vertical="top" indent="1"/>
    </xf>
    <xf numFmtId="0" fontId="5" fillId="60" borderId="95" applyNumberFormat="0" applyProtection="0">
      <alignment horizontal="left" vertical="top" indent="1"/>
    </xf>
    <xf numFmtId="4" fontId="5" fillId="50" borderId="94" applyNumberFormat="0" applyProtection="0">
      <alignment horizontal="left" vertical="center" indent="1"/>
    </xf>
    <xf numFmtId="4" fontId="111" fillId="15" borderId="94" applyNumberFormat="0" applyProtection="0">
      <alignment horizontal="right" vertical="center"/>
    </xf>
    <xf numFmtId="4" fontId="5" fillId="0" borderId="94" applyNumberFormat="0" applyProtection="0">
      <alignment horizontal="right" vertical="center"/>
    </xf>
    <xf numFmtId="4" fontId="38" fillId="25" borderId="98" applyNumberFormat="0" applyProtection="0">
      <alignment horizontal="right" vertical="center"/>
    </xf>
    <xf numFmtId="165" fontId="79" fillId="36" borderId="87"/>
    <xf numFmtId="164" fontId="77" fillId="30" borderId="87">
      <alignment vertical="top"/>
    </xf>
    <xf numFmtId="168" fontId="29" fillId="0" borderId="0" applyFont="0" applyFill="0" applyBorder="0" applyAlignment="0" applyProtection="0"/>
    <xf numFmtId="43" fontId="11" fillId="0" borderId="0" applyFont="0" applyFill="0" applyBorder="0" applyAlignment="0" applyProtection="0"/>
    <xf numFmtId="0" fontId="1" fillId="33" borderId="98" applyNumberFormat="0" applyProtection="0">
      <alignment horizontal="left" vertical="center" indent="1"/>
    </xf>
    <xf numFmtId="0" fontId="1" fillId="2" borderId="98" applyNumberFormat="0" applyProtection="0">
      <alignment horizontal="left" vertical="center" indent="1"/>
    </xf>
    <xf numFmtId="0" fontId="1" fillId="19" borderId="98" applyNumberFormat="0" applyProtection="0">
      <alignment horizontal="left" vertical="center" indent="1"/>
    </xf>
    <xf numFmtId="0" fontId="1" fillId="19" borderId="98" applyNumberFormat="0" applyProtection="0">
      <alignment horizontal="left" vertical="center" indent="1"/>
    </xf>
    <xf numFmtId="4" fontId="38" fillId="3" borderId="98" applyNumberFormat="0" applyProtection="0">
      <alignment vertical="center"/>
    </xf>
    <xf numFmtId="4" fontId="64" fillId="3" borderId="98" applyNumberFormat="0" applyProtection="0">
      <alignment vertical="center"/>
    </xf>
    <xf numFmtId="4" fontId="38" fillId="3" borderId="98" applyNumberFormat="0" applyProtection="0">
      <alignment horizontal="left" vertical="center" indent="1"/>
    </xf>
    <xf numFmtId="4" fontId="38" fillId="30" borderId="98" applyNumberFormat="0" applyProtection="0">
      <alignment horizontal="right" vertical="center"/>
    </xf>
    <xf numFmtId="4" fontId="64" fillId="30" borderId="98" applyNumberFormat="0" applyProtection="0">
      <alignment horizontal="right" vertical="center"/>
    </xf>
    <xf numFmtId="0" fontId="1" fillId="19" borderId="98" applyNumberFormat="0" applyProtection="0">
      <alignment horizontal="left" vertical="center" indent="1"/>
    </xf>
    <xf numFmtId="4" fontId="68" fillId="30" borderId="98" applyNumberFormat="0" applyProtection="0">
      <alignment horizontal="right" vertical="center"/>
    </xf>
    <xf numFmtId="0" fontId="1" fillId="2" borderId="98" applyNumberFormat="0" applyProtection="0">
      <alignment horizontal="left" vertical="center" indent="1"/>
    </xf>
    <xf numFmtId="4" fontId="38" fillId="18" borderId="98" applyNumberFormat="0" applyProtection="0">
      <alignment horizontal="left" vertical="center" indent="1"/>
    </xf>
    <xf numFmtId="0" fontId="1" fillId="19" borderId="98" applyNumberFormat="0" applyProtection="0">
      <alignment horizontal="left" vertical="center" indent="1"/>
    </xf>
    <xf numFmtId="4" fontId="38" fillId="20" borderId="98" applyNumberFormat="0" applyProtection="0">
      <alignment horizontal="right" vertical="center"/>
    </xf>
    <xf numFmtId="4" fontId="38" fillId="21" borderId="98" applyNumberFormat="0" applyProtection="0">
      <alignment horizontal="right" vertical="center"/>
    </xf>
    <xf numFmtId="4" fontId="38" fillId="22" borderId="98" applyNumberFormat="0" applyProtection="0">
      <alignment horizontal="right" vertical="center"/>
    </xf>
    <xf numFmtId="0" fontId="2" fillId="0" borderId="96">
      <alignment horizontal="left" vertical="center"/>
    </xf>
    <xf numFmtId="4" fontId="38" fillId="23" borderId="98" applyNumberFormat="0" applyProtection="0">
      <alignment horizontal="right" vertical="center"/>
    </xf>
    <xf numFmtId="4" fontId="38" fillId="30" borderId="98" applyNumberFormat="0" applyProtection="0">
      <alignment horizontal="left" vertical="center" indent="1"/>
    </xf>
    <xf numFmtId="4" fontId="38" fillId="18" borderId="98" applyNumberFormat="0" applyProtection="0">
      <alignment vertical="center"/>
    </xf>
    <xf numFmtId="4" fontId="64" fillId="18" borderId="98" applyNumberFormat="0" applyProtection="0">
      <alignment vertical="center"/>
    </xf>
    <xf numFmtId="4" fontId="38" fillId="18" borderId="98" applyNumberFormat="0" applyProtection="0">
      <alignment horizontal="left" vertical="center" indent="1"/>
    </xf>
    <xf numFmtId="4" fontId="5" fillId="0" borderId="72" applyNumberFormat="0" applyProtection="0">
      <alignment horizontal="right" vertical="center"/>
    </xf>
    <xf numFmtId="4" fontId="111" fillId="15" borderId="72" applyNumberFormat="0" applyProtection="0">
      <alignment horizontal="right" vertical="center"/>
    </xf>
    <xf numFmtId="4" fontId="5" fillId="50" borderId="72"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72" applyNumberFormat="0" applyProtection="0">
      <alignment horizontal="left" vertical="center" indent="1"/>
    </xf>
    <xf numFmtId="4" fontId="5" fillId="59" borderId="72" applyNumberFormat="0" applyProtection="0">
      <alignment horizontal="right" vertical="center"/>
    </xf>
    <xf numFmtId="4" fontId="5" fillId="0" borderId="72" applyNumberFormat="0" applyProtection="0">
      <alignment horizontal="right" vertical="center"/>
    </xf>
    <xf numFmtId="4" fontId="111" fillId="15" borderId="72" applyNumberFormat="0" applyProtection="0">
      <alignment horizontal="right" vertical="center"/>
    </xf>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4" fontId="5" fillId="50" borderId="72" applyNumberFormat="0" applyProtection="0">
      <alignment horizontal="left" vertical="center" indent="1"/>
    </xf>
    <xf numFmtId="4" fontId="5" fillId="0" borderId="72" applyNumberFormat="0" applyProtection="0">
      <alignment horizontal="right" vertical="center"/>
    </xf>
    <xf numFmtId="0" fontId="5" fillId="34" borderId="72" applyNumberFormat="0" applyProtection="0">
      <alignment horizontal="left" vertical="center" indent="1"/>
    </xf>
    <xf numFmtId="0" fontId="5" fillId="59" borderId="73" applyNumberFormat="0" applyProtection="0">
      <alignment horizontal="left" vertical="top" indent="1"/>
    </xf>
    <xf numFmtId="4" fontId="38" fillId="21" borderId="91" applyNumberFormat="0" applyProtection="0">
      <alignment horizontal="right" vertical="center"/>
    </xf>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4" fontId="5" fillId="59" borderId="72" applyNumberFormat="0" applyProtection="0">
      <alignment horizontal="right" vertical="center"/>
    </xf>
    <xf numFmtId="0" fontId="5" fillId="44" borderId="73" applyNumberFormat="0" applyProtection="0">
      <alignment horizontal="left" vertical="top" indent="1"/>
    </xf>
    <xf numFmtId="0" fontId="5" fillId="60" borderId="73" applyNumberFormat="0" applyProtection="0">
      <alignment horizontal="left" vertical="top" indent="1"/>
    </xf>
    <xf numFmtId="4" fontId="38" fillId="20" borderId="91" applyNumberFormat="0" applyProtection="0">
      <alignment horizontal="right" vertical="center"/>
    </xf>
    <xf numFmtId="0" fontId="2" fillId="0" borderId="88">
      <alignment horizontal="left" vertical="center"/>
    </xf>
    <xf numFmtId="4" fontId="5" fillId="0" borderId="94" applyNumberFormat="0" applyProtection="0">
      <alignment horizontal="right" vertical="center"/>
    </xf>
    <xf numFmtId="4" fontId="111" fillId="15" borderId="94" applyNumberFormat="0" applyProtection="0">
      <alignment horizontal="right" vertical="center"/>
    </xf>
    <xf numFmtId="0" fontId="5" fillId="61" borderId="94" applyNumberFormat="0" applyProtection="0">
      <alignment horizontal="left" vertical="center" indent="1"/>
    </xf>
    <xf numFmtId="0" fontId="5" fillId="44" borderId="94" applyNumberFormat="0" applyProtection="0">
      <alignment horizontal="left" vertical="center" indent="1"/>
    </xf>
    <xf numFmtId="0" fontId="5" fillId="62" borderId="94" applyNumberFormat="0" applyProtection="0">
      <alignment horizontal="left" vertical="center" indent="1"/>
    </xf>
    <xf numFmtId="4" fontId="112" fillId="63" borderId="94" applyNumberFormat="0" applyProtection="0">
      <alignment horizontal="right" vertical="center"/>
    </xf>
    <xf numFmtId="4" fontId="5" fillId="50" borderId="94" applyNumberFormat="0" applyProtection="0">
      <alignment horizontal="left" vertical="center" indent="1"/>
    </xf>
    <xf numFmtId="4" fontId="5" fillId="0" borderId="94" applyNumberFormat="0" applyProtection="0">
      <alignment horizontal="right" vertical="center"/>
    </xf>
    <xf numFmtId="0" fontId="5" fillId="34" borderId="94" applyNumberFormat="0" applyProtection="0">
      <alignment horizontal="left" vertical="center" indent="1"/>
    </xf>
    <xf numFmtId="0" fontId="5" fillId="59" borderId="95" applyNumberFormat="0" applyProtection="0">
      <alignment horizontal="left" vertical="top" indent="1"/>
    </xf>
    <xf numFmtId="4" fontId="38" fillId="30" borderId="93" applyNumberFormat="0" applyProtection="0">
      <alignment horizontal="left" vertical="center" indent="1"/>
    </xf>
    <xf numFmtId="4" fontId="112" fillId="63" borderId="94" applyNumberFormat="0" applyProtection="0">
      <alignment horizontal="right" vertical="center"/>
    </xf>
    <xf numFmtId="0" fontId="5" fillId="62" borderId="94" applyNumberFormat="0" applyProtection="0">
      <alignment horizontal="left" vertical="center" indent="1"/>
    </xf>
    <xf numFmtId="0" fontId="5" fillId="44" borderId="94" applyNumberFormat="0" applyProtection="0">
      <alignment horizontal="left" vertical="center" indent="1"/>
    </xf>
    <xf numFmtId="0" fontId="5" fillId="61" borderId="94" applyNumberFormat="0" applyProtection="0">
      <alignment horizontal="left" vertical="center" indent="1"/>
    </xf>
    <xf numFmtId="4" fontId="5" fillId="59" borderId="94"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8" borderId="98" applyNumberFormat="0" applyProtection="0">
      <alignment horizontal="right" vertical="center"/>
    </xf>
    <xf numFmtId="0" fontId="94" fillId="58" borderId="90" applyNumberFormat="0" applyFont="0" applyAlignment="0" applyProtection="0"/>
    <xf numFmtId="4" fontId="38" fillId="27" borderId="98" applyNumberFormat="0" applyProtection="0">
      <alignment horizontal="right" vertical="center"/>
    </xf>
    <xf numFmtId="4" fontId="38" fillId="24" borderId="98" applyNumberFormat="0" applyProtection="0">
      <alignment horizontal="right" vertical="center"/>
    </xf>
    <xf numFmtId="4" fontId="65" fillId="29" borderId="98" applyNumberFormat="0" applyProtection="0">
      <alignment horizontal="left" vertical="center" indent="1"/>
    </xf>
    <xf numFmtId="4" fontId="5" fillId="0" borderId="94" applyNumberFormat="0" applyProtection="0">
      <alignment horizontal="right" vertical="center"/>
    </xf>
    <xf numFmtId="4" fontId="111" fillId="15" borderId="94" applyNumberFormat="0" applyProtection="0">
      <alignment horizontal="right" vertical="center"/>
    </xf>
    <xf numFmtId="4" fontId="5" fillId="50" borderId="94"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94" applyNumberFormat="0" applyProtection="0">
      <alignment horizontal="left" vertical="center" indent="1"/>
    </xf>
    <xf numFmtId="4" fontId="5" fillId="59" borderId="94" applyNumberFormat="0" applyProtection="0">
      <alignment horizontal="right" vertical="center"/>
    </xf>
    <xf numFmtId="4" fontId="5" fillId="0" borderId="94" applyNumberFormat="0" applyProtection="0">
      <alignment horizontal="right" vertical="center"/>
    </xf>
    <xf numFmtId="4" fontId="111" fillId="15" borderId="94" applyNumberFormat="0" applyProtection="0">
      <alignment horizontal="right" vertical="center"/>
    </xf>
    <xf numFmtId="0" fontId="5" fillId="61" borderId="94" applyNumberFormat="0" applyProtection="0">
      <alignment horizontal="left" vertical="center" indent="1"/>
    </xf>
    <xf numFmtId="0" fontId="5" fillId="44" borderId="94" applyNumberFormat="0" applyProtection="0">
      <alignment horizontal="left" vertical="center" indent="1"/>
    </xf>
    <xf numFmtId="0" fontId="5" fillId="62" borderId="94" applyNumberFormat="0" applyProtection="0">
      <alignment horizontal="left" vertical="center" indent="1"/>
    </xf>
    <xf numFmtId="4" fontId="112" fillId="63" borderId="94" applyNumberFormat="0" applyProtection="0">
      <alignment horizontal="right" vertical="center"/>
    </xf>
    <xf numFmtId="4" fontId="5" fillId="50" borderId="94" applyNumberFormat="0" applyProtection="0">
      <alignment horizontal="left" vertical="center" indent="1"/>
    </xf>
    <xf numFmtId="4" fontId="5" fillId="0" borderId="94" applyNumberFormat="0" applyProtection="0">
      <alignment horizontal="right" vertical="center"/>
    </xf>
    <xf numFmtId="0" fontId="5" fillId="34" borderId="94" applyNumberFormat="0" applyProtection="0">
      <alignment horizontal="left" vertical="center" indent="1"/>
    </xf>
    <xf numFmtId="0" fontId="5" fillId="59" borderId="95" applyNumberFormat="0" applyProtection="0">
      <alignment horizontal="left" vertical="top" indent="1"/>
    </xf>
    <xf numFmtId="4" fontId="112" fillId="63" borderId="94" applyNumberFormat="0" applyProtection="0">
      <alignment horizontal="right" vertical="center"/>
    </xf>
    <xf numFmtId="0" fontId="5" fillId="62" borderId="94" applyNumberFormat="0" applyProtection="0">
      <alignment horizontal="left" vertical="center" indent="1"/>
    </xf>
    <xf numFmtId="0" fontId="5" fillId="44" borderId="94" applyNumberFormat="0" applyProtection="0">
      <alignment horizontal="left" vertical="center" indent="1"/>
    </xf>
    <xf numFmtId="0" fontId="5" fillId="61" borderId="94" applyNumberFormat="0" applyProtection="0">
      <alignment horizontal="left" vertical="center" indent="1"/>
    </xf>
    <xf numFmtId="4" fontId="5" fillId="59" borderId="94" applyNumberFormat="0" applyProtection="0">
      <alignment horizontal="right" vertical="center"/>
    </xf>
    <xf numFmtId="0" fontId="94" fillId="58" borderId="97"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94" fillId="58" borderId="97" applyNumberFormat="0" applyFont="0" applyAlignment="0" applyProtection="0"/>
    <xf numFmtId="0" fontId="1" fillId="58" borderId="97" applyNumberFormat="0" applyFont="0" applyAlignment="0" applyProtection="0"/>
    <xf numFmtId="0" fontId="107" fillId="34" borderId="98" applyNumberFormat="0" applyAlignment="0" applyProtection="0"/>
    <xf numFmtId="9" fontId="1" fillId="0" borderId="0" applyFont="0" applyFill="0" applyBorder="0" applyAlignment="0" applyProtection="0"/>
    <xf numFmtId="190" fontId="50" fillId="0" borderId="101"/>
    <xf numFmtId="9" fontId="1" fillId="0" borderId="0" applyFont="0" applyFill="0" applyBorder="0" applyAlignment="0" applyProtection="0"/>
    <xf numFmtId="0" fontId="109" fillId="0" borderId="99" applyNumberFormat="0" applyFill="0" applyAlignment="0" applyProtection="0"/>
    <xf numFmtId="9" fontId="43" fillId="0" borderId="0" applyFont="0" applyFill="0" applyBorder="0" applyAlignment="0" applyProtection="0"/>
    <xf numFmtId="4" fontId="5" fillId="0" borderId="94" applyNumberFormat="0" applyProtection="0">
      <alignment horizontal="right" vertical="center"/>
    </xf>
    <xf numFmtId="4" fontId="111" fillId="15" borderId="94" applyNumberFormat="0" applyProtection="0">
      <alignment horizontal="right" vertical="center"/>
    </xf>
    <xf numFmtId="0" fontId="18" fillId="0" borderId="0"/>
    <xf numFmtId="4" fontId="5" fillId="50" borderId="94"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94" applyNumberFormat="0" applyProtection="0">
      <alignment horizontal="left" vertical="center" indent="1"/>
    </xf>
    <xf numFmtId="4" fontId="5" fillId="59" borderId="94" applyNumberFormat="0" applyProtection="0">
      <alignment horizontal="right" vertical="center"/>
    </xf>
    <xf numFmtId="4" fontId="5" fillId="0" borderId="94" applyNumberFormat="0" applyProtection="0">
      <alignment horizontal="right" vertical="center"/>
    </xf>
    <xf numFmtId="4" fontId="111" fillId="15" borderId="94" applyNumberFormat="0" applyProtection="0">
      <alignment horizontal="right" vertical="center"/>
    </xf>
    <xf numFmtId="0" fontId="5" fillId="61" borderId="94" applyNumberFormat="0" applyProtection="0">
      <alignment horizontal="left" vertical="center" indent="1"/>
    </xf>
    <xf numFmtId="0" fontId="5" fillId="44" borderId="94" applyNumberFormat="0" applyProtection="0">
      <alignment horizontal="left" vertical="center" indent="1"/>
    </xf>
    <xf numFmtId="0" fontId="5" fillId="62" borderId="94" applyNumberFormat="0" applyProtection="0">
      <alignment horizontal="left" vertical="center" indent="1"/>
    </xf>
    <xf numFmtId="4" fontId="112" fillId="63" borderId="94" applyNumberFormat="0" applyProtection="0">
      <alignment horizontal="right" vertical="center"/>
    </xf>
    <xf numFmtId="4" fontId="5" fillId="50" borderId="94" applyNumberFormat="0" applyProtection="0">
      <alignment horizontal="left" vertical="center" indent="1"/>
    </xf>
    <xf numFmtId="4" fontId="5" fillId="0" borderId="94" applyNumberFormat="0" applyProtection="0">
      <alignment horizontal="right" vertical="center"/>
    </xf>
    <xf numFmtId="0" fontId="5" fillId="34" borderId="94" applyNumberFormat="0" applyProtection="0">
      <alignment horizontal="left" vertical="center" indent="1"/>
    </xf>
    <xf numFmtId="0" fontId="5" fillId="59" borderId="95" applyNumberFormat="0" applyProtection="0">
      <alignment horizontal="left" vertical="top" indent="1"/>
    </xf>
    <xf numFmtId="168" fontId="1" fillId="0" borderId="0" applyFont="0" applyFill="0" applyBorder="0" applyAlignment="0" applyProtection="0"/>
    <xf numFmtId="168" fontId="1" fillId="0" borderId="0" applyFont="0" applyFill="0" applyBorder="0" applyAlignment="0" applyProtection="0"/>
    <xf numFmtId="9" fontId="43" fillId="0" borderId="0" applyFont="0" applyFill="0" applyBorder="0" applyAlignment="0" applyProtection="0"/>
    <xf numFmtId="4" fontId="112" fillId="63" borderId="94" applyNumberFormat="0" applyProtection="0">
      <alignment horizontal="right" vertical="center"/>
    </xf>
    <xf numFmtId="0" fontId="5" fillId="62" borderId="94" applyNumberFormat="0" applyProtection="0">
      <alignment horizontal="left" vertical="center" indent="1"/>
    </xf>
    <xf numFmtId="0" fontId="5" fillId="44" borderId="94" applyNumberFormat="0" applyProtection="0">
      <alignment horizontal="left" vertical="center" indent="1"/>
    </xf>
    <xf numFmtId="0" fontId="5" fillId="61" borderId="94" applyNumberFormat="0" applyProtection="0">
      <alignment horizontal="left" vertical="center" indent="1"/>
    </xf>
    <xf numFmtId="0" fontId="1" fillId="19" borderId="98" applyNumberFormat="0" applyProtection="0">
      <alignment horizontal="left" vertical="center" indent="1"/>
    </xf>
    <xf numFmtId="4" fontId="5" fillId="59" borderId="94" applyNumberFormat="0" applyProtection="0">
      <alignment horizontal="right" vertical="center"/>
    </xf>
    <xf numFmtId="0" fontId="94" fillId="58" borderId="97"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168" fontId="19" fillId="0" borderId="0" applyFont="0" applyFill="0" applyBorder="0" applyAlignment="0" applyProtection="0"/>
    <xf numFmtId="164" fontId="36" fillId="0" borderId="118" applyAlignment="0" applyProtection="0"/>
    <xf numFmtId="0" fontId="1" fillId="19" borderId="98" applyNumberFormat="0" applyProtection="0">
      <alignment horizontal="left" vertical="center" indent="1"/>
    </xf>
    <xf numFmtId="0" fontId="94" fillId="58" borderId="97" applyNumberFormat="0" applyFont="0" applyAlignment="0" applyProtection="0"/>
    <xf numFmtId="43" fontId="11" fillId="0" borderId="0" applyFont="0" applyFill="0" applyBorder="0" applyAlignment="0" applyProtection="0"/>
    <xf numFmtId="168" fontId="11" fillId="0" borderId="0" applyFont="0" applyFill="0" applyBorder="0" applyAlignment="0" applyProtection="0"/>
    <xf numFmtId="0" fontId="97" fillId="34" borderId="102" applyNumberFormat="0" applyAlignment="0" applyProtection="0"/>
    <xf numFmtId="203"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3" borderId="98" applyNumberFormat="0" applyProtection="0">
      <alignment horizontal="left" vertical="center" indent="1"/>
    </xf>
    <xf numFmtId="0" fontId="1" fillId="33" borderId="98" applyNumberFormat="0" applyProtection="0">
      <alignment horizontal="left" vertical="center" indent="1"/>
    </xf>
    <xf numFmtId="4" fontId="68" fillId="30" borderId="98" applyNumberFormat="0" applyProtection="0">
      <alignment horizontal="righ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4" fontId="64" fillId="30" borderId="98" applyNumberFormat="0" applyProtection="0">
      <alignment horizontal="right" vertical="center"/>
    </xf>
    <xf numFmtId="4" fontId="38" fillId="30" borderId="98" applyNumberFormat="0" applyProtection="0">
      <alignment horizontal="right" vertical="center"/>
    </xf>
    <xf numFmtId="4" fontId="38" fillId="3" borderId="98" applyNumberFormat="0" applyProtection="0">
      <alignment horizontal="left" vertical="center" indent="1"/>
    </xf>
    <xf numFmtId="4" fontId="64" fillId="3" borderId="98" applyNumberFormat="0" applyProtection="0">
      <alignment vertical="center"/>
    </xf>
    <xf numFmtId="4" fontId="38" fillId="3" borderId="98" applyNumberFormat="0" applyProtection="0">
      <alignmen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0" fontId="1" fillId="2" borderId="98" applyNumberFormat="0" applyProtection="0">
      <alignment horizontal="left" vertical="center" indent="1"/>
    </xf>
    <xf numFmtId="0" fontId="1" fillId="2" borderId="98" applyNumberFormat="0" applyProtection="0">
      <alignment horizontal="left" vertical="center" indent="1"/>
    </xf>
    <xf numFmtId="0" fontId="1" fillId="33" borderId="98" applyNumberFormat="0" applyProtection="0">
      <alignment horizontal="left" vertical="center" indent="1"/>
    </xf>
    <xf numFmtId="0" fontId="1" fillId="33" borderId="98" applyNumberFormat="0" applyProtection="0">
      <alignment horizontal="left" vertical="center" indent="1"/>
    </xf>
    <xf numFmtId="0" fontId="1" fillId="32" borderId="98" applyNumberFormat="0" applyProtection="0">
      <alignment horizontal="left" vertical="center" indent="1"/>
    </xf>
    <xf numFmtId="0" fontId="1" fillId="32" borderId="98" applyNumberFormat="0" applyProtection="0">
      <alignment horizontal="left" vertical="center" indent="1"/>
    </xf>
    <xf numFmtId="4" fontId="38" fillId="32" borderId="98" applyNumberFormat="0" applyProtection="0">
      <alignment horizontal="left" vertical="center" indent="1"/>
    </xf>
    <xf numFmtId="4" fontId="38" fillId="30" borderId="98" applyNumberFormat="0" applyProtection="0">
      <alignment horizontal="left" vertical="center" indent="1"/>
    </xf>
    <xf numFmtId="0" fontId="1" fillId="19" borderId="98" applyNumberFormat="0" applyProtection="0">
      <alignment horizontal="left" vertical="center" indent="1"/>
    </xf>
    <xf numFmtId="4" fontId="38" fillId="30" borderId="93" applyNumberFormat="0" applyProtection="0">
      <alignment horizontal="left" vertical="center" indent="1"/>
    </xf>
    <xf numFmtId="4" fontId="65" fillId="29" borderId="98" applyNumberFormat="0" applyProtection="0">
      <alignment horizontal="left" vertical="center" indent="1"/>
    </xf>
    <xf numFmtId="4" fontId="38" fillId="23" borderId="98" applyNumberFormat="0" applyProtection="0">
      <alignment horizontal="right" vertical="center"/>
    </xf>
    <xf numFmtId="0" fontId="1" fillId="19" borderId="98" applyNumberFormat="0" applyProtection="0">
      <alignment horizontal="left" vertical="center" indent="1"/>
    </xf>
    <xf numFmtId="4" fontId="38" fillId="18" borderId="98" applyNumberFormat="0" applyProtection="0">
      <alignment horizontal="left" vertical="center" indent="1"/>
    </xf>
    <xf numFmtId="4" fontId="38" fillId="18" borderId="98" applyNumberFormat="0" applyProtection="0">
      <alignment horizontal="left" vertical="center" indent="1"/>
    </xf>
    <xf numFmtId="4" fontId="64" fillId="18" borderId="98" applyNumberFormat="0" applyProtection="0">
      <alignment vertical="center"/>
    </xf>
    <xf numFmtId="4" fontId="38" fillId="18" borderId="98" applyNumberFormat="0" applyProtection="0">
      <alignment vertical="center"/>
    </xf>
    <xf numFmtId="0" fontId="109" fillId="0" borderId="99" applyNumberFormat="0" applyFill="0" applyAlignment="0" applyProtection="0"/>
    <xf numFmtId="0" fontId="107" fillId="34" borderId="98" applyNumberFormat="0" applyAlignment="0" applyProtection="0"/>
    <xf numFmtId="4" fontId="38" fillId="28" borderId="98" applyNumberFormat="0" applyProtection="0">
      <alignment horizontal="right" vertical="center"/>
    </xf>
    <xf numFmtId="0" fontId="97" fillId="34" borderId="102" applyNumberFormat="0" applyAlignment="0" applyProtection="0"/>
    <xf numFmtId="0" fontId="1" fillId="32" borderId="98" applyNumberFormat="0" applyProtection="0">
      <alignment horizontal="left" vertical="center" indent="1"/>
    </xf>
    <xf numFmtId="4" fontId="38" fillId="24" borderId="98" applyNumberFormat="0" applyProtection="0">
      <alignment horizontal="right" vertical="center"/>
    </xf>
    <xf numFmtId="0" fontId="104" fillId="43" borderId="102" applyNumberFormat="0" applyAlignment="0" applyProtection="0"/>
    <xf numFmtId="4" fontId="38" fillId="26" borderId="98" applyNumberFormat="0" applyProtection="0">
      <alignment horizontal="right" vertical="center"/>
    </xf>
    <xf numFmtId="4" fontId="38" fillId="26" borderId="98" applyNumberFormat="0" applyProtection="0">
      <alignment horizontal="right" vertical="center"/>
    </xf>
    <xf numFmtId="0" fontId="1" fillId="58" borderId="90" applyNumberFormat="0" applyFont="0" applyAlignment="0" applyProtection="0"/>
    <xf numFmtId="4" fontId="38" fillId="27" borderId="98" applyNumberFormat="0" applyProtection="0">
      <alignment horizontal="right" vertical="center"/>
    </xf>
    <xf numFmtId="4" fontId="38" fillId="25" borderId="98" applyNumberFormat="0" applyProtection="0">
      <alignment horizontal="right" vertical="center"/>
    </xf>
    <xf numFmtId="4" fontId="38" fillId="22" borderId="98" applyNumberFormat="0" applyProtection="0">
      <alignment horizontal="right" vertical="center"/>
    </xf>
    <xf numFmtId="0" fontId="1" fillId="19" borderId="98" applyNumberFormat="0" applyProtection="0">
      <alignment horizontal="left" vertical="center" indent="1"/>
    </xf>
    <xf numFmtId="0" fontId="1" fillId="58" borderId="90" applyNumberFormat="0" applyFont="0" applyAlignment="0" applyProtection="0"/>
    <xf numFmtId="164" fontId="55" fillId="0" borderId="103">
      <alignment horizontal="left" vertical="top"/>
    </xf>
    <xf numFmtId="0" fontId="1" fillId="19" borderId="98" applyNumberFormat="0" applyProtection="0">
      <alignment horizontal="left" vertical="center" indent="1"/>
    </xf>
    <xf numFmtId="4" fontId="38" fillId="32" borderId="98" applyNumberFormat="0" applyProtection="0">
      <alignment horizontal="left" vertical="center" indent="1"/>
    </xf>
    <xf numFmtId="0" fontId="1" fillId="32" borderId="98" applyNumberFormat="0" applyProtection="0">
      <alignment horizontal="left" vertical="center" indent="1"/>
    </xf>
    <xf numFmtId="0" fontId="1" fillId="2" borderId="98" applyNumberFormat="0" applyProtection="0">
      <alignment horizontal="left" vertical="center" indent="1"/>
    </xf>
    <xf numFmtId="4" fontId="38" fillId="3" borderId="98" applyNumberFormat="0" applyProtection="0">
      <alignment horizontal="left" vertical="center" indent="1"/>
    </xf>
    <xf numFmtId="0" fontId="107" fillId="34" borderId="98" applyNumberFormat="0" applyAlignment="0" applyProtection="0"/>
    <xf numFmtId="0" fontId="109" fillId="0" borderId="99" applyNumberFormat="0" applyFill="0" applyAlignment="0" applyProtection="0"/>
    <xf numFmtId="4" fontId="5" fillId="59" borderId="105" applyNumberFormat="0" applyProtection="0">
      <alignment horizontal="right" vertical="center"/>
    </xf>
    <xf numFmtId="0" fontId="5" fillId="34" borderId="105" applyNumberFormat="0" applyProtection="0">
      <alignment horizontal="left" vertical="center" indent="1"/>
    </xf>
    <xf numFmtId="0" fontId="5" fillId="44" borderId="95" applyNumberFormat="0" applyProtection="0">
      <alignment horizontal="left" vertical="top" indent="1"/>
    </xf>
    <xf numFmtId="0" fontId="5" fillId="59" borderId="95" applyNumberFormat="0" applyProtection="0">
      <alignment horizontal="left" vertical="top" indent="1"/>
    </xf>
    <xf numFmtId="0" fontId="5" fillId="60" borderId="95" applyNumberFormat="0" applyProtection="0">
      <alignment horizontal="left" vertical="top" indent="1"/>
    </xf>
    <xf numFmtId="4" fontId="5" fillId="50" borderId="105" applyNumberFormat="0" applyProtection="0">
      <alignment horizontal="left" vertical="center" indent="1"/>
    </xf>
    <xf numFmtId="4" fontId="111" fillId="15" borderId="105" applyNumberFormat="0" applyProtection="0">
      <alignment horizontal="right" vertical="center"/>
    </xf>
    <xf numFmtId="4" fontId="5" fillId="0" borderId="105" applyNumberFormat="0" applyProtection="0">
      <alignment horizontal="right" vertical="center"/>
    </xf>
    <xf numFmtId="4" fontId="38" fillId="25" borderId="98" applyNumberFormat="0" applyProtection="0">
      <alignment horizontal="right" vertical="center"/>
    </xf>
    <xf numFmtId="165" fontId="79" fillId="36" borderId="103"/>
    <xf numFmtId="164" fontId="77" fillId="30" borderId="103">
      <alignment vertical="top"/>
    </xf>
    <xf numFmtId="0" fontId="2" fillId="0" borderId="88">
      <alignment horizontal="left" vertical="center"/>
    </xf>
    <xf numFmtId="0" fontId="1" fillId="33" borderId="98" applyNumberFormat="0" applyProtection="0">
      <alignment horizontal="left" vertical="center" indent="1"/>
    </xf>
    <xf numFmtId="0" fontId="1" fillId="2" borderId="98" applyNumberFormat="0" applyProtection="0">
      <alignment horizontal="left" vertical="center" indent="1"/>
    </xf>
    <xf numFmtId="0" fontId="1" fillId="19" borderId="98" applyNumberFormat="0" applyProtection="0">
      <alignment horizontal="left" vertical="center" indent="1"/>
    </xf>
    <xf numFmtId="0" fontId="1" fillId="19" borderId="98" applyNumberFormat="0" applyProtection="0">
      <alignment horizontal="left" vertical="center" indent="1"/>
    </xf>
    <xf numFmtId="4" fontId="38" fillId="3" borderId="98" applyNumberFormat="0" applyProtection="0">
      <alignment vertical="center"/>
    </xf>
    <xf numFmtId="4" fontId="64" fillId="3" borderId="98" applyNumberFormat="0" applyProtection="0">
      <alignment vertical="center"/>
    </xf>
    <xf numFmtId="4" fontId="38" fillId="3" borderId="98" applyNumberFormat="0" applyProtection="0">
      <alignment horizontal="left" vertical="center" indent="1"/>
    </xf>
    <xf numFmtId="4" fontId="38" fillId="30" borderId="98" applyNumberFormat="0" applyProtection="0">
      <alignment horizontal="right" vertical="center"/>
    </xf>
    <xf numFmtId="4" fontId="64" fillId="30" borderId="98" applyNumberFormat="0" applyProtection="0">
      <alignment horizontal="right" vertical="center"/>
    </xf>
    <xf numFmtId="0" fontId="1" fillId="19" borderId="98" applyNumberFormat="0" applyProtection="0">
      <alignment horizontal="left" vertical="center" indent="1"/>
    </xf>
    <xf numFmtId="4" fontId="68" fillId="30" borderId="98" applyNumberFormat="0" applyProtection="0">
      <alignment horizontal="right" vertical="center"/>
    </xf>
    <xf numFmtId="0" fontId="1" fillId="2" borderId="98" applyNumberFormat="0" applyProtection="0">
      <alignment horizontal="left" vertical="center" indent="1"/>
    </xf>
    <xf numFmtId="4" fontId="38" fillId="18" borderId="98" applyNumberFormat="0" applyProtection="0">
      <alignment horizontal="left" vertical="center" indent="1"/>
    </xf>
    <xf numFmtId="0" fontId="1" fillId="19" borderId="98" applyNumberFormat="0" applyProtection="0">
      <alignment horizontal="left" vertical="center" indent="1"/>
    </xf>
    <xf numFmtId="4" fontId="38" fillId="20" borderId="98" applyNumberFormat="0" applyProtection="0">
      <alignment horizontal="right" vertical="center"/>
    </xf>
    <xf numFmtId="4" fontId="38" fillId="21" borderId="98" applyNumberFormat="0" applyProtection="0">
      <alignment horizontal="right" vertical="center"/>
    </xf>
    <xf numFmtId="4" fontId="38" fillId="22" borderId="98" applyNumberFormat="0" applyProtection="0">
      <alignment horizontal="right" vertical="center"/>
    </xf>
    <xf numFmtId="0" fontId="2" fillId="0" borderId="106">
      <alignment horizontal="left" vertical="center"/>
    </xf>
    <xf numFmtId="4" fontId="38" fillId="23" borderId="98" applyNumberFormat="0" applyProtection="0">
      <alignment horizontal="right" vertical="center"/>
    </xf>
    <xf numFmtId="4" fontId="38" fillId="30" borderId="98" applyNumberFormat="0" applyProtection="0">
      <alignment horizontal="left" vertical="center" indent="1"/>
    </xf>
    <xf numFmtId="4" fontId="38" fillId="18" borderId="98" applyNumberFormat="0" applyProtection="0">
      <alignment vertical="center"/>
    </xf>
    <xf numFmtId="4" fontId="64" fillId="18" borderId="98" applyNumberFormat="0" applyProtection="0">
      <alignment vertical="center"/>
    </xf>
    <xf numFmtId="4" fontId="38" fillId="18" borderId="98" applyNumberFormat="0" applyProtection="0">
      <alignment horizontal="left" vertical="center" indent="1"/>
    </xf>
    <xf numFmtId="4" fontId="5" fillId="0" borderId="104" applyNumberFormat="0" applyProtection="0">
      <alignment horizontal="right" vertical="center"/>
    </xf>
    <xf numFmtId="4" fontId="111" fillId="15" borderId="104" applyNumberFormat="0" applyProtection="0">
      <alignment horizontal="right" vertical="center"/>
    </xf>
    <xf numFmtId="4" fontId="5" fillId="50" borderId="104"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104" applyNumberFormat="0" applyProtection="0">
      <alignment horizontal="left" vertical="center" indent="1"/>
    </xf>
    <xf numFmtId="4" fontId="5" fillId="59" borderId="104" applyNumberFormat="0" applyProtection="0">
      <alignment horizontal="right" vertical="center"/>
    </xf>
    <xf numFmtId="4" fontId="5" fillId="0" borderId="104" applyNumberFormat="0" applyProtection="0">
      <alignment horizontal="right" vertical="center"/>
    </xf>
    <xf numFmtId="4" fontId="111" fillId="15" borderId="104" applyNumberFormat="0" applyProtection="0">
      <alignment horizontal="right" vertical="center"/>
    </xf>
    <xf numFmtId="0" fontId="5" fillId="61" borderId="104" applyNumberFormat="0" applyProtection="0">
      <alignment horizontal="left" vertical="center" indent="1"/>
    </xf>
    <xf numFmtId="0" fontId="5" fillId="44" borderId="104" applyNumberFormat="0" applyProtection="0">
      <alignment horizontal="left" vertical="center" indent="1"/>
    </xf>
    <xf numFmtId="0" fontId="5" fillId="62" borderId="104" applyNumberFormat="0" applyProtection="0">
      <alignment horizontal="left" vertical="center" indent="1"/>
    </xf>
    <xf numFmtId="4" fontId="112" fillId="63" borderId="104" applyNumberFormat="0" applyProtection="0">
      <alignment horizontal="right" vertical="center"/>
    </xf>
    <xf numFmtId="4" fontId="5" fillId="50" borderId="104" applyNumberFormat="0" applyProtection="0">
      <alignment horizontal="left" vertical="center" indent="1"/>
    </xf>
    <xf numFmtId="4" fontId="5" fillId="0" borderId="104" applyNumberFormat="0" applyProtection="0">
      <alignment horizontal="right" vertical="center"/>
    </xf>
    <xf numFmtId="0" fontId="5" fillId="34" borderId="104" applyNumberFormat="0" applyProtection="0">
      <alignment horizontal="left" vertical="center" indent="1"/>
    </xf>
    <xf numFmtId="0" fontId="5" fillId="59" borderId="73" applyNumberFormat="0" applyProtection="0">
      <alignment horizontal="left" vertical="top" indent="1"/>
    </xf>
    <xf numFmtId="4" fontId="38" fillId="21" borderId="98" applyNumberFormat="0" applyProtection="0">
      <alignment horizontal="right" vertical="center"/>
    </xf>
    <xf numFmtId="4" fontId="112" fillId="63" borderId="104" applyNumberFormat="0" applyProtection="0">
      <alignment horizontal="right" vertical="center"/>
    </xf>
    <xf numFmtId="0" fontId="5" fillId="62" borderId="104" applyNumberFormat="0" applyProtection="0">
      <alignment horizontal="left" vertical="center" indent="1"/>
    </xf>
    <xf numFmtId="0" fontId="5" fillId="44" borderId="104" applyNumberFormat="0" applyProtection="0">
      <alignment horizontal="left" vertical="center" indent="1"/>
    </xf>
    <xf numFmtId="0" fontId="5" fillId="61" borderId="104" applyNumberFormat="0" applyProtection="0">
      <alignment horizontal="left" vertical="center" indent="1"/>
    </xf>
    <xf numFmtId="4" fontId="5" fillId="59" borderId="104" applyNumberFormat="0" applyProtection="0">
      <alignment horizontal="right" vertical="center"/>
    </xf>
    <xf numFmtId="0" fontId="5" fillId="44" borderId="73" applyNumberFormat="0" applyProtection="0">
      <alignment horizontal="left" vertical="top" indent="1"/>
    </xf>
    <xf numFmtId="0" fontId="5" fillId="60" borderId="73" applyNumberFormat="0" applyProtection="0">
      <alignment horizontal="left" vertical="top" indent="1"/>
    </xf>
    <xf numFmtId="4" fontId="38" fillId="20" borderId="98" applyNumberFormat="0" applyProtection="0">
      <alignment horizontal="right" vertical="center"/>
    </xf>
    <xf numFmtId="0" fontId="2" fillId="0" borderId="88">
      <alignment horizontal="lef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 fontId="38" fillId="30" borderId="93" applyNumberFormat="0" applyProtection="0">
      <alignment horizontal="left" vertical="center" indent="1"/>
    </xf>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4" fontId="5" fillId="59" borderId="105"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8" borderId="98" applyNumberFormat="0" applyProtection="0">
      <alignment horizontal="right" vertical="center"/>
    </xf>
    <xf numFmtId="0" fontId="94" fillId="58" borderId="90" applyNumberFormat="0" applyFont="0" applyAlignment="0" applyProtection="0"/>
    <xf numFmtId="4" fontId="38" fillId="27" borderId="98" applyNumberFormat="0" applyProtection="0">
      <alignment horizontal="right" vertical="center"/>
    </xf>
    <xf numFmtId="4" fontId="38" fillId="24" borderId="98" applyNumberFormat="0" applyProtection="0">
      <alignment horizontal="right" vertical="center"/>
    </xf>
    <xf numFmtId="4" fontId="65" fillId="29" borderId="98" applyNumberFormat="0" applyProtection="0">
      <alignment horizontal="left" vertical="center" indent="1"/>
    </xf>
    <xf numFmtId="4" fontId="5" fillId="0" borderId="105" applyNumberFormat="0" applyProtection="0">
      <alignment horizontal="right" vertical="center"/>
    </xf>
    <xf numFmtId="4" fontId="111" fillId="15" borderId="105" applyNumberFormat="0" applyProtection="0">
      <alignment horizontal="right" vertical="center"/>
    </xf>
    <xf numFmtId="4" fontId="5" fillId="50" borderId="105"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05" applyNumberFormat="0" applyProtection="0">
      <alignment horizontal="left" vertical="center" indent="1"/>
    </xf>
    <xf numFmtId="4" fontId="5" fillId="59" borderId="105" applyNumberFormat="0" applyProtection="0">
      <alignment horizontal="righ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4" fontId="5" fillId="59" borderId="105"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94" fillId="58" borderId="90" applyNumberFormat="0" applyFont="0" applyAlignment="0" applyProtection="0"/>
    <xf numFmtId="0" fontId="1" fillId="0" borderId="0"/>
    <xf numFmtId="0" fontId="1" fillId="58" borderId="90" applyNumberFormat="0" applyFont="0" applyAlignment="0" applyProtection="0"/>
    <xf numFmtId="0" fontId="107" fillId="34" borderId="98" applyNumberFormat="0" applyAlignment="0" applyProtection="0"/>
    <xf numFmtId="9" fontId="1" fillId="0" borderId="0" applyFont="0" applyFill="0" applyBorder="0" applyAlignment="0" applyProtection="0"/>
    <xf numFmtId="190" fontId="50" fillId="0" borderId="118"/>
    <xf numFmtId="9" fontId="1" fillId="0" borderId="0" applyFont="0" applyFill="0" applyBorder="0" applyAlignment="0" applyProtection="0"/>
    <xf numFmtId="0" fontId="109" fillId="0" borderId="99" applyNumberFormat="0" applyFill="0" applyAlignment="0" applyProtection="0"/>
    <xf numFmtId="9" fontId="43" fillId="0" borderId="0" applyFont="0" applyFill="0" applyBorder="0" applyAlignment="0" applyProtection="0"/>
    <xf numFmtId="4" fontId="5" fillId="0" borderId="105" applyNumberFormat="0" applyProtection="0">
      <alignment horizontal="right" vertical="center"/>
    </xf>
    <xf numFmtId="4" fontId="111" fillId="15" borderId="105" applyNumberFormat="0" applyProtection="0">
      <alignment horizontal="right" vertical="center"/>
    </xf>
    <xf numFmtId="4" fontId="5" fillId="50" borderId="105"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05" applyNumberFormat="0" applyProtection="0">
      <alignment horizontal="left" vertical="center" indent="1"/>
    </xf>
    <xf numFmtId="4" fontId="5" fillId="59" borderId="105" applyNumberFormat="0" applyProtection="0">
      <alignment horizontal="righ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168" fontId="1" fillId="0" borderId="0" applyFont="0" applyFill="0" applyBorder="0" applyAlignment="0" applyProtection="0"/>
    <xf numFmtId="168" fontId="1" fillId="0" borderId="0" applyFont="0" applyFill="0" applyBorder="0" applyAlignment="0" applyProtection="0"/>
    <xf numFmtId="9" fontId="43" fillId="0" borderId="0" applyFont="0" applyFill="0" applyBorder="0" applyAlignment="0" applyProtection="0"/>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0" fontId="1" fillId="19" borderId="98" applyNumberFormat="0" applyProtection="0">
      <alignment horizontal="left" vertical="center" indent="1"/>
    </xf>
    <xf numFmtId="4" fontId="5" fillId="59" borderId="105"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1" fillId="19" borderId="98" applyNumberFormat="0" applyProtection="0">
      <alignment horizontal="left" vertical="center" indent="1"/>
    </xf>
    <xf numFmtId="0" fontId="94" fillId="58" borderId="90" applyNumberFormat="0" applyFont="0" applyAlignment="0" applyProtection="0"/>
    <xf numFmtId="43" fontId="11" fillId="0" borderId="0" applyFont="0" applyFill="0" applyBorder="0" applyAlignment="0" applyProtection="0"/>
    <xf numFmtId="168" fontId="11" fillId="0" borderId="0" applyFont="0" applyFill="0" applyBorder="0" applyAlignment="0" applyProtection="0"/>
    <xf numFmtId="203"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3" borderId="109" applyNumberFormat="0" applyProtection="0">
      <alignment horizontal="left" vertical="center" indent="1"/>
    </xf>
    <xf numFmtId="0" fontId="1" fillId="33" borderId="116" applyNumberFormat="0" applyProtection="0">
      <alignment horizontal="left" vertical="center" indent="1"/>
    </xf>
    <xf numFmtId="4" fontId="68" fillId="30" borderId="109" applyNumberFormat="0" applyProtection="0">
      <alignment horizontal="right" vertical="center"/>
    </xf>
    <xf numFmtId="0" fontId="1" fillId="19" borderId="109" applyNumberFormat="0" applyProtection="0">
      <alignment horizontal="left" vertical="center" indent="1"/>
    </xf>
    <xf numFmtId="0" fontId="1" fillId="19" borderId="109" applyNumberFormat="0" applyProtection="0">
      <alignment horizontal="left" vertical="center" indent="1"/>
    </xf>
    <xf numFmtId="4" fontId="64" fillId="30" borderId="109" applyNumberFormat="0" applyProtection="0">
      <alignment horizontal="right" vertical="center"/>
    </xf>
    <xf numFmtId="4" fontId="38" fillId="30" borderId="109" applyNumberFormat="0" applyProtection="0">
      <alignment horizontal="right" vertical="center"/>
    </xf>
    <xf numFmtId="4" fontId="38" fillId="3" borderId="109" applyNumberFormat="0" applyProtection="0">
      <alignment horizontal="left" vertical="center" indent="1"/>
    </xf>
    <xf numFmtId="4" fontId="64" fillId="3" borderId="109" applyNumberFormat="0" applyProtection="0">
      <alignment vertical="center"/>
    </xf>
    <xf numFmtId="4" fontId="38" fillId="3" borderId="109" applyNumberFormat="0" applyProtection="0">
      <alignment vertical="center"/>
    </xf>
    <xf numFmtId="0" fontId="1" fillId="19" borderId="109" applyNumberFormat="0" applyProtection="0">
      <alignment horizontal="left" vertical="center" indent="1"/>
    </xf>
    <xf numFmtId="0" fontId="1" fillId="19" borderId="109" applyNumberFormat="0" applyProtection="0">
      <alignment horizontal="left" vertical="center" indent="1"/>
    </xf>
    <xf numFmtId="0" fontId="1" fillId="2" borderId="109" applyNumberFormat="0" applyProtection="0">
      <alignment horizontal="left" vertical="center" indent="1"/>
    </xf>
    <xf numFmtId="0" fontId="1" fillId="2" borderId="109" applyNumberFormat="0" applyProtection="0">
      <alignment horizontal="left" vertical="center" indent="1"/>
    </xf>
    <xf numFmtId="0" fontId="1" fillId="33" borderId="109" applyNumberFormat="0" applyProtection="0">
      <alignment horizontal="left" vertical="center" indent="1"/>
    </xf>
    <xf numFmtId="0" fontId="1" fillId="33" borderId="109" applyNumberFormat="0" applyProtection="0">
      <alignment horizontal="left" vertical="center" indent="1"/>
    </xf>
    <xf numFmtId="0" fontId="1" fillId="32" borderId="109" applyNumberFormat="0" applyProtection="0">
      <alignment horizontal="left" vertical="center" indent="1"/>
    </xf>
    <xf numFmtId="0" fontId="1" fillId="32" borderId="109" applyNumberFormat="0" applyProtection="0">
      <alignment horizontal="left" vertical="center" indent="1"/>
    </xf>
    <xf numFmtId="4" fontId="38" fillId="32" borderId="109" applyNumberFormat="0" applyProtection="0">
      <alignment horizontal="left" vertical="center" indent="1"/>
    </xf>
    <xf numFmtId="4" fontId="38" fillId="30" borderId="109" applyNumberFormat="0" applyProtection="0">
      <alignment horizontal="left" vertical="center" indent="1"/>
    </xf>
    <xf numFmtId="0" fontId="1" fillId="19" borderId="109" applyNumberFormat="0" applyProtection="0">
      <alignment horizontal="left" vertical="center" indent="1"/>
    </xf>
    <xf numFmtId="4" fontId="38" fillId="30" borderId="111" applyNumberFormat="0" applyProtection="0">
      <alignment horizontal="left" vertical="center" indent="1"/>
    </xf>
    <xf numFmtId="4" fontId="65" fillId="29" borderId="109" applyNumberFormat="0" applyProtection="0">
      <alignment horizontal="left" vertical="center" indent="1"/>
    </xf>
    <xf numFmtId="4" fontId="38" fillId="23" borderId="109" applyNumberFormat="0" applyProtection="0">
      <alignment horizontal="right" vertical="center"/>
    </xf>
    <xf numFmtId="0" fontId="1" fillId="19" borderId="109" applyNumberFormat="0" applyProtection="0">
      <alignment horizontal="left" vertical="center" indent="1"/>
    </xf>
    <xf numFmtId="4" fontId="38" fillId="18" borderId="109" applyNumberFormat="0" applyProtection="0">
      <alignment horizontal="left" vertical="center" indent="1"/>
    </xf>
    <xf numFmtId="4" fontId="38" fillId="18" borderId="109" applyNumberFormat="0" applyProtection="0">
      <alignment horizontal="left" vertical="center" indent="1"/>
    </xf>
    <xf numFmtId="4" fontId="64" fillId="18" borderId="109" applyNumberFormat="0" applyProtection="0">
      <alignment vertical="center"/>
    </xf>
    <xf numFmtId="4" fontId="38" fillId="18" borderId="109" applyNumberFormat="0" applyProtection="0">
      <alignment vertical="center"/>
    </xf>
    <xf numFmtId="0" fontId="109" fillId="0" borderId="110" applyNumberFormat="0" applyFill="0" applyAlignment="0" applyProtection="0"/>
    <xf numFmtId="0" fontId="107" fillId="34" borderId="109" applyNumberFormat="0" applyAlignment="0" applyProtection="0"/>
    <xf numFmtId="4" fontId="38" fillId="28" borderId="109" applyNumberFormat="0" applyProtection="0">
      <alignment horizontal="right" vertical="center"/>
    </xf>
    <xf numFmtId="0" fontId="97" fillId="34" borderId="107" applyNumberFormat="0" applyAlignment="0" applyProtection="0"/>
    <xf numFmtId="0" fontId="1" fillId="32" borderId="116" applyNumberFormat="0" applyProtection="0">
      <alignment horizontal="left" vertical="center" indent="1"/>
    </xf>
    <xf numFmtId="4" fontId="38" fillId="24" borderId="109" applyNumberFormat="0" applyProtection="0">
      <alignment horizontal="right" vertical="center"/>
    </xf>
    <xf numFmtId="0" fontId="104" fillId="43" borderId="107" applyNumberFormat="0" applyAlignment="0" applyProtection="0"/>
    <xf numFmtId="4" fontId="38" fillId="26" borderId="116" applyNumberFormat="0" applyProtection="0">
      <alignment horizontal="right" vertical="center"/>
    </xf>
    <xf numFmtId="4" fontId="38" fillId="26" borderId="109" applyNumberFormat="0" applyProtection="0">
      <alignment horizontal="right" vertical="center"/>
    </xf>
    <xf numFmtId="0" fontId="1" fillId="58" borderId="108" applyNumberFormat="0" applyFont="0" applyAlignment="0" applyProtection="0"/>
    <xf numFmtId="4" fontId="38" fillId="27" borderId="109" applyNumberFormat="0" applyProtection="0">
      <alignment horizontal="right" vertical="center"/>
    </xf>
    <xf numFmtId="4" fontId="38" fillId="25" borderId="109" applyNumberFormat="0" applyProtection="0">
      <alignment horizontal="right" vertical="center"/>
    </xf>
    <xf numFmtId="4" fontId="38" fillId="22" borderId="109" applyNumberFormat="0" applyProtection="0">
      <alignment horizontal="right" vertical="center"/>
    </xf>
    <xf numFmtId="0" fontId="1" fillId="19" borderId="116" applyNumberFormat="0" applyProtection="0">
      <alignment horizontal="left" vertical="center" indent="1"/>
    </xf>
    <xf numFmtId="0" fontId="1" fillId="58" borderId="115" applyNumberFormat="0" applyFont="0" applyAlignment="0" applyProtection="0"/>
    <xf numFmtId="164" fontId="55" fillId="0" borderId="103">
      <alignment horizontal="left" vertical="top"/>
    </xf>
    <xf numFmtId="0" fontId="1" fillId="19" borderId="116" applyNumberFormat="0" applyProtection="0">
      <alignment horizontal="left" vertical="center" indent="1"/>
    </xf>
    <xf numFmtId="4" fontId="38" fillId="32" borderId="116" applyNumberFormat="0" applyProtection="0">
      <alignment horizontal="left" vertical="center" indent="1"/>
    </xf>
    <xf numFmtId="0" fontId="1" fillId="32" borderId="116" applyNumberFormat="0" applyProtection="0">
      <alignment horizontal="left" vertical="center" indent="1"/>
    </xf>
    <xf numFmtId="0" fontId="1" fillId="2" borderId="116" applyNumberFormat="0" applyProtection="0">
      <alignment horizontal="left" vertical="center" indent="1"/>
    </xf>
    <xf numFmtId="4" fontId="38" fillId="3" borderId="116" applyNumberFormat="0" applyProtection="0">
      <alignment horizontal="left" vertical="center" indent="1"/>
    </xf>
    <xf numFmtId="0" fontId="107" fillId="34" borderId="116" applyNumberFormat="0" applyAlignment="0" applyProtection="0"/>
    <xf numFmtId="0" fontId="109" fillId="0" borderId="117" applyNumberFormat="0" applyFill="0" applyAlignment="0" applyProtection="0"/>
    <xf numFmtId="4" fontId="5" fillId="59" borderId="112" applyNumberFormat="0" applyProtection="0">
      <alignment horizontal="right" vertical="center"/>
    </xf>
    <xf numFmtId="0" fontId="5" fillId="34" borderId="112" applyNumberFormat="0" applyProtection="0">
      <alignment horizontal="left" vertical="center" indent="1"/>
    </xf>
    <xf numFmtId="0" fontId="5" fillId="44" borderId="113" applyNumberFormat="0" applyProtection="0">
      <alignment horizontal="left" vertical="top" indent="1"/>
    </xf>
    <xf numFmtId="0" fontId="5" fillId="59" borderId="113" applyNumberFormat="0" applyProtection="0">
      <alignment horizontal="left" vertical="top" indent="1"/>
    </xf>
    <xf numFmtId="0" fontId="5" fillId="60" borderId="113" applyNumberFormat="0" applyProtection="0">
      <alignment horizontal="left" vertical="top" indent="1"/>
    </xf>
    <xf numFmtId="4" fontId="5" fillId="50" borderId="112" applyNumberFormat="0" applyProtection="0">
      <alignment horizontal="left" vertical="center" indent="1"/>
    </xf>
    <xf numFmtId="4" fontId="111" fillId="15" borderId="112" applyNumberFormat="0" applyProtection="0">
      <alignment horizontal="right" vertical="center"/>
    </xf>
    <xf numFmtId="4" fontId="5" fillId="0" borderId="112" applyNumberFormat="0" applyProtection="0">
      <alignment horizontal="right" vertical="center"/>
    </xf>
    <xf numFmtId="4" fontId="38" fillId="25" borderId="116" applyNumberFormat="0" applyProtection="0">
      <alignment horizontal="right" vertical="center"/>
    </xf>
    <xf numFmtId="165" fontId="79" fillId="36" borderId="103"/>
    <xf numFmtId="164" fontId="77" fillId="30" borderId="103">
      <alignment vertical="top"/>
    </xf>
    <xf numFmtId="0" fontId="1" fillId="33" borderId="116" applyNumberFormat="0" applyProtection="0">
      <alignment horizontal="left" vertical="center" indent="1"/>
    </xf>
    <xf numFmtId="0" fontId="1" fillId="2" borderId="116" applyNumberFormat="0" applyProtection="0">
      <alignment horizontal="left" vertical="center" indent="1"/>
    </xf>
    <xf numFmtId="0" fontId="1" fillId="19" borderId="116" applyNumberFormat="0" applyProtection="0">
      <alignment horizontal="left" vertical="center" indent="1"/>
    </xf>
    <xf numFmtId="0" fontId="1" fillId="19" borderId="116" applyNumberFormat="0" applyProtection="0">
      <alignment horizontal="left" vertical="center" indent="1"/>
    </xf>
    <xf numFmtId="4" fontId="38" fillId="3" borderId="116" applyNumberFormat="0" applyProtection="0">
      <alignment vertical="center"/>
    </xf>
    <xf numFmtId="4" fontId="64" fillId="3" borderId="116" applyNumberFormat="0" applyProtection="0">
      <alignment vertical="center"/>
    </xf>
    <xf numFmtId="4" fontId="38" fillId="3" borderId="116" applyNumberFormat="0" applyProtection="0">
      <alignment horizontal="left" vertical="center" indent="1"/>
    </xf>
    <xf numFmtId="4" fontId="38" fillId="30" borderId="116" applyNumberFormat="0" applyProtection="0">
      <alignment horizontal="right" vertical="center"/>
    </xf>
    <xf numFmtId="4" fontId="64" fillId="30" borderId="116" applyNumberFormat="0" applyProtection="0">
      <alignment horizontal="right" vertical="center"/>
    </xf>
    <xf numFmtId="0" fontId="1" fillId="19" borderId="116" applyNumberFormat="0" applyProtection="0">
      <alignment horizontal="left" vertical="center" indent="1"/>
    </xf>
    <xf numFmtId="4" fontId="68" fillId="30" borderId="116" applyNumberFormat="0" applyProtection="0">
      <alignment horizontal="right" vertical="center"/>
    </xf>
    <xf numFmtId="0" fontId="1" fillId="2" borderId="98" applyNumberFormat="0" applyProtection="0">
      <alignment horizontal="left" vertical="center" indent="1"/>
    </xf>
    <xf numFmtId="4" fontId="38" fillId="18" borderId="116" applyNumberFormat="0" applyProtection="0">
      <alignment horizontal="left" vertical="center" indent="1"/>
    </xf>
    <xf numFmtId="0" fontId="1" fillId="19" borderId="116" applyNumberFormat="0" applyProtection="0">
      <alignment horizontal="left" vertical="center" indent="1"/>
    </xf>
    <xf numFmtId="4" fontId="38" fillId="20" borderId="116" applyNumberFormat="0" applyProtection="0">
      <alignment horizontal="right" vertical="center"/>
    </xf>
    <xf numFmtId="4" fontId="38" fillId="21" borderId="116" applyNumberFormat="0" applyProtection="0">
      <alignment horizontal="right" vertical="center"/>
    </xf>
    <xf numFmtId="4" fontId="38" fillId="22" borderId="116" applyNumberFormat="0" applyProtection="0">
      <alignment horizontal="right" vertical="center"/>
    </xf>
    <xf numFmtId="0" fontId="2" fillId="0" borderId="114">
      <alignment horizontal="left" vertical="center"/>
    </xf>
    <xf numFmtId="4" fontId="38" fillId="23" borderId="116" applyNumberFormat="0" applyProtection="0">
      <alignment horizontal="right" vertical="center"/>
    </xf>
    <xf numFmtId="4" fontId="38" fillId="30" borderId="116" applyNumberFormat="0" applyProtection="0">
      <alignment horizontal="left" vertical="center" indent="1"/>
    </xf>
    <xf numFmtId="4" fontId="38" fillId="18" borderId="116" applyNumberFormat="0" applyProtection="0">
      <alignment vertical="center"/>
    </xf>
    <xf numFmtId="4" fontId="64" fillId="18" borderId="116" applyNumberFormat="0" applyProtection="0">
      <alignment vertical="center"/>
    </xf>
    <xf numFmtId="4" fontId="38" fillId="18" borderId="116" applyNumberFormat="0" applyProtection="0">
      <alignment horizontal="left" vertical="center" indent="1"/>
    </xf>
    <xf numFmtId="4" fontId="5" fillId="0" borderId="105" applyNumberFormat="0" applyProtection="0">
      <alignment horizontal="right" vertical="center"/>
    </xf>
    <xf numFmtId="4" fontId="111" fillId="15" borderId="105" applyNumberFormat="0" applyProtection="0">
      <alignment horizontal="right" vertical="center"/>
    </xf>
    <xf numFmtId="4" fontId="5" fillId="50" borderId="105"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05" applyNumberFormat="0" applyProtection="0">
      <alignment horizontal="left" vertical="center" indent="1"/>
    </xf>
    <xf numFmtId="4" fontId="5" fillId="59" borderId="105" applyNumberFormat="0" applyProtection="0">
      <alignment horizontal="righ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 fontId="38" fillId="21" borderId="109" applyNumberFormat="0" applyProtection="0">
      <alignment horizontal="right" vertical="center"/>
    </xf>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4" fontId="5" fillId="59" borderId="105" applyNumberFormat="0" applyProtection="0">
      <alignment horizontal="right" vertical="center"/>
    </xf>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0" borderId="109" applyNumberFormat="0" applyProtection="0">
      <alignment horizontal="right" vertical="center"/>
    </xf>
    <xf numFmtId="0" fontId="2" fillId="0" borderId="106">
      <alignment horizontal="left" vertical="center"/>
    </xf>
    <xf numFmtId="4" fontId="5" fillId="0" borderId="112" applyNumberFormat="0" applyProtection="0">
      <alignment horizontal="right" vertical="center"/>
    </xf>
    <xf numFmtId="4" fontId="111" fillId="15" borderId="112" applyNumberFormat="0" applyProtection="0">
      <alignment horizontal="right" vertical="center"/>
    </xf>
    <xf numFmtId="0" fontId="5" fillId="61" borderId="112" applyNumberFormat="0" applyProtection="0">
      <alignment horizontal="left" vertical="center" indent="1"/>
    </xf>
    <xf numFmtId="0" fontId="5" fillId="44" borderId="112" applyNumberFormat="0" applyProtection="0">
      <alignment horizontal="left" vertical="center" indent="1"/>
    </xf>
    <xf numFmtId="0" fontId="5" fillId="62" borderId="112" applyNumberFormat="0" applyProtection="0">
      <alignment horizontal="left" vertical="center" indent="1"/>
    </xf>
    <xf numFmtId="4" fontId="112" fillId="63" borderId="112" applyNumberFormat="0" applyProtection="0">
      <alignment horizontal="right" vertical="center"/>
    </xf>
    <xf numFmtId="4" fontId="5" fillId="50" borderId="112" applyNumberFormat="0" applyProtection="0">
      <alignment horizontal="left" vertical="center" indent="1"/>
    </xf>
    <xf numFmtId="4" fontId="5" fillId="0" borderId="112" applyNumberFormat="0" applyProtection="0">
      <alignment horizontal="right" vertical="center"/>
    </xf>
    <xf numFmtId="0" fontId="5" fillId="34" borderId="112" applyNumberFormat="0" applyProtection="0">
      <alignment horizontal="left" vertical="center" indent="1"/>
    </xf>
    <xf numFmtId="0" fontId="5" fillId="59" borderId="113" applyNumberFormat="0" applyProtection="0">
      <alignment horizontal="left" vertical="top" indent="1"/>
    </xf>
    <xf numFmtId="4" fontId="38" fillId="30" borderId="111" applyNumberFormat="0" applyProtection="0">
      <alignment horizontal="left" vertical="center" indent="1"/>
    </xf>
    <xf numFmtId="4" fontId="112" fillId="63" borderId="112" applyNumberFormat="0" applyProtection="0">
      <alignment horizontal="right" vertical="center"/>
    </xf>
    <xf numFmtId="0" fontId="5" fillId="62" borderId="112" applyNumberFormat="0" applyProtection="0">
      <alignment horizontal="left" vertical="center" indent="1"/>
    </xf>
    <xf numFmtId="0" fontId="5" fillId="44" borderId="112" applyNumberFormat="0" applyProtection="0">
      <alignment horizontal="left" vertical="center" indent="1"/>
    </xf>
    <xf numFmtId="0" fontId="5" fillId="61" borderId="112" applyNumberFormat="0" applyProtection="0">
      <alignment horizontal="left" vertical="center" indent="1"/>
    </xf>
    <xf numFmtId="4" fontId="5" fillId="59" borderId="112" applyNumberFormat="0" applyProtection="0">
      <alignment horizontal="right" vertical="center"/>
    </xf>
    <xf numFmtId="0" fontId="94" fillId="58" borderId="108" applyNumberFormat="0" applyFont="0" applyAlignment="0" applyProtection="0"/>
    <xf numFmtId="0" fontId="5" fillId="44" borderId="113" applyNumberFormat="0" applyProtection="0">
      <alignment horizontal="left" vertical="top" indent="1"/>
    </xf>
    <xf numFmtId="0" fontId="5" fillId="60" borderId="113" applyNumberFormat="0" applyProtection="0">
      <alignment horizontal="left" vertical="top" indent="1"/>
    </xf>
    <xf numFmtId="4" fontId="38" fillId="28" borderId="116" applyNumberFormat="0" applyProtection="0">
      <alignment horizontal="right" vertical="center"/>
    </xf>
    <xf numFmtId="0" fontId="94" fillId="58" borderId="108" applyNumberFormat="0" applyFont="0" applyAlignment="0" applyProtection="0"/>
    <xf numFmtId="4" fontId="38" fillId="27" borderId="116" applyNumberFormat="0" applyProtection="0">
      <alignment horizontal="right" vertical="center"/>
    </xf>
    <xf numFmtId="4" fontId="38" fillId="24" borderId="116" applyNumberFormat="0" applyProtection="0">
      <alignment horizontal="right" vertical="center"/>
    </xf>
    <xf numFmtId="4" fontId="65" fillId="29" borderId="116" applyNumberFormat="0" applyProtection="0">
      <alignment horizontal="left" vertical="center" indent="1"/>
    </xf>
    <xf numFmtId="4" fontId="5" fillId="0" borderId="112" applyNumberFormat="0" applyProtection="0">
      <alignment horizontal="right" vertical="center"/>
    </xf>
    <xf numFmtId="4" fontId="111" fillId="15" borderId="112" applyNumberFormat="0" applyProtection="0">
      <alignment horizontal="right" vertical="center"/>
    </xf>
    <xf numFmtId="4" fontId="5" fillId="50" borderId="112" applyNumberFormat="0" applyProtection="0">
      <alignment horizontal="left" vertical="center" indent="1"/>
    </xf>
    <xf numFmtId="0" fontId="5" fillId="60" borderId="113" applyNumberFormat="0" applyProtection="0">
      <alignment horizontal="left" vertical="top" indent="1"/>
    </xf>
    <xf numFmtId="0" fontId="5" fillId="59" borderId="113" applyNumberFormat="0" applyProtection="0">
      <alignment horizontal="left" vertical="top" indent="1"/>
    </xf>
    <xf numFmtId="0" fontId="5" fillId="44" borderId="113" applyNumberFormat="0" applyProtection="0">
      <alignment horizontal="left" vertical="top" indent="1"/>
    </xf>
    <xf numFmtId="0" fontId="5" fillId="34" borderId="112" applyNumberFormat="0" applyProtection="0">
      <alignment horizontal="left" vertical="center" indent="1"/>
    </xf>
    <xf numFmtId="4" fontId="5" fillId="59" borderId="112" applyNumberFormat="0" applyProtection="0">
      <alignment horizontal="right" vertical="center"/>
    </xf>
    <xf numFmtId="4" fontId="5" fillId="0" borderId="112" applyNumberFormat="0" applyProtection="0">
      <alignment horizontal="right" vertical="center"/>
    </xf>
    <xf numFmtId="4" fontId="111" fillId="15" borderId="112" applyNumberFormat="0" applyProtection="0">
      <alignment horizontal="right" vertical="center"/>
    </xf>
    <xf numFmtId="0" fontId="5" fillId="61" borderId="112" applyNumberFormat="0" applyProtection="0">
      <alignment horizontal="left" vertical="center" indent="1"/>
    </xf>
    <xf numFmtId="0" fontId="5" fillId="44" borderId="112" applyNumberFormat="0" applyProtection="0">
      <alignment horizontal="left" vertical="center" indent="1"/>
    </xf>
    <xf numFmtId="0" fontId="5" fillId="62" borderId="112" applyNumberFormat="0" applyProtection="0">
      <alignment horizontal="left" vertical="center" indent="1"/>
    </xf>
    <xf numFmtId="4" fontId="112" fillId="63" borderId="112" applyNumberFormat="0" applyProtection="0">
      <alignment horizontal="right" vertical="center"/>
    </xf>
    <xf numFmtId="4" fontId="5" fillId="50" borderId="112" applyNumberFormat="0" applyProtection="0">
      <alignment horizontal="left" vertical="center" indent="1"/>
    </xf>
    <xf numFmtId="4" fontId="5" fillId="0" borderId="112" applyNumberFormat="0" applyProtection="0">
      <alignment horizontal="right" vertical="center"/>
    </xf>
    <xf numFmtId="0" fontId="5" fillId="34" borderId="112" applyNumberFormat="0" applyProtection="0">
      <alignment horizontal="left" vertical="center" indent="1"/>
    </xf>
    <xf numFmtId="0" fontId="5" fillId="59" borderId="113" applyNumberFormat="0" applyProtection="0">
      <alignment horizontal="left" vertical="top" indent="1"/>
    </xf>
    <xf numFmtId="4" fontId="112" fillId="63" borderId="112" applyNumberFormat="0" applyProtection="0">
      <alignment horizontal="right" vertical="center"/>
    </xf>
    <xf numFmtId="0" fontId="5" fillId="62" borderId="112" applyNumberFormat="0" applyProtection="0">
      <alignment horizontal="left" vertical="center" indent="1"/>
    </xf>
    <xf numFmtId="0" fontId="5" fillId="44" borderId="112" applyNumberFormat="0" applyProtection="0">
      <alignment horizontal="left" vertical="center" indent="1"/>
    </xf>
    <xf numFmtId="0" fontId="5" fillId="61" borderId="112" applyNumberFormat="0" applyProtection="0">
      <alignment horizontal="left" vertical="center" indent="1"/>
    </xf>
    <xf numFmtId="4" fontId="5" fillId="59" borderId="112" applyNumberFormat="0" applyProtection="0">
      <alignment horizontal="right" vertical="center"/>
    </xf>
    <xf numFmtId="0" fontId="94" fillId="58" borderId="115" applyNumberFormat="0" applyFont="0" applyAlignment="0" applyProtection="0"/>
    <xf numFmtId="0" fontId="5" fillId="44" borderId="113" applyNumberFormat="0" applyProtection="0">
      <alignment horizontal="left" vertical="top" indent="1"/>
    </xf>
    <xf numFmtId="0" fontId="5" fillId="60" borderId="113" applyNumberFormat="0" applyProtection="0">
      <alignment horizontal="left" vertical="top" indent="1"/>
    </xf>
    <xf numFmtId="0" fontId="94" fillId="58" borderId="115" applyNumberFormat="0" applyFont="0" applyAlignment="0" applyProtection="0"/>
    <xf numFmtId="0" fontId="1" fillId="58" borderId="108" applyNumberFormat="0" applyFont="0" applyAlignment="0" applyProtection="0"/>
    <xf numFmtId="0" fontId="107" fillId="34" borderId="9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09" fillId="0" borderId="99" applyNumberFormat="0" applyFill="0" applyAlignment="0" applyProtection="0"/>
    <xf numFmtId="4" fontId="5" fillId="0" borderId="119" applyNumberFormat="0" applyProtection="0">
      <alignment horizontal="right" vertical="center"/>
    </xf>
    <xf numFmtId="4" fontId="111" fillId="15" borderId="119" applyNumberFormat="0" applyProtection="0">
      <alignment horizontal="right" vertical="center"/>
    </xf>
    <xf numFmtId="4" fontId="5" fillId="50" borderId="119"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19" applyNumberFormat="0" applyProtection="0">
      <alignment horizontal="left" vertical="center" indent="1"/>
    </xf>
    <xf numFmtId="4" fontId="5" fillId="59" borderId="119" applyNumberFormat="0" applyProtection="0">
      <alignment horizontal="right" vertical="center"/>
    </xf>
    <xf numFmtId="4" fontId="5" fillId="0" borderId="119" applyNumberFormat="0" applyProtection="0">
      <alignment horizontal="right" vertical="center"/>
    </xf>
    <xf numFmtId="4" fontId="111" fillId="15" borderId="119" applyNumberFormat="0" applyProtection="0">
      <alignment horizontal="right" vertical="center"/>
    </xf>
    <xf numFmtId="0" fontId="5" fillId="61" borderId="119" applyNumberFormat="0" applyProtection="0">
      <alignment horizontal="left" vertical="center" indent="1"/>
    </xf>
    <xf numFmtId="0" fontId="5" fillId="44" borderId="119" applyNumberFormat="0" applyProtection="0">
      <alignment horizontal="left" vertical="center" indent="1"/>
    </xf>
    <xf numFmtId="0" fontId="5" fillId="62" borderId="119" applyNumberFormat="0" applyProtection="0">
      <alignment horizontal="left" vertical="center" indent="1"/>
    </xf>
    <xf numFmtId="4" fontId="112" fillId="63" borderId="119" applyNumberFormat="0" applyProtection="0">
      <alignment horizontal="right" vertical="center"/>
    </xf>
    <xf numFmtId="4" fontId="5" fillId="50" borderId="119" applyNumberFormat="0" applyProtection="0">
      <alignment horizontal="left" vertical="center" indent="1"/>
    </xf>
    <xf numFmtId="4" fontId="5" fillId="0" borderId="119" applyNumberFormat="0" applyProtection="0">
      <alignment horizontal="right" vertical="center"/>
    </xf>
    <xf numFmtId="0" fontId="5" fillId="34" borderId="119" applyNumberFormat="0" applyProtection="0">
      <alignment horizontal="left" vertical="center" indent="1"/>
    </xf>
    <xf numFmtId="0" fontId="5" fillId="59" borderId="95" applyNumberFormat="0" applyProtection="0">
      <alignment horizontal="left" vertical="top" indent="1"/>
    </xf>
    <xf numFmtId="168" fontId="1" fillId="0" borderId="0" applyFont="0" applyFill="0" applyBorder="0" applyAlignment="0" applyProtection="0"/>
    <xf numFmtId="168" fontId="1" fillId="0" borderId="0" applyFont="0" applyFill="0" applyBorder="0" applyAlignment="0" applyProtection="0"/>
    <xf numFmtId="4" fontId="112" fillId="63" borderId="119" applyNumberFormat="0" applyProtection="0">
      <alignment horizontal="right" vertical="center"/>
    </xf>
    <xf numFmtId="0" fontId="5" fillId="62" borderId="119" applyNumberFormat="0" applyProtection="0">
      <alignment horizontal="left" vertical="center" indent="1"/>
    </xf>
    <xf numFmtId="0" fontId="5" fillId="44" borderId="119" applyNumberFormat="0" applyProtection="0">
      <alignment horizontal="left" vertical="center" indent="1"/>
    </xf>
    <xf numFmtId="0" fontId="5" fillId="61" borderId="119" applyNumberFormat="0" applyProtection="0">
      <alignment horizontal="left" vertical="center" indent="1"/>
    </xf>
    <xf numFmtId="4" fontId="5" fillId="59" borderId="119" applyNumberFormat="0" applyProtection="0">
      <alignment horizontal="right" vertical="center"/>
    </xf>
    <xf numFmtId="0" fontId="94" fillId="58" borderId="108"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94" fillId="58" borderId="108" applyNumberFormat="0" applyFont="0" applyAlignment="0" applyProtection="0"/>
    <xf numFmtId="43" fontId="11" fillId="0" borderId="0" applyFont="0" applyFill="0" applyBorder="0" applyAlignment="0" applyProtection="0"/>
    <xf numFmtId="168" fontId="11" fillId="0" borderId="0" applyFont="0" applyFill="0" applyBorder="0" applyAlignment="0" applyProtection="0"/>
    <xf numFmtId="203"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3" borderId="124" applyNumberFormat="0" applyProtection="0">
      <alignment horizontal="left" vertical="center" indent="1"/>
    </xf>
    <xf numFmtId="0" fontId="1" fillId="33" borderId="131" applyNumberFormat="0" applyProtection="0">
      <alignment horizontal="left" vertical="center" indent="1"/>
    </xf>
    <xf numFmtId="4" fontId="68" fillId="30" borderId="124" applyNumberFormat="0" applyProtection="0">
      <alignment horizontal="right" vertical="center"/>
    </xf>
    <xf numFmtId="0" fontId="1" fillId="19" borderId="124" applyNumberFormat="0" applyProtection="0">
      <alignment horizontal="left" vertical="center" indent="1"/>
    </xf>
    <xf numFmtId="0" fontId="1" fillId="19" borderId="124" applyNumberFormat="0" applyProtection="0">
      <alignment horizontal="left" vertical="center" indent="1"/>
    </xf>
    <xf numFmtId="4" fontId="64" fillId="30" borderId="124" applyNumberFormat="0" applyProtection="0">
      <alignment horizontal="right" vertical="center"/>
    </xf>
    <xf numFmtId="4" fontId="38" fillId="30" borderId="124" applyNumberFormat="0" applyProtection="0">
      <alignment horizontal="right" vertical="center"/>
    </xf>
    <xf numFmtId="4" fontId="38" fillId="3" borderId="124" applyNumberFormat="0" applyProtection="0">
      <alignment horizontal="left" vertical="center" indent="1"/>
    </xf>
    <xf numFmtId="4" fontId="64" fillId="3" borderId="124" applyNumberFormat="0" applyProtection="0">
      <alignment vertical="center"/>
    </xf>
    <xf numFmtId="4" fontId="38" fillId="3" borderId="124" applyNumberFormat="0" applyProtection="0">
      <alignment vertical="center"/>
    </xf>
    <xf numFmtId="0" fontId="1" fillId="19" borderId="124" applyNumberFormat="0" applyProtection="0">
      <alignment horizontal="left" vertical="center" indent="1"/>
    </xf>
    <xf numFmtId="0" fontId="1" fillId="19" borderId="124" applyNumberFormat="0" applyProtection="0">
      <alignment horizontal="left" vertical="center" indent="1"/>
    </xf>
    <xf numFmtId="0" fontId="1" fillId="2" borderId="124" applyNumberFormat="0" applyProtection="0">
      <alignment horizontal="left" vertical="center" indent="1"/>
    </xf>
    <xf numFmtId="0" fontId="1" fillId="2" borderId="124" applyNumberFormat="0" applyProtection="0">
      <alignment horizontal="left" vertical="center" indent="1"/>
    </xf>
    <xf numFmtId="0" fontId="1" fillId="33" borderId="124" applyNumberFormat="0" applyProtection="0">
      <alignment horizontal="left" vertical="center" indent="1"/>
    </xf>
    <xf numFmtId="0" fontId="1" fillId="33" borderId="124" applyNumberFormat="0" applyProtection="0">
      <alignment horizontal="left" vertical="center" indent="1"/>
    </xf>
    <xf numFmtId="0" fontId="1" fillId="32" borderId="124" applyNumberFormat="0" applyProtection="0">
      <alignment horizontal="left" vertical="center" indent="1"/>
    </xf>
    <xf numFmtId="0" fontId="1" fillId="32" borderId="124" applyNumberFormat="0" applyProtection="0">
      <alignment horizontal="left" vertical="center" indent="1"/>
    </xf>
    <xf numFmtId="4" fontId="38" fillId="32" borderId="124" applyNumberFormat="0" applyProtection="0">
      <alignment horizontal="left" vertical="center" indent="1"/>
    </xf>
    <xf numFmtId="4" fontId="38" fillId="30" borderId="124" applyNumberFormat="0" applyProtection="0">
      <alignment horizontal="left" vertical="center" indent="1"/>
    </xf>
    <xf numFmtId="0" fontId="1" fillId="19" borderId="124" applyNumberFormat="0" applyProtection="0">
      <alignment horizontal="left" vertical="center" indent="1"/>
    </xf>
    <xf numFmtId="4" fontId="38" fillId="30" borderId="126" applyNumberFormat="0" applyProtection="0">
      <alignment horizontal="left" vertical="center" indent="1"/>
    </xf>
    <xf numFmtId="4" fontId="65" fillId="29" borderId="124" applyNumberFormat="0" applyProtection="0">
      <alignment horizontal="left" vertical="center" indent="1"/>
    </xf>
    <xf numFmtId="4" fontId="38" fillId="23" borderId="124" applyNumberFormat="0" applyProtection="0">
      <alignment horizontal="right" vertical="center"/>
    </xf>
    <xf numFmtId="0" fontId="1" fillId="19" borderId="124" applyNumberFormat="0" applyProtection="0">
      <alignment horizontal="left" vertical="center" indent="1"/>
    </xf>
    <xf numFmtId="4" fontId="38" fillId="18" borderId="124" applyNumberFormat="0" applyProtection="0">
      <alignment horizontal="left" vertical="center" indent="1"/>
    </xf>
    <xf numFmtId="4" fontId="38" fillId="18" borderId="124" applyNumberFormat="0" applyProtection="0">
      <alignment horizontal="left" vertical="center" indent="1"/>
    </xf>
    <xf numFmtId="4" fontId="64" fillId="18" borderId="124" applyNumberFormat="0" applyProtection="0">
      <alignment vertical="center"/>
    </xf>
    <xf numFmtId="4" fontId="38" fillId="18" borderId="124" applyNumberFormat="0" applyProtection="0">
      <alignment vertical="center"/>
    </xf>
    <xf numFmtId="0" fontId="109" fillId="0" borderId="125" applyNumberFormat="0" applyFill="0" applyAlignment="0" applyProtection="0"/>
    <xf numFmtId="0" fontId="107" fillId="34" borderId="124" applyNumberFormat="0" applyAlignment="0" applyProtection="0"/>
    <xf numFmtId="4" fontId="38" fillId="28" borderId="124"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24"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24" applyNumberFormat="0" applyProtection="0">
      <alignment horizontal="right" vertical="center"/>
    </xf>
    <xf numFmtId="0" fontId="1" fillId="58" borderId="123" applyNumberFormat="0" applyFont="0" applyAlignment="0" applyProtection="0"/>
    <xf numFmtId="4" fontId="38" fillId="27" borderId="124" applyNumberFormat="0" applyProtection="0">
      <alignment horizontal="right" vertical="center"/>
    </xf>
    <xf numFmtId="4" fontId="38" fillId="25" borderId="124" applyNumberFormat="0" applyProtection="0">
      <alignment horizontal="right" vertical="center"/>
    </xf>
    <xf numFmtId="4" fontId="38" fillId="22" borderId="124"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64"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19" applyNumberFormat="0" applyProtection="0">
      <alignment horizontal="right" vertical="center"/>
    </xf>
    <xf numFmtId="4" fontId="111" fillId="15" borderId="119" applyNumberFormat="0" applyProtection="0">
      <alignment horizontal="right" vertical="center"/>
    </xf>
    <xf numFmtId="4" fontId="5" fillId="50" borderId="119"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19" applyNumberFormat="0" applyProtection="0">
      <alignment horizontal="left" vertical="center" indent="1"/>
    </xf>
    <xf numFmtId="4" fontId="5" fillId="59" borderId="119" applyNumberFormat="0" applyProtection="0">
      <alignment horizontal="right" vertical="center"/>
    </xf>
    <xf numFmtId="4" fontId="5" fillId="0" borderId="119" applyNumberFormat="0" applyProtection="0">
      <alignment horizontal="right" vertical="center"/>
    </xf>
    <xf numFmtId="4" fontId="111" fillId="15" borderId="119" applyNumberFormat="0" applyProtection="0">
      <alignment horizontal="right" vertical="center"/>
    </xf>
    <xf numFmtId="0" fontId="5" fillId="61" borderId="119" applyNumberFormat="0" applyProtection="0">
      <alignment horizontal="left" vertical="center" indent="1"/>
    </xf>
    <xf numFmtId="0" fontId="5" fillId="44" borderId="119" applyNumberFormat="0" applyProtection="0">
      <alignment horizontal="left" vertical="center" indent="1"/>
    </xf>
    <xf numFmtId="0" fontId="5" fillId="62" borderId="119" applyNumberFormat="0" applyProtection="0">
      <alignment horizontal="left" vertical="center" indent="1"/>
    </xf>
    <xf numFmtId="4" fontId="112" fillId="63" borderId="119" applyNumberFormat="0" applyProtection="0">
      <alignment horizontal="right" vertical="center"/>
    </xf>
    <xf numFmtId="4" fontId="5" fillId="50" borderId="119" applyNumberFormat="0" applyProtection="0">
      <alignment horizontal="left" vertical="center" indent="1"/>
    </xf>
    <xf numFmtId="4" fontId="5" fillId="0" borderId="119" applyNumberFormat="0" applyProtection="0">
      <alignment horizontal="right" vertical="center"/>
    </xf>
    <xf numFmtId="0" fontId="5" fillId="34" borderId="119" applyNumberFormat="0" applyProtection="0">
      <alignment horizontal="left" vertical="center" indent="1"/>
    </xf>
    <xf numFmtId="0" fontId="5" fillId="59" borderId="95" applyNumberFormat="0" applyProtection="0">
      <alignment horizontal="left" vertical="top" indent="1"/>
    </xf>
    <xf numFmtId="4" fontId="38" fillId="21" borderId="124" applyNumberFormat="0" applyProtection="0">
      <alignment horizontal="right" vertical="center"/>
    </xf>
    <xf numFmtId="4" fontId="112" fillId="63" borderId="119" applyNumberFormat="0" applyProtection="0">
      <alignment horizontal="right" vertical="center"/>
    </xf>
    <xf numFmtId="0" fontId="5" fillId="62" borderId="119" applyNumberFormat="0" applyProtection="0">
      <alignment horizontal="left" vertical="center" indent="1"/>
    </xf>
    <xf numFmtId="0" fontId="5" fillId="44" borderId="119" applyNumberFormat="0" applyProtection="0">
      <alignment horizontal="left" vertical="center" indent="1"/>
    </xf>
    <xf numFmtId="0" fontId="5" fillId="61" borderId="119" applyNumberFormat="0" applyProtection="0">
      <alignment horizontal="left" vertical="center" indent="1"/>
    </xf>
    <xf numFmtId="4" fontId="5" fillId="59" borderId="119" applyNumberFormat="0" applyProtection="0">
      <alignment horizontal="right" vertical="center"/>
    </xf>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0" borderId="124" applyNumberFormat="0" applyProtection="0">
      <alignment horizontal="right" vertical="center"/>
    </xf>
    <xf numFmtId="0" fontId="2" fillId="0" borderId="121">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23"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23"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169" fontId="1" fillId="0" borderId="0" applyFont="0" applyFill="0" applyBorder="0" applyAlignment="0" applyProtection="0"/>
    <xf numFmtId="0" fontId="2" fillId="0" borderId="134">
      <alignment horizontal="left" vertical="center"/>
    </xf>
    <xf numFmtId="0" fontId="1" fillId="0" borderId="0"/>
    <xf numFmtId="0" fontId="1" fillId="0" borderId="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0"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8" fontId="18" fillId="0" borderId="0" applyFont="0" applyFill="0" applyBorder="0" applyAlignment="0" applyProtection="0"/>
    <xf numFmtId="164" fontId="36" fillId="0" borderId="47" applyAlignment="0" applyProtection="0"/>
    <xf numFmtId="0" fontId="94" fillId="58" borderId="130" applyNumberFormat="0" applyFont="0" applyAlignment="0" applyProtection="0"/>
    <xf numFmtId="0" fontId="5" fillId="44" borderId="128" applyNumberFormat="0" applyProtection="0">
      <alignment horizontal="left" vertical="top" indent="1"/>
    </xf>
    <xf numFmtId="190" fontId="50" fillId="0" borderId="47"/>
    <xf numFmtId="0" fontId="5" fillId="60" borderId="128" applyNumberFormat="0" applyProtection="0">
      <alignment horizontal="left" vertical="top" indent="1"/>
    </xf>
    <xf numFmtId="4" fontId="38" fillId="32" borderId="131" applyNumberFormat="0" applyProtection="0">
      <alignment horizontal="left" vertical="center" indent="1"/>
    </xf>
    <xf numFmtId="4" fontId="38" fillId="26" borderId="131" applyNumberFormat="0" applyProtection="0">
      <alignment horizontal="right" vertical="center"/>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4" fontId="38" fillId="23" borderId="131" applyNumberFormat="0" applyProtection="0">
      <alignment horizontal="right" vertical="center"/>
    </xf>
    <xf numFmtId="4" fontId="38" fillId="24" borderId="131" applyNumberFormat="0" applyProtection="0">
      <alignment horizontal="right" vertical="center"/>
    </xf>
    <xf numFmtId="4" fontId="38" fillId="25" borderId="131" applyNumberFormat="0" applyProtection="0">
      <alignment horizontal="right" vertical="center"/>
    </xf>
    <xf numFmtId="4" fontId="38" fillId="26" borderId="131" applyNumberFormat="0" applyProtection="0">
      <alignment horizontal="right" vertical="center"/>
    </xf>
    <xf numFmtId="4" fontId="38" fillId="27" borderId="131" applyNumberFormat="0" applyProtection="0">
      <alignment horizontal="right" vertical="center"/>
    </xf>
    <xf numFmtId="4" fontId="38" fillId="28" borderId="131" applyNumberFormat="0" applyProtection="0">
      <alignment horizontal="right" vertical="center"/>
    </xf>
    <xf numFmtId="4" fontId="65" fillId="29" borderId="131" applyNumberFormat="0" applyProtection="0">
      <alignment horizontal="left" vertical="center" indent="1"/>
    </xf>
    <xf numFmtId="4" fontId="38" fillId="30" borderId="126" applyNumberFormat="0" applyProtection="0">
      <alignment horizontal="left" vertical="center" indent="1"/>
    </xf>
    <xf numFmtId="0" fontId="1" fillId="19" borderId="131" applyNumberFormat="0" applyProtection="0">
      <alignment horizontal="left" vertical="center" indent="1"/>
    </xf>
    <xf numFmtId="4" fontId="38" fillId="30"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8" fillId="30" borderId="131" applyNumberFormat="0" applyProtection="0">
      <alignment horizontal="right" vertical="center"/>
    </xf>
    <xf numFmtId="164" fontId="77" fillId="30" borderId="120">
      <alignment vertical="top"/>
    </xf>
    <xf numFmtId="165" fontId="79" fillId="36" borderId="120"/>
    <xf numFmtId="164" fontId="55" fillId="0" borderId="120">
      <alignment horizontal="left" vertical="top"/>
    </xf>
    <xf numFmtId="0" fontId="97" fillId="34" borderId="122" applyNumberFormat="0" applyAlignment="0" applyProtection="0"/>
    <xf numFmtId="168" fontId="29" fillId="0" borderId="0" applyFont="0" applyFill="0" applyBorder="0" applyAlignment="0" applyProtection="0"/>
    <xf numFmtId="0" fontId="1" fillId="19" borderId="131" applyNumberFormat="0" applyProtection="0">
      <alignment horizontal="left" vertical="center" indent="1"/>
    </xf>
    <xf numFmtId="0" fontId="104" fillId="43" borderId="122" applyNumberFormat="0" applyAlignment="0" applyProtection="0"/>
    <xf numFmtId="164" fontId="36" fillId="0" borderId="47" applyAlignment="0" applyProtection="0"/>
    <xf numFmtId="0" fontId="1" fillId="19" borderId="131" applyNumberFormat="0" applyProtection="0">
      <alignment horizontal="left" vertical="center"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4" fontId="5" fillId="59" borderId="127" applyNumberFormat="0" applyProtection="0">
      <alignment horizontal="right" vertical="center"/>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64" fontId="77" fillId="30" borderId="120">
      <alignment vertical="top"/>
    </xf>
    <xf numFmtId="0" fontId="2" fillId="0" borderId="134">
      <alignment horizontal="left" vertical="center"/>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38" fillId="30" borderId="131" applyNumberFormat="0" applyProtection="0">
      <alignment horizontal="left" vertical="center" indent="1"/>
    </xf>
    <xf numFmtId="0" fontId="5" fillId="59" borderId="128" applyNumberFormat="0" applyProtection="0">
      <alignment horizontal="left" vertical="top" indent="1"/>
    </xf>
    <xf numFmtId="0" fontId="5" fillId="34" borderId="127" applyNumberFormat="0" applyProtection="0">
      <alignment horizontal="left" vertical="center" indent="1"/>
    </xf>
    <xf numFmtId="4" fontId="5" fillId="0" borderId="127" applyNumberFormat="0" applyProtection="0">
      <alignment horizontal="right" vertical="center"/>
    </xf>
    <xf numFmtId="4" fontId="5" fillId="50" borderId="127"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4" fontId="38" fillId="24" borderId="131" applyNumberFormat="0" applyProtection="0">
      <alignment horizontal="right" vertical="center"/>
    </xf>
    <xf numFmtId="164" fontId="36" fillId="0" borderId="47" applyAlignment="0" applyProtection="0"/>
    <xf numFmtId="0" fontId="107" fillId="34" borderId="131" applyNumberFormat="0" applyAlignment="0" applyProtection="0"/>
    <xf numFmtId="4" fontId="38" fillId="24" borderId="131" applyNumberFormat="0" applyProtection="0">
      <alignment horizontal="right" vertical="center"/>
    </xf>
    <xf numFmtId="4" fontId="38" fillId="23" borderId="131" applyNumberFormat="0" applyProtection="0">
      <alignment horizontal="right" vertical="center"/>
    </xf>
    <xf numFmtId="0" fontId="1" fillId="32" borderId="131" applyNumberFormat="0" applyProtection="0">
      <alignment horizontal="left" vertical="center" indent="1"/>
    </xf>
    <xf numFmtId="164" fontId="77" fillId="30" borderId="120">
      <alignment vertical="top"/>
    </xf>
    <xf numFmtId="4" fontId="38" fillId="20" borderId="131" applyNumberFormat="0" applyProtection="0">
      <alignment horizontal="right" vertical="center"/>
    </xf>
    <xf numFmtId="165" fontId="79" fillId="36" borderId="120"/>
    <xf numFmtId="164" fontId="55" fillId="0" borderId="120">
      <alignment horizontal="left" vertical="top"/>
    </xf>
    <xf numFmtId="190" fontId="50" fillId="0" borderId="47"/>
    <xf numFmtId="0" fontId="2" fillId="0" borderId="129">
      <alignment horizontal="left" vertical="center"/>
    </xf>
    <xf numFmtId="4" fontId="38" fillId="27" borderId="131" applyNumberFormat="0" applyProtection="0">
      <alignment horizontal="right" vertical="center"/>
    </xf>
    <xf numFmtId="4" fontId="65" fillId="29" borderId="131" applyNumberFormat="0" applyProtection="0">
      <alignment horizontal="left" vertical="center" indent="1"/>
    </xf>
    <xf numFmtId="0" fontId="1" fillId="19" borderId="131" applyNumberFormat="0" applyProtection="0">
      <alignment horizontal="left" vertical="center" indent="1"/>
    </xf>
    <xf numFmtId="4" fontId="38" fillId="30" borderId="131" applyNumberFormat="0" applyProtection="0">
      <alignment horizontal="left" vertical="center" indent="1"/>
    </xf>
    <xf numFmtId="0" fontId="1" fillId="3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4" fontId="38" fillId="32" borderId="131" applyNumberFormat="0" applyProtection="0">
      <alignment horizontal="left" vertical="center" indent="1"/>
    </xf>
    <xf numFmtId="164" fontId="36" fillId="0" borderId="47" applyAlignment="0" applyProtection="0"/>
    <xf numFmtId="164" fontId="77" fillId="30" borderId="120">
      <alignment vertical="top"/>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8" borderId="131" applyNumberFormat="0" applyProtection="0">
      <alignment horizontal="right" vertical="center"/>
    </xf>
    <xf numFmtId="4" fontId="38" fillId="27" borderId="131" applyNumberFormat="0" applyProtection="0">
      <alignment horizontal="right" vertical="center"/>
    </xf>
    <xf numFmtId="4" fontId="38" fillId="26" borderId="131" applyNumberFormat="0" applyProtection="0">
      <alignment horizontal="right" vertical="center"/>
    </xf>
    <xf numFmtId="4" fontId="38" fillId="25" borderId="131" applyNumberFormat="0" applyProtection="0">
      <alignment horizontal="right" vertical="center"/>
    </xf>
    <xf numFmtId="4" fontId="38" fillId="24" borderId="131" applyNumberFormat="0" applyProtection="0">
      <alignment horizontal="right" vertical="center"/>
    </xf>
    <xf numFmtId="4" fontId="38" fillId="23" borderId="131" applyNumberFormat="0" applyProtection="0">
      <alignment horizontal="right" vertical="center"/>
    </xf>
    <xf numFmtId="4" fontId="38" fillId="22" borderId="131" applyNumberFormat="0" applyProtection="0">
      <alignment horizontal="right" vertical="center"/>
    </xf>
    <xf numFmtId="4" fontId="38" fillId="21" borderId="131" applyNumberFormat="0" applyProtection="0">
      <alignment horizontal="right" vertical="center"/>
    </xf>
    <xf numFmtId="4" fontId="38" fillId="20"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164" fontId="55" fillId="0" borderId="120">
      <alignment horizontal="left" vertical="top"/>
    </xf>
    <xf numFmtId="4" fontId="38" fillId="28" borderId="131" applyNumberFormat="0" applyProtection="0">
      <alignment horizontal="right" vertical="center"/>
    </xf>
    <xf numFmtId="0" fontId="104" fillId="43" borderId="122" applyNumberFormat="0" applyAlignment="0" applyProtection="0"/>
    <xf numFmtId="165" fontId="79" fillId="36" borderId="120"/>
    <xf numFmtId="164" fontId="77" fillId="30" borderId="120">
      <alignment vertical="top"/>
    </xf>
    <xf numFmtId="164" fontId="36" fillId="0" borderId="47" applyAlignment="0" applyProtection="0"/>
    <xf numFmtId="4" fontId="38" fillId="25" borderId="131" applyNumberFormat="0" applyProtection="0">
      <alignment horizontal="right" vertical="center"/>
    </xf>
    <xf numFmtId="4" fontId="38" fillId="24" borderId="131" applyNumberFormat="0" applyProtection="0">
      <alignment horizontal="right" vertical="center"/>
    </xf>
    <xf numFmtId="4" fontId="38" fillId="23" borderId="131" applyNumberFormat="0" applyProtection="0">
      <alignment horizontal="right" vertical="center"/>
    </xf>
    <xf numFmtId="4" fontId="38" fillId="22" borderId="131" applyNumberFormat="0" applyProtection="0">
      <alignment horizontal="right" vertical="center"/>
    </xf>
    <xf numFmtId="4" fontId="38" fillId="21" borderId="131" applyNumberFormat="0" applyProtection="0">
      <alignment horizontal="right" vertical="center"/>
    </xf>
    <xf numFmtId="4" fontId="38" fillId="20"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4" fontId="64" fillId="18" borderId="131" applyNumberFormat="0" applyProtection="0">
      <alignment vertical="center"/>
    </xf>
    <xf numFmtId="4" fontId="38" fillId="28" borderId="131" applyNumberFormat="0" applyProtection="0">
      <alignment horizontal="right" vertical="center"/>
    </xf>
    <xf numFmtId="4" fontId="38" fillId="30" borderId="131" applyNumberFormat="0" applyProtection="0">
      <alignment horizontal="right" vertical="center"/>
    </xf>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5" fillId="0" borderId="127" applyNumberFormat="0" applyProtection="0">
      <alignment horizontal="right" vertical="center"/>
    </xf>
    <xf numFmtId="0" fontId="109" fillId="0" borderId="132" applyNumberFormat="0" applyFill="0" applyAlignment="0" applyProtection="0"/>
    <xf numFmtId="0" fontId="1" fillId="58" borderId="130" applyNumberFormat="0" applyFont="0" applyAlignment="0" applyProtection="0"/>
    <xf numFmtId="4" fontId="38" fillId="30" borderId="131" applyNumberFormat="0" applyProtection="0">
      <alignment horizontal="right" vertical="center"/>
    </xf>
    <xf numFmtId="4" fontId="38" fillId="28" borderId="131" applyNumberFormat="0" applyProtection="0">
      <alignment horizontal="right" vertical="center"/>
    </xf>
    <xf numFmtId="0" fontId="2" fillId="0" borderId="134">
      <alignment horizontal="left" vertical="center"/>
    </xf>
    <xf numFmtId="164" fontId="55" fillId="0" borderId="120">
      <alignment horizontal="left" vertical="top"/>
    </xf>
    <xf numFmtId="165" fontId="79" fillId="36" borderId="120"/>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38" fillId="21" borderId="131" applyNumberFormat="0" applyProtection="0">
      <alignment horizontal="right" vertical="center"/>
    </xf>
    <xf numFmtId="4" fontId="38" fillId="22" borderId="131" applyNumberFormat="0" applyProtection="0">
      <alignment horizontal="right" vertical="center"/>
    </xf>
    <xf numFmtId="4" fontId="38" fillId="23" borderId="131" applyNumberFormat="0" applyProtection="0">
      <alignment horizontal="right" vertical="center"/>
    </xf>
    <xf numFmtId="4" fontId="38" fillId="24" borderId="131" applyNumberFormat="0" applyProtection="0">
      <alignment horizontal="right" vertical="center"/>
    </xf>
    <xf numFmtId="4" fontId="38" fillId="25" borderId="131" applyNumberFormat="0" applyProtection="0">
      <alignment horizontal="right" vertical="center"/>
    </xf>
    <xf numFmtId="4" fontId="38" fillId="26" borderId="131" applyNumberFormat="0" applyProtection="0">
      <alignment horizontal="right" vertical="center"/>
    </xf>
    <xf numFmtId="4" fontId="38" fillId="27" borderId="131" applyNumberFormat="0" applyProtection="0">
      <alignment horizontal="right" vertical="center"/>
    </xf>
    <xf numFmtId="4" fontId="65" fillId="29" borderId="131" applyNumberFormat="0" applyProtection="0">
      <alignment horizontal="left" vertical="center" indent="1"/>
    </xf>
    <xf numFmtId="4" fontId="38" fillId="30" borderId="126" applyNumberFormat="0" applyProtection="0">
      <alignment horizontal="left" vertical="center" indent="1"/>
    </xf>
    <xf numFmtId="0" fontId="1" fillId="19" borderId="131" applyNumberFormat="0" applyProtection="0">
      <alignment horizontal="left" vertical="center" indent="1"/>
    </xf>
    <xf numFmtId="4" fontId="38" fillId="30" borderId="131" applyNumberFormat="0" applyProtection="0">
      <alignment horizontal="left" vertical="center" indent="1"/>
    </xf>
    <xf numFmtId="4" fontId="38" fillId="32" borderId="131" applyNumberFormat="0" applyProtection="0">
      <alignment horizontal="left" vertical="center" indent="1"/>
    </xf>
    <xf numFmtId="0" fontId="1" fillId="3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0" fontId="1" fillId="2" borderId="131" applyNumberFormat="0" applyProtection="0">
      <alignment horizontal="left" vertical="center" indent="1"/>
    </xf>
    <xf numFmtId="4" fontId="64" fillId="30" borderId="131" applyNumberFormat="0" applyProtection="0">
      <alignment horizontal="right" vertical="center"/>
    </xf>
    <xf numFmtId="4" fontId="38" fillId="30" borderId="126" applyNumberFormat="0" applyProtection="0">
      <alignment horizontal="left" vertical="center" indent="1"/>
    </xf>
    <xf numFmtId="4" fontId="38" fillId="3" borderId="131" applyNumberFormat="0" applyProtection="0">
      <alignmen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8" fillId="30" borderId="131" applyNumberFormat="0" applyProtection="0">
      <alignment horizontal="right" vertical="center"/>
    </xf>
    <xf numFmtId="0" fontId="97" fillId="34" borderId="122" applyNumberFormat="0" applyAlignment="0" applyProtection="0"/>
    <xf numFmtId="0" fontId="104" fillId="43" borderId="122" applyNumberFormat="0" applyAlignment="0" applyProtection="0"/>
    <xf numFmtId="0" fontId="104" fillId="43" borderId="122" applyNumberFormat="0" applyAlignment="0" applyProtection="0"/>
    <xf numFmtId="0" fontId="97" fillId="34" borderId="122" applyNumberFormat="0" applyAlignment="0" applyProtection="0"/>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0" fontId="1" fillId="2" borderId="131" applyNumberFormat="0" applyProtection="0">
      <alignment horizontal="left" vertical="center" indent="1"/>
    </xf>
    <xf numFmtId="4" fontId="38" fillId="3" borderId="131" applyNumberFormat="0" applyProtection="0">
      <alignment horizontal="left" vertical="center" indent="1"/>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164" fontId="55" fillId="0" borderId="120">
      <alignment horizontal="left" vertical="top"/>
    </xf>
    <xf numFmtId="0" fontId="97" fillId="34" borderId="122" applyNumberFormat="0" applyAlignment="0" applyProtection="0"/>
    <xf numFmtId="4" fontId="68" fillId="30" borderId="131" applyNumberFormat="0" applyProtection="0">
      <alignment horizontal="right" vertical="center"/>
    </xf>
    <xf numFmtId="4" fontId="38" fillId="3" borderId="131" applyNumberFormat="0" applyProtection="0">
      <alignment vertical="center"/>
    </xf>
    <xf numFmtId="0" fontId="1" fillId="19" borderId="131" applyNumberFormat="0" applyProtection="0">
      <alignment horizontal="left" vertical="center" indent="1"/>
    </xf>
    <xf numFmtId="4" fontId="64" fillId="30" borderId="131" applyNumberFormat="0" applyProtection="0">
      <alignment horizontal="right" vertical="center"/>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7" borderId="131" applyNumberFormat="0" applyProtection="0">
      <alignment horizontal="right" vertical="center"/>
    </xf>
    <xf numFmtId="4" fontId="38" fillId="26" borderId="131" applyNumberFormat="0" applyProtection="0">
      <alignment horizontal="right" vertical="center"/>
    </xf>
    <xf numFmtId="0" fontId="1" fillId="32" borderId="131" applyNumberFormat="0" applyProtection="0">
      <alignment horizontal="left" vertical="center" indent="1"/>
    </xf>
    <xf numFmtId="4" fontId="38" fillId="21" borderId="131" applyNumberFormat="0" applyProtection="0">
      <alignment horizontal="right" vertical="center"/>
    </xf>
    <xf numFmtId="4" fontId="38" fillId="30" borderId="131" applyNumberFormat="0" applyProtection="0">
      <alignment horizontal="right" vertical="center"/>
    </xf>
    <xf numFmtId="4" fontId="38" fillId="28" borderId="131" applyNumberFormat="0" applyProtection="0">
      <alignment horizontal="right" vertical="center"/>
    </xf>
    <xf numFmtId="0" fontId="2" fillId="0" borderId="129">
      <alignment horizontal="left" vertical="center"/>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164" fontId="55" fillId="0" borderId="120">
      <alignment horizontal="left" vertical="top"/>
    </xf>
    <xf numFmtId="165" fontId="79" fillId="36" borderId="120"/>
    <xf numFmtId="0" fontId="1" fillId="19" borderId="131" applyNumberFormat="0" applyProtection="0">
      <alignment horizontal="left" vertical="center" indent="1"/>
    </xf>
    <xf numFmtId="164" fontId="77" fillId="30" borderId="120">
      <alignment vertical="top"/>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1" fillId="32"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19" borderId="131" applyNumberFormat="0" applyProtection="0">
      <alignment horizontal="left" vertical="center" indent="1"/>
    </xf>
    <xf numFmtId="4" fontId="38" fillId="25" borderId="131" applyNumberFormat="0" applyProtection="0">
      <alignment horizontal="right" vertical="center"/>
    </xf>
    <xf numFmtId="190" fontId="50" fillId="0" borderId="47"/>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4" fontId="38" fillId="23" borderId="131" applyNumberFormat="0" applyProtection="0">
      <alignment horizontal="right" vertical="center"/>
    </xf>
    <xf numFmtId="0" fontId="1" fillId="32" borderId="131" applyNumberFormat="0" applyProtection="0">
      <alignment horizontal="left" vertical="center" indent="1"/>
    </xf>
    <xf numFmtId="0" fontId="1" fillId="32" borderId="131" applyNumberFormat="0" applyProtection="0">
      <alignment horizontal="left" vertical="center" indent="1"/>
    </xf>
    <xf numFmtId="0" fontId="1" fillId="19" borderId="131"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38" fillId="3" borderId="131" applyNumberFormat="0" applyProtection="0">
      <alignment horizontal="left" vertical="center" indent="1"/>
    </xf>
    <xf numFmtId="4" fontId="5" fillId="59" borderId="127" applyNumberFormat="0" applyProtection="0">
      <alignment horizontal="right" vertical="center"/>
    </xf>
    <xf numFmtId="0" fontId="1" fillId="2" borderId="131" applyNumberFormat="0" applyProtection="0">
      <alignment horizontal="left" vertical="center" indent="1"/>
    </xf>
    <xf numFmtId="0" fontId="104" fillId="43" borderId="122" applyNumberFormat="0" applyAlignment="0" applyProtection="0"/>
    <xf numFmtId="4" fontId="38" fillId="20" borderId="131" applyNumberFormat="0" applyProtection="0">
      <alignment horizontal="right" vertical="center"/>
    </xf>
    <xf numFmtId="4" fontId="68" fillId="30" borderId="131" applyNumberFormat="0" applyProtection="0">
      <alignment horizontal="right" vertical="center"/>
    </xf>
    <xf numFmtId="4" fontId="38" fillId="3"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19" borderId="131" applyNumberFormat="0" applyProtection="0">
      <alignment horizontal="left" vertical="center" indent="1"/>
    </xf>
    <xf numFmtId="164" fontId="77" fillId="30" borderId="120">
      <alignment vertical="top"/>
    </xf>
    <xf numFmtId="0" fontId="1" fillId="33" borderId="131" applyNumberFormat="0" applyProtection="0">
      <alignment horizontal="left" vertical="center" indent="1"/>
    </xf>
    <xf numFmtId="4" fontId="38" fillId="30" borderId="126" applyNumberFormat="0" applyProtection="0">
      <alignment horizontal="left" vertical="center" indent="1"/>
    </xf>
    <xf numFmtId="4" fontId="38" fillId="22" borderId="131" applyNumberFormat="0" applyProtection="0">
      <alignment horizontal="right" vertical="center"/>
    </xf>
    <xf numFmtId="165" fontId="79" fillId="36" borderId="120"/>
    <xf numFmtId="4" fontId="38" fillId="18" borderId="131" applyNumberFormat="0" applyProtection="0">
      <alignment vertical="center"/>
    </xf>
    <xf numFmtId="4" fontId="38" fillId="30" borderId="131" applyNumberFormat="0" applyProtection="0">
      <alignment horizontal="left" vertical="center" indent="1"/>
    </xf>
    <xf numFmtId="4" fontId="38" fillId="30" borderId="131" applyNumberFormat="0" applyProtection="0">
      <alignment horizontal="right" vertical="center"/>
    </xf>
    <xf numFmtId="0" fontId="1" fillId="32" borderId="131" applyNumberFormat="0" applyProtection="0">
      <alignment horizontal="left" vertical="center" indent="1"/>
    </xf>
    <xf numFmtId="4" fontId="38" fillId="26" borderId="131" applyNumberFormat="0" applyProtection="0">
      <alignment horizontal="right" vertical="center"/>
    </xf>
    <xf numFmtId="0" fontId="2" fillId="0" borderId="129">
      <alignment horizontal="lef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38" fillId="3" borderId="131" applyNumberFormat="0" applyProtection="0">
      <alignment vertical="center"/>
    </xf>
    <xf numFmtId="4" fontId="38" fillId="26" borderId="131" applyNumberFormat="0" applyProtection="0">
      <alignment horizontal="right" vertical="center"/>
    </xf>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90" fontId="50" fillId="0" borderId="47"/>
    <xf numFmtId="164" fontId="77" fillId="30" borderId="120">
      <alignment vertical="top"/>
    </xf>
    <xf numFmtId="0" fontId="2" fillId="0" borderId="129">
      <alignment horizontal="left" vertical="center"/>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64" fillId="3" borderId="131" applyNumberFormat="0" applyProtection="0">
      <alignment vertical="center"/>
    </xf>
    <xf numFmtId="0" fontId="1" fillId="33"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0" fontId="1" fillId="19" borderId="131" applyNumberFormat="0" applyProtection="0">
      <alignment horizontal="left" vertical="center" indent="1"/>
    </xf>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64"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38" fillId="27"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04" fillId="43" borderId="122" applyNumberFormat="0" applyAlignment="0" applyProtection="0"/>
    <xf numFmtId="0" fontId="1" fillId="58" borderId="130" applyNumberFormat="0" applyFont="0" applyAlignment="0" applyProtection="0"/>
    <xf numFmtId="0" fontId="107" fillId="34" borderId="131" applyNumberFormat="0" applyAlignment="0" applyProtection="0"/>
    <xf numFmtId="190" fontId="50" fillId="0" borderId="47"/>
    <xf numFmtId="4" fontId="38" fillId="25" borderId="131" applyNumberFormat="0" applyProtection="0">
      <alignment horizontal="right" vertical="center"/>
    </xf>
    <xf numFmtId="0" fontId="109" fillId="0" borderId="132" applyNumberFormat="0" applyFill="0" applyAlignment="0" applyProtection="0"/>
    <xf numFmtId="4" fontId="38" fillId="18" borderId="131" applyNumberFormat="0" applyProtection="0">
      <alignment vertical="center"/>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0" fontId="1" fillId="19" borderId="131"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164" fontId="36" fillId="0" borderId="47" applyAlignment="0" applyProtection="0"/>
    <xf numFmtId="0" fontId="1" fillId="19" borderId="131" applyNumberFormat="0" applyProtection="0">
      <alignment horizontal="left" vertical="center" indent="1"/>
    </xf>
    <xf numFmtId="0" fontId="94" fillId="58" borderId="130" applyNumberFormat="0" applyFont="0" applyAlignment="0" applyProtection="0"/>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0" fontId="97" fillId="34" borderId="122" applyNumberFormat="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64"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34">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190" fontId="50" fillId="0" borderId="47"/>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0" fontId="1" fillId="19" borderId="131"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164" fontId="36" fillId="0" borderId="47" applyAlignment="0" applyProtection="0"/>
    <xf numFmtId="0" fontId="1" fillId="19" borderId="131" applyNumberFormat="0" applyProtection="0">
      <alignment horizontal="left" vertical="center" indent="1"/>
    </xf>
    <xf numFmtId="0" fontId="94" fillId="58" borderId="130" applyNumberFormat="0" applyFont="0" applyAlignment="0" applyProtection="0"/>
    <xf numFmtId="0" fontId="97" fillId="34" borderId="122" applyNumberFormat="0" applyAlignment="0" applyProtection="0"/>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64" fontId="77" fillId="30" borderId="120">
      <alignment vertical="top"/>
    </xf>
    <xf numFmtId="0" fontId="2" fillId="0" borderId="134">
      <alignment horizontal="left" vertical="center"/>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34">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190" fontId="50" fillId="0" borderId="47"/>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0" fontId="1" fillId="19" borderId="131"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1" fillId="19" borderId="131" applyNumberFormat="0" applyProtection="0">
      <alignment horizontal="left" vertical="center" indent="1"/>
    </xf>
    <xf numFmtId="0" fontId="94" fillId="58" borderId="130" applyNumberFormat="0" applyFont="0" applyAlignment="0" applyProtection="0"/>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164"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165" fontId="79" fillId="36" borderId="120"/>
    <xf numFmtId="164"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4" fontId="38" fillId="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4" fontId="38" fillId="24"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0" fontId="94" fillId="58" borderId="130" applyNumberFormat="0" applyFont="0" applyAlignment="0" applyProtection="0"/>
    <xf numFmtId="0" fontId="94" fillId="58" borderId="130" applyNumberFormat="0" applyFont="0" applyAlignment="0" applyProtection="0"/>
    <xf numFmtId="0" fontId="94" fillId="0" borderId="0"/>
    <xf numFmtId="0" fontId="167" fillId="0" borderId="0"/>
    <xf numFmtId="0" fontId="168" fillId="0" borderId="0" applyAlignment="0">
      <alignment vertical="center"/>
    </xf>
    <xf numFmtId="0" fontId="167" fillId="0" borderId="0"/>
    <xf numFmtId="0" fontId="168" fillId="0" borderId="0" applyAlignment="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3" fillId="0" borderId="0" applyFont="0" applyFill="0" applyBorder="0" applyAlignment="0" applyProtection="0"/>
    <xf numFmtId="181" fontId="11" fillId="0" borderId="0" applyFont="0" applyFill="0" applyBorder="0" applyAlignment="0" applyProtection="0"/>
  </cellStyleXfs>
  <cellXfs count="2029">
    <xf numFmtId="0" fontId="0" fillId="0" borderId="0" xfId="0"/>
    <xf numFmtId="0" fontId="9" fillId="12" borderId="4" xfId="0" applyFont="1" applyFill="1" applyBorder="1"/>
    <xf numFmtId="0" fontId="11" fillId="0" borderId="4" xfId="0" applyFont="1" applyBorder="1"/>
    <xf numFmtId="0" fontId="9" fillId="0" borderId="4" xfId="0" applyFont="1" applyBorder="1" applyAlignment="1">
      <alignment wrapText="1"/>
    </xf>
    <xf numFmtId="0" fontId="11" fillId="0" borderId="4" xfId="0" applyFont="1" applyFill="1" applyBorder="1"/>
    <xf numFmtId="0" fontId="0" fillId="0" borderId="0" xfId="0" applyFont="1"/>
    <xf numFmtId="0" fontId="11" fillId="0" borderId="0" xfId="0" applyFont="1"/>
    <xf numFmtId="0" fontId="11" fillId="12" borderId="4" xfId="0" applyFont="1" applyFill="1" applyBorder="1"/>
    <xf numFmtId="0" fontId="9" fillId="0" borderId="6" xfId="1" applyFont="1" applyBorder="1" applyAlignment="1">
      <alignment horizontal="center"/>
    </xf>
    <xf numFmtId="0" fontId="9" fillId="0" borderId="4" xfId="1" applyFont="1" applyBorder="1" applyAlignment="1">
      <alignment horizontal="center"/>
    </xf>
    <xf numFmtId="0" fontId="9" fillId="0" borderId="10" xfId="1" applyFont="1" applyBorder="1" applyAlignment="1">
      <alignment horizontal="center"/>
    </xf>
    <xf numFmtId="0" fontId="9" fillId="9" borderId="9" xfId="1" applyFont="1" applyFill="1" applyBorder="1" applyAlignment="1">
      <alignment horizontal="left" wrapText="1"/>
    </xf>
    <xf numFmtId="0" fontId="11" fillId="8" borderId="4" xfId="0" applyFont="1" applyFill="1" applyBorder="1"/>
    <xf numFmtId="0" fontId="11" fillId="0" borderId="4" xfId="0" applyFont="1" applyBorder="1" applyAlignment="1">
      <alignment horizontal="center"/>
    </xf>
    <xf numFmtId="0" fontId="13" fillId="7" borderId="0" xfId="1" applyFont="1" applyFill="1" applyAlignment="1">
      <alignment horizontal="center"/>
    </xf>
    <xf numFmtId="0" fontId="9" fillId="4" borderId="5" xfId="1" applyFont="1" applyFill="1" applyBorder="1" applyAlignment="1"/>
    <xf numFmtId="0" fontId="13" fillId="4" borderId="7" xfId="1" applyFont="1" applyFill="1" applyBorder="1" applyAlignment="1"/>
    <xf numFmtId="0" fontId="13" fillId="4" borderId="13" xfId="1" applyFont="1" applyFill="1" applyBorder="1" applyAlignment="1"/>
    <xf numFmtId="0" fontId="13" fillId="4" borderId="8" xfId="1" applyFont="1" applyFill="1" applyBorder="1" applyAlignment="1"/>
    <xf numFmtId="0" fontId="9" fillId="4" borderId="17" xfId="1" applyFont="1" applyFill="1" applyBorder="1" applyAlignment="1"/>
    <xf numFmtId="0" fontId="13" fillId="4" borderId="11" xfId="1" applyFont="1" applyFill="1" applyBorder="1" applyAlignment="1"/>
    <xf numFmtId="0" fontId="13" fillId="4" borderId="15" xfId="1" applyFont="1" applyFill="1" applyBorder="1" applyAlignment="1"/>
    <xf numFmtId="0" fontId="13" fillId="4" borderId="18" xfId="1" applyFont="1" applyFill="1" applyBorder="1" applyAlignment="1"/>
    <xf numFmtId="0" fontId="9" fillId="0" borderId="10" xfId="1" applyFont="1" applyBorder="1" applyAlignment="1">
      <alignment horizontal="center" wrapText="1"/>
    </xf>
    <xf numFmtId="0" fontId="9" fillId="10" borderId="9" xfId="1" applyFont="1" applyFill="1" applyBorder="1" applyAlignment="1">
      <alignment horizontal="left" wrapText="1"/>
    </xf>
    <xf numFmtId="0" fontId="9" fillId="14" borderId="9" xfId="1" applyFont="1" applyFill="1" applyBorder="1" applyAlignment="1">
      <alignment horizontal="left" wrapText="1"/>
    </xf>
    <xf numFmtId="0" fontId="9" fillId="9" borderId="9" xfId="1" applyFont="1" applyFill="1" applyBorder="1" applyAlignment="1">
      <alignment wrapText="1"/>
    </xf>
    <xf numFmtId="0" fontId="9" fillId="0" borderId="4" xfId="1" applyFont="1" applyFill="1" applyBorder="1" applyAlignment="1">
      <alignment wrapText="1"/>
    </xf>
    <xf numFmtId="0" fontId="9" fillId="12" borderId="9" xfId="1" applyFont="1" applyFill="1" applyBorder="1" applyAlignment="1">
      <alignment wrapText="1"/>
    </xf>
    <xf numFmtId="0" fontId="9" fillId="12" borderId="9" xfId="1" applyFont="1" applyFill="1" applyBorder="1" applyAlignment="1">
      <alignment horizontal="left"/>
    </xf>
    <xf numFmtId="0" fontId="9" fillId="0" borderId="9" xfId="1" applyFont="1" applyFill="1" applyBorder="1" applyAlignment="1">
      <alignment wrapText="1"/>
    </xf>
    <xf numFmtId="0" fontId="9" fillId="11" borderId="9" xfId="1" applyFont="1" applyFill="1" applyBorder="1" applyAlignment="1">
      <alignment wrapText="1"/>
    </xf>
    <xf numFmtId="0" fontId="9" fillId="8" borderId="9" xfId="1" applyFont="1" applyFill="1" applyBorder="1" applyAlignment="1">
      <alignment wrapText="1"/>
    </xf>
    <xf numFmtId="0" fontId="9" fillId="8" borderId="9" xfId="1" applyFont="1" applyFill="1" applyBorder="1"/>
    <xf numFmtId="0" fontId="9" fillId="0" borderId="9" xfId="1" applyFont="1" applyFill="1" applyBorder="1"/>
    <xf numFmtId="0" fontId="9" fillId="0" borderId="4" xfId="1" applyFont="1" applyFill="1" applyBorder="1"/>
    <xf numFmtId="0" fontId="9" fillId="0" borderId="0" xfId="1" applyFont="1" applyBorder="1" applyAlignment="1">
      <alignment horizontal="center"/>
    </xf>
    <xf numFmtId="0" fontId="9" fillId="0" borderId="0" xfId="39" applyFont="1" applyBorder="1" applyAlignment="1">
      <alignment wrapText="1"/>
    </xf>
    <xf numFmtId="0" fontId="9" fillId="0" borderId="0" xfId="1" applyFont="1"/>
    <xf numFmtId="0" fontId="15" fillId="0" borderId="0" xfId="1" applyFont="1" applyAlignment="1">
      <alignment horizontal="left"/>
    </xf>
    <xf numFmtId="0" fontId="13" fillId="7" borderId="0" xfId="1" applyFont="1" applyFill="1" applyAlignment="1">
      <alignment horizontal="left"/>
    </xf>
    <xf numFmtId="0" fontId="9" fillId="0" borderId="0" xfId="1" applyFont="1" applyAlignment="1">
      <alignment horizontal="center"/>
    </xf>
    <xf numFmtId="0" fontId="13" fillId="0" borderId="4" xfId="0" applyFont="1" applyBorder="1" applyAlignment="1">
      <alignment horizontal="center" wrapText="1"/>
    </xf>
    <xf numFmtId="0" fontId="0" fillId="0" borderId="0" xfId="0" applyFont="1" applyAlignment="1">
      <alignment horizontal="center"/>
    </xf>
    <xf numFmtId="0" fontId="0" fillId="0" borderId="0" xfId="0" applyFont="1" applyAlignment="1"/>
    <xf numFmtId="0" fontId="9" fillId="0" borderId="0" xfId="0" applyFont="1" applyBorder="1" applyAlignment="1"/>
    <xf numFmtId="0" fontId="9" fillId="0" borderId="0" xfId="0" applyFont="1" applyBorder="1" applyAlignment="1">
      <alignment wrapText="1"/>
    </xf>
    <xf numFmtId="0" fontId="9" fillId="0" borderId="4" xfId="0" applyFont="1" applyBorder="1" applyAlignment="1"/>
    <xf numFmtId="0" fontId="0" fillId="0" borderId="4" xfId="0" applyFont="1" applyBorder="1" applyAlignment="1"/>
    <xf numFmtId="0" fontId="13" fillId="0" borderId="4" xfId="0" applyFont="1" applyBorder="1" applyAlignment="1"/>
    <xf numFmtId="0" fontId="9" fillId="0" borderId="4" xfId="0" applyFont="1" applyBorder="1" applyAlignment="1">
      <alignment horizontal="center" wrapText="1"/>
    </xf>
    <xf numFmtId="0" fontId="0" fillId="0" borderId="0" xfId="0" applyAlignment="1">
      <alignment wrapText="1"/>
    </xf>
    <xf numFmtId="0" fontId="12" fillId="5" borderId="0" xfId="17" applyFont="1" applyFill="1" applyBorder="1" applyAlignment="1"/>
    <xf numFmtId="0" fontId="13" fillId="0" borderId="23" xfId="0" applyFont="1" applyFill="1" applyBorder="1" applyAlignment="1">
      <alignment horizontal="center" wrapText="1"/>
    </xf>
    <xf numFmtId="0" fontId="0" fillId="0" borderId="0" xfId="0" applyFont="1" applyAlignment="1"/>
    <xf numFmtId="0" fontId="10" fillId="0" borderId="0" xfId="0" applyFont="1" applyAlignment="1">
      <alignment horizontal="center"/>
    </xf>
    <xf numFmtId="0" fontId="117" fillId="0" borderId="0" xfId="0" applyFont="1" applyAlignment="1">
      <alignment wrapText="1"/>
    </xf>
    <xf numFmtId="0" fontId="0" fillId="0" borderId="4" xfId="0" applyBorder="1"/>
    <xf numFmtId="0" fontId="13" fillId="5" borderId="0" xfId="0" applyFont="1" applyFill="1" applyBorder="1" applyAlignment="1"/>
    <xf numFmtId="0" fontId="0" fillId="0" borderId="0" xfId="0" applyFont="1" applyAlignment="1">
      <alignment vertical="center"/>
    </xf>
    <xf numFmtId="0" fontId="120" fillId="0" borderId="4" xfId="0" applyFont="1" applyBorder="1" applyAlignment="1">
      <alignment horizontal="center" vertical="center"/>
    </xf>
    <xf numFmtId="0" fontId="120" fillId="0" borderId="4" xfId="0" applyFont="1" applyFill="1" applyBorder="1" applyAlignment="1">
      <alignment horizontal="center" vertical="center"/>
    </xf>
    <xf numFmtId="0" fontId="120" fillId="0" borderId="4" xfId="0" applyFont="1" applyBorder="1" applyAlignment="1">
      <alignment vertical="center" wrapText="1"/>
    </xf>
    <xf numFmtId="0" fontId="120" fillId="0" borderId="7" xfId="0" applyFont="1" applyBorder="1" applyAlignment="1">
      <alignment horizontal="center" vertical="center"/>
    </xf>
    <xf numFmtId="0" fontId="120" fillId="0" borderId="16" xfId="0" applyFont="1" applyFill="1" applyBorder="1" applyAlignment="1">
      <alignment horizontal="center" vertical="center"/>
    </xf>
    <xf numFmtId="0" fontId="120" fillId="0" borderId="4" xfId="0" applyFont="1" applyBorder="1" applyAlignment="1">
      <alignment horizontal="left" vertical="justify"/>
    </xf>
    <xf numFmtId="0" fontId="120" fillId="0" borderId="4" xfId="0" applyFont="1" applyFill="1" applyBorder="1" applyAlignment="1">
      <alignment horizontal="left" vertical="justify"/>
    </xf>
    <xf numFmtId="0" fontId="120" fillId="0" borderId="4" xfId="0" applyFont="1" applyFill="1" applyBorder="1" applyAlignment="1">
      <alignment horizontal="left" vertical="justify" wrapText="1"/>
    </xf>
    <xf numFmtId="0" fontId="120" fillId="0" borderId="4" xfId="0" applyFont="1" applyBorder="1" applyAlignment="1">
      <alignment horizontal="left" vertical="justify" wrapText="1"/>
    </xf>
    <xf numFmtId="0" fontId="0" fillId="0" borderId="0" xfId="0" applyFont="1" applyAlignment="1">
      <alignment horizontal="center" vertical="center"/>
    </xf>
    <xf numFmtId="0" fontId="117" fillId="0" borderId="0" xfId="0" applyFont="1" applyAlignment="1"/>
    <xf numFmtId="0" fontId="123" fillId="0" borderId="0" xfId="0" applyFont="1" applyBorder="1" applyAlignment="1"/>
    <xf numFmtId="0" fontId="123" fillId="0" borderId="4" xfId="0" applyFont="1" applyBorder="1" applyAlignment="1">
      <alignment horizontal="justify" wrapText="1"/>
    </xf>
    <xf numFmtId="0" fontId="117" fillId="0" borderId="0" xfId="0" applyFont="1" applyFill="1" applyAlignment="1"/>
    <xf numFmtId="0" fontId="123" fillId="0" borderId="4" xfId="0" applyFont="1" applyFill="1" applyBorder="1" applyAlignment="1">
      <alignment horizontal="center"/>
    </xf>
    <xf numFmtId="0" fontId="125" fillId="0" borderId="0" xfId="0" applyFont="1" applyAlignment="1"/>
    <xf numFmtId="0" fontId="120" fillId="0" borderId="4" xfId="0" applyFont="1" applyFill="1" applyBorder="1" applyAlignment="1">
      <alignment horizontal="justify" wrapText="1"/>
    </xf>
    <xf numFmtId="0" fontId="125" fillId="0" borderId="0" xfId="0" applyFont="1" applyFill="1" applyAlignment="1"/>
    <xf numFmtId="0" fontId="120" fillId="0" borderId="4" xfId="0" applyFont="1" applyFill="1" applyBorder="1" applyAlignment="1">
      <alignment horizontal="center"/>
    </xf>
    <xf numFmtId="0" fontId="125" fillId="0" borderId="0" xfId="0" applyFont="1" applyAlignment="1">
      <alignment horizontal="justify" wrapText="1"/>
    </xf>
    <xf numFmtId="0" fontId="125" fillId="0" borderId="0" xfId="0" applyFont="1" applyAlignment="1">
      <alignment vertical="center" wrapText="1"/>
    </xf>
    <xf numFmtId="0" fontId="119" fillId="2" borderId="4" xfId="0" applyFont="1" applyFill="1" applyBorder="1" applyAlignment="1">
      <alignment vertical="center" wrapText="1"/>
    </xf>
    <xf numFmtId="2" fontId="120" fillId="2" borderId="4" xfId="0" applyNumberFormat="1" applyFont="1" applyFill="1" applyBorder="1" applyAlignment="1">
      <alignment vertical="center" wrapText="1"/>
    </xf>
    <xf numFmtId="0" fontId="120" fillId="2" borderId="4" xfId="0" applyFont="1" applyFill="1" applyBorder="1" applyAlignment="1">
      <alignment vertical="center" wrapText="1"/>
    </xf>
    <xf numFmtId="0" fontId="120" fillId="0" borderId="10" xfId="0" applyFont="1" applyBorder="1" applyAlignment="1">
      <alignment vertical="center" wrapText="1"/>
    </xf>
    <xf numFmtId="0" fontId="120" fillId="0" borderId="4" xfId="0" applyFont="1" applyFill="1" applyBorder="1" applyAlignment="1">
      <alignment vertical="center" wrapText="1"/>
    </xf>
    <xf numFmtId="0" fontId="125" fillId="0" borderId="0" xfId="0" applyFont="1" applyFill="1" applyAlignment="1">
      <alignment vertical="center" wrapText="1"/>
    </xf>
    <xf numFmtId="0" fontId="119" fillId="12" borderId="4" xfId="0" applyFont="1" applyFill="1" applyBorder="1" applyAlignment="1">
      <alignment vertical="center" wrapText="1"/>
    </xf>
    <xf numFmtId="0" fontId="119" fillId="9" borderId="11" xfId="17" applyFont="1" applyFill="1" applyBorder="1" applyAlignment="1">
      <alignment horizontal="center" vertical="center" wrapText="1"/>
    </xf>
    <xf numFmtId="0" fontId="119" fillId="12" borderId="4" xfId="0" applyFont="1" applyFill="1" applyBorder="1" applyAlignment="1">
      <alignment horizontal="center" vertical="center" wrapText="1"/>
    </xf>
    <xf numFmtId="0" fontId="120" fillId="0" borderId="4" xfId="0" applyFont="1" applyBorder="1" applyAlignment="1">
      <alignment horizontal="center" vertical="center" wrapText="1"/>
    </xf>
    <xf numFmtId="0" fontId="119" fillId="2" borderId="4" xfId="0" applyFont="1" applyFill="1" applyBorder="1" applyAlignment="1">
      <alignment horizontal="center" vertical="center" wrapText="1"/>
    </xf>
    <xf numFmtId="0" fontId="120" fillId="0" borderId="4" xfId="0" applyFont="1" applyFill="1" applyBorder="1" applyAlignment="1">
      <alignment horizontal="center" vertical="center" wrapText="1"/>
    </xf>
    <xf numFmtId="168" fontId="119" fillId="12" borderId="4" xfId="72" applyFont="1" applyFill="1" applyBorder="1" applyAlignment="1">
      <alignment horizontal="center" vertical="center" wrapText="1"/>
    </xf>
    <xf numFmtId="0" fontId="127" fillId="5" borderId="0" xfId="0" applyFont="1" applyFill="1" applyBorder="1" applyAlignment="1">
      <alignment vertical="center" wrapText="1"/>
    </xf>
    <xf numFmtId="0" fontId="117" fillId="0" borderId="0" xfId="0" applyFont="1" applyBorder="1" applyAlignment="1"/>
    <xf numFmtId="0" fontId="119" fillId="2" borderId="4" xfId="0" applyFont="1" applyFill="1" applyBorder="1" applyAlignment="1"/>
    <xf numFmtId="168" fontId="120" fillId="0" borderId="4" xfId="0" applyNumberFormat="1" applyFont="1" applyBorder="1" applyAlignment="1">
      <alignment wrapText="1"/>
    </xf>
    <xf numFmtId="168" fontId="119" fillId="0" borderId="11" xfId="0" applyNumberFormat="1" applyFont="1" applyBorder="1" applyAlignment="1">
      <alignment wrapText="1"/>
    </xf>
    <xf numFmtId="0" fontId="125" fillId="0" borderId="0" xfId="0" applyFont="1" applyAlignment="1">
      <alignment vertical="center"/>
    </xf>
    <xf numFmtId="0" fontId="119" fillId="5" borderId="0" xfId="0" applyFont="1" applyFill="1" applyBorder="1" applyAlignment="1">
      <alignment vertical="center"/>
    </xf>
    <xf numFmtId="0" fontId="123" fillId="0" borderId="0" xfId="0" applyFont="1" applyAlignment="1"/>
    <xf numFmtId="0" fontId="123" fillId="0" borderId="4" xfId="0" applyFont="1" applyFill="1" applyBorder="1" applyAlignment="1"/>
    <xf numFmtId="0" fontId="117" fillId="0" borderId="4" xfId="0" applyFont="1" applyBorder="1" applyAlignment="1"/>
    <xf numFmtId="0" fontId="122" fillId="0" borderId="4" xfId="0" applyFont="1" applyFill="1" applyBorder="1" applyAlignment="1"/>
    <xf numFmtId="0" fontId="129" fillId="0" borderId="0" xfId="0" applyFont="1" applyAlignment="1"/>
    <xf numFmtId="0" fontId="127" fillId="0" borderId="0" xfId="0" applyFont="1" applyBorder="1" applyAlignment="1">
      <alignment horizontal="center"/>
    </xf>
    <xf numFmtId="0" fontId="127" fillId="0" borderId="0" xfId="0" applyFont="1" applyBorder="1" applyAlignment="1">
      <alignment horizontal="justify" wrapText="1"/>
    </xf>
    <xf numFmtId="0" fontId="130" fillId="0" borderId="0" xfId="0" applyFont="1" applyAlignment="1"/>
    <xf numFmtId="0" fontId="127" fillId="2" borderId="4" xfId="0" applyFont="1" applyFill="1" applyBorder="1" applyAlignment="1"/>
    <xf numFmtId="0" fontId="130" fillId="0" borderId="4" xfId="0" applyFont="1" applyFill="1" applyBorder="1" applyAlignment="1">
      <alignment horizontal="right"/>
    </xf>
    <xf numFmtId="0" fontId="127" fillId="0" borderId="4" xfId="0" applyFont="1" applyFill="1" applyBorder="1" applyAlignment="1">
      <alignment horizontal="justify" wrapText="1"/>
    </xf>
    <xf numFmtId="0" fontId="130" fillId="0" borderId="4" xfId="0" applyFont="1" applyFill="1" applyBorder="1" applyAlignment="1">
      <alignment horizontal="justify" wrapText="1"/>
    </xf>
    <xf numFmtId="0" fontId="127" fillId="12" borderId="4" xfId="0" applyFont="1" applyFill="1" applyBorder="1" applyAlignment="1">
      <alignment horizontal="right"/>
    </xf>
    <xf numFmtId="0" fontId="127" fillId="0" borderId="4" xfId="0" applyFont="1" applyFill="1" applyBorder="1" applyAlignment="1"/>
    <xf numFmtId="168" fontId="127" fillId="12" borderId="4" xfId="72" applyFont="1" applyFill="1" applyBorder="1" applyAlignment="1">
      <alignment wrapText="1"/>
    </xf>
    <xf numFmtId="0" fontId="129" fillId="0" borderId="0" xfId="0" applyFont="1" applyAlignment="1">
      <alignment horizontal="justify" wrapText="1"/>
    </xf>
    <xf numFmtId="0" fontId="129" fillId="0" borderId="0" xfId="0" applyFont="1" applyAlignment="1">
      <alignment horizontal="center" vertical="center"/>
    </xf>
    <xf numFmtId="0" fontId="127" fillId="0" borderId="0" xfId="0" applyFont="1" applyBorder="1" applyAlignment="1">
      <alignment horizontal="center" vertical="center"/>
    </xf>
    <xf numFmtId="0" fontId="127" fillId="12" borderId="4" xfId="0" applyFont="1" applyFill="1" applyBorder="1" applyAlignment="1">
      <alignment horizontal="center" vertical="center"/>
    </xf>
    <xf numFmtId="0" fontId="127" fillId="0" borderId="4" xfId="0" applyFont="1" applyFill="1" applyBorder="1" applyAlignment="1">
      <alignment horizontal="center" vertical="center"/>
    </xf>
    <xf numFmtId="0" fontId="117" fillId="0" borderId="0" xfId="0" applyFont="1" applyFill="1" applyBorder="1" applyAlignment="1"/>
    <xf numFmtId="0" fontId="135" fillId="0" borderId="4" xfId="17" applyFont="1" applyFill="1" applyBorder="1" applyAlignment="1">
      <alignment horizontal="left" wrapText="1"/>
    </xf>
    <xf numFmtId="0" fontId="137" fillId="0" borderId="4" xfId="0" applyFont="1" applyFill="1" applyBorder="1" applyAlignment="1"/>
    <xf numFmtId="0" fontId="135" fillId="0" borderId="4" xfId="17" applyFont="1" applyFill="1" applyBorder="1" applyAlignment="1">
      <alignment horizontal="justify" wrapText="1"/>
    </xf>
    <xf numFmtId="0" fontId="119" fillId="0" borderId="4" xfId="17" applyFont="1" applyFill="1" applyBorder="1" applyAlignment="1">
      <alignment wrapText="1"/>
    </xf>
    <xf numFmtId="0" fontId="120" fillId="0" borderId="4" xfId="17" applyFont="1" applyFill="1" applyBorder="1" applyAlignment="1">
      <alignment wrapText="1"/>
    </xf>
    <xf numFmtId="0" fontId="120" fillId="0" borderId="4" xfId="17" applyFont="1" applyFill="1" applyBorder="1" applyAlignment="1"/>
    <xf numFmtId="0" fontId="119" fillId="0" borderId="26" xfId="17" applyFont="1" applyFill="1" applyBorder="1" applyAlignment="1"/>
    <xf numFmtId="0" fontId="119" fillId="0" borderId="29" xfId="17" applyFont="1" applyFill="1" applyBorder="1" applyAlignment="1"/>
    <xf numFmtId="0" fontId="125" fillId="0" borderId="0" xfId="0" applyFont="1" applyFill="1" applyBorder="1" applyAlignment="1"/>
    <xf numFmtId="0" fontId="125" fillId="0" borderId="4" xfId="0" applyFont="1" applyFill="1" applyBorder="1" applyAlignment="1"/>
    <xf numFmtId="0" fontId="125" fillId="0" borderId="4" xfId="0" applyFont="1" applyFill="1" applyBorder="1" applyAlignment="1">
      <alignment wrapText="1"/>
    </xf>
    <xf numFmtId="0" fontId="125" fillId="0" borderId="20" xfId="0" applyFont="1" applyFill="1" applyBorder="1" applyAlignment="1"/>
    <xf numFmtId="0" fontId="119" fillId="0" borderId="4" xfId="17" applyFont="1" applyFill="1" applyBorder="1" applyAlignment="1">
      <alignment horizontal="center"/>
    </xf>
    <xf numFmtId="0" fontId="124" fillId="0" borderId="0" xfId="0" applyFont="1" applyFill="1" applyBorder="1" applyAlignment="1">
      <alignment horizontal="center" vertical="center"/>
    </xf>
    <xf numFmtId="0" fontId="120" fillId="0" borderId="4" xfId="17" applyNumberFormat="1" applyFont="1" applyFill="1" applyBorder="1" applyAlignment="1">
      <alignment horizontal="center" vertical="center"/>
    </xf>
    <xf numFmtId="0" fontId="125" fillId="0" borderId="0" xfId="0" applyFont="1" applyFill="1" applyAlignment="1">
      <alignment horizontal="center" vertical="center"/>
    </xf>
    <xf numFmtId="0" fontId="125" fillId="0" borderId="0" xfId="0" applyFont="1" applyFill="1" applyBorder="1" applyAlignment="1">
      <alignment horizontal="center" vertical="center"/>
    </xf>
    <xf numFmtId="0" fontId="125" fillId="0" borderId="10" xfId="0" applyFont="1" applyFill="1" applyBorder="1" applyAlignment="1">
      <alignment horizontal="center" vertical="center"/>
    </xf>
    <xf numFmtId="0" fontId="120" fillId="0" borderId="145" xfId="0" applyFont="1" applyFill="1" applyBorder="1" applyAlignment="1">
      <alignment vertical="center"/>
    </xf>
    <xf numFmtId="0" fontId="120" fillId="0" borderId="0" xfId="0" applyFont="1" applyFill="1" applyBorder="1" applyAlignment="1">
      <alignment vertical="center"/>
    </xf>
    <xf numFmtId="0" fontId="123" fillId="12" borderId="28" xfId="0" applyFont="1" applyFill="1" applyBorder="1" applyAlignment="1"/>
    <xf numFmtId="0" fontId="117" fillId="0" borderId="0" xfId="0" applyFont="1" applyAlignment="1">
      <alignment horizontal="justify"/>
    </xf>
    <xf numFmtId="0" fontId="124" fillId="0" borderId="19" xfId="17" applyFont="1" applyFill="1" applyBorder="1" applyAlignment="1"/>
    <xf numFmtId="0" fontId="120" fillId="0" borderId="0" xfId="17" applyFont="1" applyBorder="1" applyAlignment="1"/>
    <xf numFmtId="0" fontId="119" fillId="0" borderId="4" xfId="0" applyFont="1" applyFill="1" applyBorder="1" applyAlignment="1">
      <alignment horizontal="center"/>
    </xf>
    <xf numFmtId="0" fontId="119" fillId="0" borderId="4" xfId="0" applyFont="1" applyFill="1" applyBorder="1" applyAlignment="1">
      <alignment horizontal="justify" wrapText="1"/>
    </xf>
    <xf numFmtId="0" fontId="125" fillId="0" borderId="4" xfId="0" applyFont="1" applyBorder="1" applyAlignment="1"/>
    <xf numFmtId="0" fontId="140" fillId="12" borderId="28" xfId="0" applyFont="1" applyFill="1" applyBorder="1" applyAlignment="1"/>
    <xf numFmtId="0" fontId="137" fillId="0" borderId="4" xfId="0" applyFont="1" applyFill="1" applyBorder="1" applyAlignment="1">
      <alignment wrapText="1"/>
    </xf>
    <xf numFmtId="0" fontId="124" fillId="0" borderId="19" xfId="17" applyFont="1" applyFill="1" applyBorder="1" applyAlignment="1">
      <alignment horizontal="center" vertical="center" wrapText="1"/>
    </xf>
    <xf numFmtId="0" fontId="119" fillId="0" borderId="4" xfId="0" applyFont="1" applyFill="1" applyBorder="1" applyAlignment="1">
      <alignment horizontal="left" wrapText="1"/>
    </xf>
    <xf numFmtId="0" fontId="120" fillId="0" borderId="4" xfId="0" applyFont="1" applyBorder="1" applyAlignment="1">
      <alignment horizontal="left" wrapText="1"/>
    </xf>
    <xf numFmtId="0" fontId="120" fillId="0" borderId="4" xfId="0" applyFont="1" applyFill="1" applyBorder="1" applyAlignment="1">
      <alignment horizontal="left" wrapText="1"/>
    </xf>
    <xf numFmtId="0" fontId="119" fillId="12" borderId="28" xfId="0" applyFont="1" applyFill="1" applyBorder="1" applyAlignment="1">
      <alignment horizontal="left" wrapText="1"/>
    </xf>
    <xf numFmtId="0" fontId="119" fillId="0" borderId="0" xfId="0" applyFont="1" applyBorder="1" applyAlignment="1">
      <alignment horizontal="left" wrapText="1"/>
    </xf>
    <xf numFmtId="0" fontId="124" fillId="0" borderId="0" xfId="17" applyFont="1" applyFill="1" applyBorder="1" applyAlignment="1"/>
    <xf numFmtId="0" fontId="119" fillId="0" borderId="0" xfId="17" applyFont="1" applyFill="1" applyBorder="1" applyAlignment="1">
      <alignment horizontal="center" vertical="center" wrapText="1"/>
    </xf>
    <xf numFmtId="0" fontId="119" fillId="0" borderId="0" xfId="17" applyFont="1" applyFill="1" applyBorder="1" applyAlignment="1"/>
    <xf numFmtId="0" fontId="119" fillId="0" borderId="4" xfId="0" applyFont="1" applyFill="1" applyBorder="1" applyAlignment="1">
      <alignment horizontal="center" vertical="center"/>
    </xf>
    <xf numFmtId="0" fontId="119" fillId="0" borderId="4" xfId="0" applyFont="1" applyBorder="1" applyAlignment="1">
      <alignment horizontal="center" vertical="center"/>
    </xf>
    <xf numFmtId="0" fontId="119" fillId="0" borderId="0" xfId="17" applyFont="1" applyBorder="1" applyAlignment="1">
      <alignment horizontal="center" vertical="center"/>
    </xf>
    <xf numFmtId="0" fontId="120" fillId="12" borderId="28" xfId="0" applyFont="1" applyFill="1" applyBorder="1" applyAlignment="1">
      <alignment horizontal="center" vertical="center"/>
    </xf>
    <xf numFmtId="0" fontId="120" fillId="0" borderId="0" xfId="0" applyFont="1" applyBorder="1" applyAlignment="1">
      <alignment horizontal="center" vertical="center"/>
    </xf>
    <xf numFmtId="0" fontId="125" fillId="0" borderId="0" xfId="0" applyFont="1" applyAlignment="1">
      <alignment horizontal="center" vertical="center"/>
    </xf>
    <xf numFmtId="0" fontId="123" fillId="0" borderId="0" xfId="13" applyFont="1" applyAlignment="1"/>
    <xf numFmtId="0" fontId="123" fillId="0" borderId="4" xfId="0" applyFont="1" applyFill="1" applyBorder="1" applyAlignment="1">
      <alignment wrapText="1"/>
    </xf>
    <xf numFmtId="178" fontId="122" fillId="0" borderId="4" xfId="17" applyNumberFormat="1" applyFont="1" applyFill="1" applyBorder="1" applyAlignment="1">
      <alignment horizontal="center"/>
    </xf>
    <xf numFmtId="0" fontId="120" fillId="0" borderId="4" xfId="0" applyFont="1" applyFill="1" applyBorder="1" applyAlignment="1">
      <alignment wrapText="1"/>
    </xf>
    <xf numFmtId="0" fontId="122" fillId="0" borderId="4" xfId="0" applyFont="1" applyFill="1" applyBorder="1" applyAlignment="1">
      <alignment wrapText="1"/>
    </xf>
    <xf numFmtId="0" fontId="114" fillId="0" borderId="4" xfId="0" applyFont="1" applyBorder="1" applyAlignment="1">
      <alignment horizontal="center"/>
    </xf>
    <xf numFmtId="0" fontId="117" fillId="0" borderId="4" xfId="0" applyFont="1" applyBorder="1" applyAlignment="1">
      <alignment horizontal="center" wrapText="1"/>
    </xf>
    <xf numFmtId="0" fontId="114" fillId="0" borderId="4" xfId="0" applyFont="1" applyBorder="1" applyAlignment="1">
      <alignment horizontal="center" vertical="center" wrapText="1"/>
    </xf>
    <xf numFmtId="0" fontId="117" fillId="0" borderId="0" xfId="0" applyFont="1"/>
    <xf numFmtId="0" fontId="117" fillId="0" borderId="4" xfId="0" applyFont="1" applyBorder="1"/>
    <xf numFmtId="0" fontId="117" fillId="0" borderId="140" xfId="0" applyFont="1" applyBorder="1" applyAlignment="1">
      <alignment horizontal="center" vertical="center" wrapText="1"/>
    </xf>
    <xf numFmtId="0" fontId="114" fillId="0" borderId="4" xfId="0" applyFont="1" applyBorder="1" applyAlignment="1">
      <alignment horizontal="center" vertical="center"/>
    </xf>
    <xf numFmtId="0" fontId="129" fillId="0" borderId="0" xfId="0" applyFont="1"/>
    <xf numFmtId="0" fontId="123" fillId="0" borderId="0" xfId="17" applyFont="1" applyFill="1" applyBorder="1" applyAlignment="1"/>
    <xf numFmtId="0" fontId="123" fillId="0" borderId="4" xfId="56" applyFont="1" applyFill="1" applyBorder="1" applyAlignment="1">
      <alignment wrapText="1"/>
    </xf>
    <xf numFmtId="0" fontId="123" fillId="0" borderId="4" xfId="56" applyFont="1" applyFill="1" applyBorder="1" applyAlignment="1">
      <alignment horizontal="center" wrapText="1"/>
    </xf>
    <xf numFmtId="2" fontId="123" fillId="0" borderId="4" xfId="0" applyNumberFormat="1" applyFont="1" applyFill="1" applyBorder="1" applyAlignment="1">
      <alignment horizontal="right"/>
    </xf>
    <xf numFmtId="0" fontId="123" fillId="0" borderId="4" xfId="56" applyFont="1" applyFill="1" applyBorder="1" applyAlignment="1">
      <alignment horizontal="left" wrapText="1"/>
    </xf>
    <xf numFmtId="0" fontId="123" fillId="0" borderId="4" xfId="56" applyFont="1" applyFill="1" applyBorder="1" applyAlignment="1">
      <alignment horizontal="center"/>
    </xf>
    <xf numFmtId="0" fontId="123" fillId="0" borderId="0" xfId="56" applyFont="1" applyAlignment="1">
      <alignment wrapText="1"/>
    </xf>
    <xf numFmtId="0" fontId="114" fillId="0" borderId="0" xfId="0" applyFont="1" applyAlignment="1"/>
    <xf numFmtId="0" fontId="122" fillId="0" borderId="4" xfId="0" applyFont="1" applyFill="1" applyBorder="1" applyAlignment="1">
      <alignment horizontal="left"/>
    </xf>
    <xf numFmtId="0" fontId="123" fillId="0" borderId="4" xfId="0" applyFont="1" applyFill="1" applyBorder="1" applyAlignment="1">
      <alignment horizontal="left"/>
    </xf>
    <xf numFmtId="0" fontId="117" fillId="0" borderId="0" xfId="0" applyFont="1" applyAlignment="1">
      <alignment horizontal="left"/>
    </xf>
    <xf numFmtId="0" fontId="122" fillId="0" borderId="0" xfId="56" applyFont="1" applyAlignment="1"/>
    <xf numFmtId="0" fontId="117" fillId="0" borderId="4" xfId="0" applyFont="1" applyBorder="1" applyAlignment="1">
      <alignment horizontal="justify"/>
    </xf>
    <xf numFmtId="0" fontId="123" fillId="0" borderId="0" xfId="0" applyFont="1" applyAlignment="1">
      <alignment horizontal="justify"/>
    </xf>
    <xf numFmtId="0" fontId="117" fillId="13" borderId="0" xfId="0" applyFont="1" applyFill="1" applyBorder="1" applyAlignment="1">
      <alignment horizontal="justify"/>
    </xf>
    <xf numFmtId="0" fontId="117" fillId="13" borderId="0" xfId="0" applyFont="1" applyFill="1" applyBorder="1" applyAlignment="1"/>
    <xf numFmtId="0" fontId="117" fillId="13" borderId="4" xfId="0" applyFont="1" applyFill="1" applyBorder="1" applyAlignment="1">
      <alignment horizontal="justify"/>
    </xf>
    <xf numFmtId="0" fontId="117" fillId="13" borderId="4" xfId="0" applyFont="1" applyFill="1" applyBorder="1" applyAlignment="1">
      <alignment horizontal="justify" wrapText="1"/>
    </xf>
    <xf numFmtId="0" fontId="121" fillId="5" borderId="0" xfId="17" applyFont="1" applyFill="1" applyBorder="1" applyAlignment="1"/>
    <xf numFmtId="0" fontId="132" fillId="0" borderId="0" xfId="0" applyFont="1" applyBorder="1" applyAlignment="1"/>
    <xf numFmtId="0" fontId="123" fillId="0" borderId="4" xfId="0" applyFont="1" applyBorder="1" applyAlignment="1">
      <alignment horizontal="justify" vertical="center" wrapText="1"/>
    </xf>
    <xf numFmtId="0" fontId="123" fillId="0" borderId="4" xfId="0" applyFont="1" applyFill="1" applyBorder="1" applyAlignment="1">
      <alignment horizontal="justify" vertical="center" wrapText="1"/>
    </xf>
    <xf numFmtId="0" fontId="123" fillId="12" borderId="12" xfId="0" applyFont="1" applyFill="1" applyBorder="1" applyAlignment="1">
      <alignment horizontal="justify" vertical="center" wrapText="1"/>
    </xf>
    <xf numFmtId="0" fontId="139" fillId="12" borderId="12" xfId="0" applyFont="1" applyFill="1" applyBorder="1" applyAlignment="1">
      <alignment horizontal="justify" vertical="center" wrapText="1"/>
    </xf>
    <xf numFmtId="0" fontId="117" fillId="0" borderId="4" xfId="0" applyFont="1" applyBorder="1" applyAlignment="1">
      <alignment horizontal="justify" vertical="center" wrapText="1"/>
    </xf>
    <xf numFmtId="0" fontId="122" fillId="12" borderId="12" xfId="0" applyFont="1" applyFill="1" applyBorder="1" applyAlignment="1">
      <alignment horizontal="justify" vertical="center" wrapText="1"/>
    </xf>
    <xf numFmtId="0" fontId="122" fillId="12" borderId="28" xfId="0" applyFont="1" applyFill="1" applyBorder="1" applyAlignment="1">
      <alignment horizontal="justify" vertical="center" wrapText="1"/>
    </xf>
    <xf numFmtId="0" fontId="123" fillId="0" borderId="4" xfId="0" quotePrefix="1" applyFont="1" applyBorder="1" applyAlignment="1">
      <alignment horizontal="justify" vertical="center" wrapText="1"/>
    </xf>
    <xf numFmtId="0" fontId="127" fillId="0" borderId="0" xfId="0" applyFont="1" applyFill="1" applyBorder="1" applyAlignment="1">
      <alignment vertical="center"/>
    </xf>
    <xf numFmtId="0" fontId="129" fillId="0" borderId="0" xfId="0" applyFont="1" applyBorder="1" applyAlignment="1">
      <alignment vertical="center"/>
    </xf>
    <xf numFmtId="0" fontId="122" fillId="0" borderId="11" xfId="0" applyFont="1" applyFill="1" applyBorder="1" applyAlignment="1">
      <alignment vertical="center" wrapText="1"/>
    </xf>
    <xf numFmtId="0" fontId="122" fillId="0" borderId="10" xfId="0" applyFont="1" applyFill="1" applyBorder="1" applyAlignment="1">
      <alignment horizontal="center"/>
    </xf>
    <xf numFmtId="0" fontId="123" fillId="0" borderId="22" xfId="13" applyFont="1" applyBorder="1" applyAlignment="1"/>
    <xf numFmtId="0" fontId="123" fillId="0" borderId="0" xfId="13" applyFont="1" applyBorder="1" applyAlignment="1"/>
    <xf numFmtId="0" fontId="123" fillId="0" borderId="4" xfId="0" applyFont="1" applyBorder="1" applyAlignment="1">
      <alignment horizontal="center" vertical="center"/>
    </xf>
    <xf numFmtId="0" fontId="117" fillId="13" borderId="4" xfId="0" applyFont="1" applyFill="1" applyBorder="1" applyAlignment="1"/>
    <xf numFmtId="0" fontId="117" fillId="13" borderId="4" xfId="0" applyFont="1" applyFill="1" applyBorder="1" applyAlignment="1">
      <alignment wrapText="1"/>
    </xf>
    <xf numFmtId="0" fontId="122" fillId="0" borderId="0" xfId="13" applyFont="1" applyBorder="1" applyAlignment="1">
      <alignment horizontal="center"/>
    </xf>
    <xf numFmtId="0" fontId="122" fillId="0" borderId="4" xfId="13" applyFont="1" applyBorder="1" applyAlignment="1">
      <alignment horizontal="center"/>
    </xf>
    <xf numFmtId="0" fontId="123" fillId="0" borderId="0" xfId="13" applyFont="1" applyAlignment="1">
      <alignment horizontal="center"/>
    </xf>
    <xf numFmtId="0" fontId="123" fillId="0" borderId="4" xfId="13" applyFont="1" applyBorder="1" applyAlignment="1">
      <alignment horizontal="center"/>
    </xf>
    <xf numFmtId="0" fontId="123" fillId="12" borderId="28" xfId="13" applyFont="1" applyFill="1" applyBorder="1" applyAlignment="1">
      <alignment horizontal="center"/>
    </xf>
    <xf numFmtId="0" fontId="123" fillId="12" borderId="28" xfId="13" applyFont="1" applyFill="1" applyBorder="1" applyAlignment="1"/>
    <xf numFmtId="0" fontId="139" fillId="12" borderId="28" xfId="13" applyFont="1" applyFill="1" applyBorder="1" applyAlignment="1"/>
    <xf numFmtId="0" fontId="117" fillId="13" borderId="10" xfId="0" applyFont="1" applyFill="1" applyBorder="1" applyAlignment="1"/>
    <xf numFmtId="0" fontId="122" fillId="0" borderId="4" xfId="13" applyFont="1" applyBorder="1" applyAlignment="1">
      <alignment horizontal="center" vertical="center"/>
    </xf>
    <xf numFmtId="0" fontId="122" fillId="0" borderId="23" xfId="13" applyFont="1" applyBorder="1" applyAlignment="1">
      <alignment horizontal="center" vertical="center" wrapText="1"/>
    </xf>
    <xf numFmtId="0" fontId="122" fillId="0" borderId="4" xfId="13" applyFont="1" applyBorder="1" applyAlignment="1">
      <alignment horizontal="center" vertical="center" wrapText="1"/>
    </xf>
    <xf numFmtId="0" fontId="122" fillId="0" borderId="21" xfId="13" applyFont="1" applyBorder="1" applyAlignment="1">
      <alignment horizontal="center" vertical="center" wrapText="1"/>
    </xf>
    <xf numFmtId="0" fontId="117" fillId="0" borderId="4" xfId="0" applyFont="1" applyBorder="1" applyAlignment="1">
      <alignment horizontal="center" vertical="top"/>
    </xf>
    <xf numFmtId="0" fontId="117" fillId="0" borderId="4" xfId="0" applyFont="1" applyBorder="1" applyAlignment="1">
      <alignment horizontal="center" vertical="top" wrapText="1"/>
    </xf>
    <xf numFmtId="0" fontId="117" fillId="0" borderId="4" xfId="0" applyFont="1" applyBorder="1" applyAlignment="1">
      <alignment horizontal="left" vertical="center"/>
    </xf>
    <xf numFmtId="0" fontId="123" fillId="0" borderId="0" xfId="0" applyNumberFormat="1" applyFont="1" applyFill="1" applyBorder="1" applyAlignment="1">
      <alignment horizontal="center" wrapText="1"/>
    </xf>
    <xf numFmtId="0" fontId="123" fillId="0" borderId="0" xfId="0" applyNumberFormat="1" applyFont="1" applyFill="1" applyBorder="1" applyAlignment="1"/>
    <xf numFmtId="0" fontId="123" fillId="0" borderId="0" xfId="0" applyNumberFormat="1" applyFont="1" applyFill="1" applyBorder="1" applyAlignment="1">
      <alignment wrapText="1"/>
    </xf>
    <xf numFmtId="0" fontId="117" fillId="0" borderId="0" xfId="0" applyFont="1" applyFill="1" applyBorder="1" applyAlignment="1">
      <alignment horizontal="center"/>
    </xf>
    <xf numFmtId="0" fontId="117" fillId="0" borderId="4" xfId="0" applyFont="1" applyBorder="1" applyAlignment="1">
      <alignment vertical="center" wrapText="1"/>
    </xf>
    <xf numFmtId="0" fontId="122" fillId="0" borderId="20" xfId="0" applyFont="1" applyFill="1" applyBorder="1" applyAlignment="1"/>
    <xf numFmtId="178" fontId="139" fillId="12" borderId="28" xfId="0" applyNumberFormat="1" applyFont="1" applyFill="1" applyBorder="1" applyAlignment="1">
      <alignment horizontal="center"/>
    </xf>
    <xf numFmtId="0" fontId="114" fillId="0" borderId="20" xfId="0" applyFont="1" applyBorder="1" applyAlignment="1"/>
    <xf numFmtId="0" fontId="114" fillId="0" borderId="4" xfId="0" applyFont="1" applyBorder="1" applyAlignment="1">
      <alignment horizontal="justify"/>
    </xf>
    <xf numFmtId="0" fontId="117" fillId="0" borderId="0" xfId="0" applyFont="1" applyBorder="1" applyAlignment="1">
      <alignment horizontal="center"/>
    </xf>
    <xf numFmtId="0" fontId="114" fillId="0" borderId="10" xfId="0" applyFont="1" applyBorder="1" applyAlignment="1">
      <alignment horizontal="center" vertical="center"/>
    </xf>
    <xf numFmtId="0" fontId="117" fillId="0" borderId="0" xfId="0" applyFont="1" applyAlignment="1">
      <alignment horizontal="center" vertical="center"/>
    </xf>
    <xf numFmtId="0" fontId="121" fillId="0" borderId="0" xfId="0" applyFont="1" applyFill="1" applyBorder="1" applyAlignment="1"/>
    <xf numFmtId="0" fontId="121" fillId="0" borderId="0" xfId="17" applyFont="1" applyFill="1" applyBorder="1" applyAlignment="1"/>
    <xf numFmtId="49" fontId="122" fillId="0" borderId="4" xfId="0" applyNumberFormat="1" applyFont="1" applyFill="1" applyBorder="1" applyAlignment="1">
      <alignment wrapText="1"/>
    </xf>
    <xf numFmtId="0" fontId="117" fillId="13" borderId="11" xfId="0" applyFont="1" applyFill="1" applyBorder="1" applyAlignment="1"/>
    <xf numFmtId="0" fontId="117" fillId="13" borderId="11" xfId="0" applyFont="1" applyFill="1" applyBorder="1" applyAlignment="1">
      <alignment wrapText="1"/>
    </xf>
    <xf numFmtId="0" fontId="117" fillId="13" borderId="19" xfId="0" applyFont="1" applyFill="1" applyBorder="1" applyAlignment="1"/>
    <xf numFmtId="49" fontId="122" fillId="0" borderId="4" xfId="0" applyNumberFormat="1" applyFont="1" applyFill="1" applyBorder="1" applyAlignment="1">
      <alignment horizontal="center" vertical="center" wrapText="1"/>
    </xf>
    <xf numFmtId="0" fontId="122" fillId="0" borderId="4" xfId="0" applyFont="1" applyFill="1" applyBorder="1" applyAlignment="1">
      <alignment horizontal="center" vertical="center"/>
    </xf>
    <xf numFmtId="0" fontId="123" fillId="0" borderId="4" xfId="0" applyFont="1" applyFill="1" applyBorder="1" applyAlignment="1">
      <alignment horizontal="left" wrapText="1"/>
    </xf>
    <xf numFmtId="0" fontId="117" fillId="13" borderId="24" xfId="0" applyFont="1" applyFill="1" applyBorder="1" applyAlignment="1"/>
    <xf numFmtId="0" fontId="117" fillId="13" borderId="25" xfId="0" applyFont="1" applyFill="1" applyBorder="1" applyAlignment="1"/>
    <xf numFmtId="0" fontId="117" fillId="0" borderId="0" xfId="0" applyFont="1" applyAlignment="1">
      <alignment vertical="center"/>
    </xf>
    <xf numFmtId="0" fontId="122" fillId="0" borderId="19" xfId="0" applyFont="1" applyBorder="1" applyAlignment="1">
      <alignment horizontal="center"/>
    </xf>
    <xf numFmtId="0" fontId="123" fillId="0" borderId="4" xfId="0" applyNumberFormat="1" applyFont="1" applyFill="1" applyBorder="1" applyAlignment="1"/>
    <xf numFmtId="0" fontId="122" fillId="5" borderId="0" xfId="17" applyFont="1" applyFill="1" applyBorder="1" applyAlignment="1"/>
    <xf numFmtId="0" fontId="132" fillId="0" borderId="0" xfId="0" applyFont="1" applyFill="1" applyBorder="1" applyAlignment="1"/>
    <xf numFmtId="0" fontId="132" fillId="0" borderId="4" xfId="0" applyFont="1" applyFill="1" applyBorder="1" applyAlignment="1"/>
    <xf numFmtId="0" fontId="117" fillId="0" borderId="4" xfId="0" applyFont="1" applyBorder="1" applyAlignment="1">
      <alignment vertical="top"/>
    </xf>
    <xf numFmtId="0" fontId="117" fillId="0" borderId="0" xfId="0" applyFont="1" applyAlignment="1">
      <alignment horizontal="right"/>
    </xf>
    <xf numFmtId="178" fontId="123" fillId="0" borderId="4" xfId="0" applyNumberFormat="1" applyFont="1" applyFill="1" applyBorder="1" applyAlignment="1"/>
    <xf numFmtId="0" fontId="122" fillId="0" borderId="4" xfId="17" applyFont="1" applyFill="1" applyBorder="1" applyAlignment="1">
      <alignment horizontal="center" vertical="center"/>
    </xf>
    <xf numFmtId="178" fontId="123" fillId="0" borderId="4" xfId="58" applyNumberFormat="1" applyFont="1" applyFill="1" applyBorder="1" applyAlignment="1">
      <alignment horizontal="center"/>
    </xf>
    <xf numFmtId="0" fontId="117" fillId="0" borderId="4" xfId="0" applyFont="1" applyFill="1" applyBorder="1" applyAlignment="1"/>
    <xf numFmtId="168" fontId="117" fillId="0" borderId="4" xfId="72" applyFont="1" applyFill="1" applyBorder="1" applyAlignment="1"/>
    <xf numFmtId="168" fontId="117" fillId="0" borderId="4" xfId="0" applyNumberFormat="1" applyFont="1" applyFill="1" applyBorder="1" applyAlignment="1"/>
    <xf numFmtId="168" fontId="132" fillId="0" borderId="4" xfId="0" applyNumberFormat="1" applyFont="1" applyFill="1" applyBorder="1" applyAlignment="1">
      <alignment horizontal="left"/>
    </xf>
    <xf numFmtId="10" fontId="117" fillId="0" borderId="4" xfId="0" applyNumberFormat="1" applyFont="1" applyBorder="1" applyAlignment="1"/>
    <xf numFmtId="168" fontId="117" fillId="0" borderId="4" xfId="72" applyFont="1" applyBorder="1" applyAlignment="1"/>
    <xf numFmtId="168" fontId="114" fillId="0" borderId="4" xfId="0" applyNumberFormat="1" applyFont="1" applyBorder="1" applyAlignment="1"/>
    <xf numFmtId="2" fontId="123" fillId="0" borderId="4" xfId="0" applyNumberFormat="1" applyFont="1" applyFill="1" applyBorder="1" applyAlignment="1">
      <alignment horizontal="center"/>
    </xf>
    <xf numFmtId="2" fontId="122" fillId="9" borderId="4" xfId="0" applyNumberFormat="1" applyFont="1" applyFill="1" applyBorder="1" applyAlignment="1">
      <alignment horizontal="justify"/>
    </xf>
    <xf numFmtId="2" fontId="123" fillId="9" borderId="4" xfId="0" applyNumberFormat="1" applyFont="1" applyFill="1" applyBorder="1" applyAlignment="1">
      <alignment horizontal="justify"/>
    </xf>
    <xf numFmtId="0" fontId="120" fillId="0" borderId="4" xfId="17" applyNumberFormat="1" applyFont="1" applyFill="1" applyBorder="1" applyAlignment="1"/>
    <xf numFmtId="0" fontId="120" fillId="0" borderId="4" xfId="0" applyFont="1" applyFill="1" applyBorder="1" applyAlignment="1"/>
    <xf numFmtId="10" fontId="120" fillId="0" borderId="4" xfId="58" applyNumberFormat="1" applyFont="1" applyFill="1" applyBorder="1" applyAlignment="1">
      <alignment horizontal="right"/>
    </xf>
    <xf numFmtId="176" fontId="120" fillId="0" borderId="4" xfId="58" applyNumberFormat="1" applyFont="1" applyFill="1" applyBorder="1" applyAlignment="1">
      <alignment horizontal="right"/>
    </xf>
    <xf numFmtId="0" fontId="119" fillId="0" borderId="4" xfId="17" applyFont="1" applyFill="1" applyBorder="1" applyAlignment="1">
      <alignment horizontal="justify"/>
    </xf>
    <xf numFmtId="0" fontId="120" fillId="0" borderId="133" xfId="17" applyNumberFormat="1" applyFont="1" applyFill="1" applyBorder="1" applyAlignment="1"/>
    <xf numFmtId="0" fontId="120" fillId="0" borderId="133" xfId="0" applyFont="1" applyFill="1" applyBorder="1" applyAlignment="1"/>
    <xf numFmtId="2" fontId="119" fillId="0" borderId="26" xfId="17" applyNumberFormat="1" applyFont="1" applyFill="1" applyBorder="1" applyAlignment="1"/>
    <xf numFmtId="168" fontId="120" fillId="0" borderId="4" xfId="72" applyFont="1" applyFill="1" applyBorder="1" applyAlignment="1"/>
    <xf numFmtId="168" fontId="119" fillId="0" borderId="4" xfId="72" applyFont="1" applyFill="1" applyBorder="1" applyAlignment="1"/>
    <xf numFmtId="43" fontId="120" fillId="0" borderId="4" xfId="17" applyNumberFormat="1" applyFont="1" applyFill="1" applyBorder="1" applyAlignment="1"/>
    <xf numFmtId="0" fontId="132" fillId="0" borderId="4" xfId="0" applyFont="1" applyFill="1" applyBorder="1" applyAlignment="1">
      <alignment wrapText="1"/>
    </xf>
    <xf numFmtId="0" fontId="123" fillId="0" borderId="0" xfId="0" applyFont="1" applyFill="1" applyBorder="1" applyAlignment="1"/>
    <xf numFmtId="0" fontId="123" fillId="0" borderId="0" xfId="0" applyFont="1" applyFill="1" applyAlignment="1"/>
    <xf numFmtId="0" fontId="123" fillId="0" borderId="0" xfId="0" applyFont="1" applyFill="1" applyAlignment="1">
      <alignment horizontal="center"/>
    </xf>
    <xf numFmtId="43" fontId="119" fillId="0" borderId="26" xfId="17" applyNumberFormat="1" applyFont="1" applyFill="1" applyBorder="1" applyAlignment="1"/>
    <xf numFmtId="0" fontId="119" fillId="0" borderId="11" xfId="17" applyFont="1" applyFill="1" applyBorder="1" applyAlignment="1">
      <alignment horizontal="center"/>
    </xf>
    <xf numFmtId="0" fontId="120" fillId="0" borderId="0" xfId="0" applyFont="1" applyFill="1" applyAlignment="1"/>
    <xf numFmtId="0" fontId="120" fillId="0" borderId="0" xfId="0" applyFont="1" applyFill="1" applyAlignment="1">
      <alignment horizontal="center"/>
    </xf>
    <xf numFmtId="2" fontId="119" fillId="0" borderId="4" xfId="17" applyNumberFormat="1" applyFont="1" applyFill="1" applyBorder="1" applyAlignment="1">
      <alignment horizontal="center"/>
    </xf>
    <xf numFmtId="2" fontId="120" fillId="0" borderId="4" xfId="0" applyNumberFormat="1" applyFont="1" applyBorder="1" applyAlignment="1">
      <alignment vertical="center" wrapText="1"/>
    </xf>
    <xf numFmtId="168" fontId="119" fillId="0" borderId="26" xfId="72" applyFont="1" applyFill="1" applyBorder="1" applyAlignment="1"/>
    <xf numFmtId="168" fontId="119" fillId="0" borderId="29" xfId="72" applyFont="1" applyFill="1" applyBorder="1" applyAlignment="1"/>
    <xf numFmtId="0" fontId="0" fillId="65" borderId="164" xfId="0" applyFill="1" applyBorder="1" applyAlignment="1">
      <alignment horizontal="center" vertical="top" wrapText="1"/>
    </xf>
    <xf numFmtId="1" fontId="146" fillId="0" borderId="164" xfId="0" applyNumberFormat="1" applyFont="1" applyFill="1" applyBorder="1" applyAlignment="1">
      <alignment horizontal="center" vertical="top" shrinkToFit="1"/>
    </xf>
    <xf numFmtId="0" fontId="29" fillId="0" borderId="164" xfId="0" applyFont="1" applyFill="1" applyBorder="1" applyAlignment="1">
      <alignment horizontal="left" vertical="top" wrapText="1" indent="1"/>
    </xf>
    <xf numFmtId="2" fontId="146" fillId="0" borderId="164" xfId="0" applyNumberFormat="1" applyFont="1" applyFill="1" applyBorder="1" applyAlignment="1">
      <alignment horizontal="center" vertical="top" shrinkToFit="1"/>
    </xf>
    <xf numFmtId="0" fontId="0" fillId="0" borderId="164" xfId="0" applyFill="1" applyBorder="1" applyAlignment="1">
      <alignment horizontal="center" vertical="top" wrapText="1"/>
    </xf>
    <xf numFmtId="2" fontId="146" fillId="0" borderId="164" xfId="0" applyNumberFormat="1" applyFont="1" applyFill="1" applyBorder="1" applyAlignment="1">
      <alignment horizontal="center" vertical="center" shrinkToFit="1"/>
    </xf>
    <xf numFmtId="0" fontId="29" fillId="0" borderId="164" xfId="0" applyFont="1" applyFill="1" applyBorder="1" applyAlignment="1">
      <alignment horizontal="left" vertical="top" wrapText="1" indent="2"/>
    </xf>
    <xf numFmtId="0" fontId="145" fillId="0" borderId="164" xfId="0" applyFont="1" applyFill="1" applyBorder="1" applyAlignment="1">
      <alignment horizontal="center" vertical="top" wrapText="1"/>
    </xf>
    <xf numFmtId="2" fontId="147" fillId="0" borderId="164" xfId="0" applyNumberFormat="1" applyFont="1" applyFill="1" applyBorder="1" applyAlignment="1">
      <alignment horizontal="center" vertical="top" shrinkToFit="1"/>
    </xf>
    <xf numFmtId="175" fontId="147" fillId="0" borderId="164" xfId="0" applyNumberFormat="1" applyFont="1" applyFill="1" applyBorder="1" applyAlignment="1">
      <alignment horizontal="center" vertical="top" shrinkToFit="1"/>
    </xf>
    <xf numFmtId="0" fontId="145" fillId="0" borderId="164" xfId="0" applyFont="1" applyFill="1" applyBorder="1" applyAlignment="1">
      <alignment horizontal="left" vertical="top" wrapText="1" indent="3"/>
    </xf>
    <xf numFmtId="2" fontId="147" fillId="0" borderId="164" xfId="0" applyNumberFormat="1" applyFont="1" applyFill="1" applyBorder="1" applyAlignment="1">
      <alignment horizontal="center" vertical="center" shrinkToFit="1"/>
    </xf>
    <xf numFmtId="1" fontId="147" fillId="0" borderId="164" xfId="0" applyNumberFormat="1" applyFont="1" applyFill="1" applyBorder="1" applyAlignment="1">
      <alignment horizontal="center" vertical="center" shrinkToFit="1"/>
    </xf>
    <xf numFmtId="0" fontId="0" fillId="0" borderId="164" xfId="0" applyFill="1" applyBorder="1" applyAlignment="1">
      <alignment horizontal="center" vertical="center" wrapText="1"/>
    </xf>
    <xf numFmtId="10" fontId="147" fillId="0" borderId="164" xfId="0" applyNumberFormat="1" applyFont="1" applyFill="1" applyBorder="1" applyAlignment="1">
      <alignment horizontal="center" vertical="top" shrinkToFit="1"/>
    </xf>
    <xf numFmtId="172" fontId="147" fillId="0" borderId="164" xfId="0" applyNumberFormat="1" applyFont="1" applyFill="1" applyBorder="1" applyAlignment="1">
      <alignment horizontal="center" vertical="top" shrinkToFit="1"/>
    </xf>
    <xf numFmtId="2" fontId="125" fillId="0" borderId="0" xfId="0" applyNumberFormat="1" applyFont="1" applyAlignment="1">
      <alignment vertical="center" wrapText="1"/>
    </xf>
    <xf numFmtId="168" fontId="125" fillId="0" borderId="0" xfId="72" applyFont="1" applyAlignment="1">
      <alignment vertical="center" wrapText="1"/>
    </xf>
    <xf numFmtId="168" fontId="125" fillId="0" borderId="4" xfId="72" applyFont="1" applyFill="1" applyBorder="1" applyAlignment="1"/>
    <xf numFmtId="0" fontId="10" fillId="0" borderId="0" xfId="0" applyFont="1"/>
    <xf numFmtId="0" fontId="10" fillId="0" borderId="4" xfId="0" applyFont="1" applyBorder="1"/>
    <xf numFmtId="0" fontId="0" fillId="0" borderId="4" xfId="0" applyFont="1" applyBorder="1" applyAlignment="1">
      <alignment horizontal="center" vertical="center"/>
    </xf>
    <xf numFmtId="0" fontId="10" fillId="0" borderId="4" xfId="0" applyFont="1" applyFill="1" applyBorder="1" applyAlignment="1">
      <alignment horizontal="center" vertical="center" wrapText="1"/>
    </xf>
    <xf numFmtId="2" fontId="10" fillId="0" borderId="4" xfId="0" applyNumberFormat="1" applyFont="1" applyBorder="1"/>
    <xf numFmtId="0" fontId="0" fillId="0" borderId="0" xfId="0" applyAlignment="1">
      <alignment horizontal="center" vertical="center" wrapText="1"/>
    </xf>
    <xf numFmtId="0" fontId="0" fillId="0" borderId="0" xfId="0" applyAlignment="1">
      <alignment vertical="center"/>
    </xf>
    <xf numFmtId="0" fontId="125" fillId="0" borderId="0" xfId="0" applyFont="1" applyAlignment="1">
      <alignment horizontal="center" vertical="center" wrapText="1"/>
    </xf>
    <xf numFmtId="0" fontId="119" fillId="0" borderId="4" xfId="17" applyFont="1" applyFill="1" applyBorder="1" applyAlignment="1">
      <alignment horizontal="center" vertical="center" wrapText="1"/>
    </xf>
    <xf numFmtId="0" fontId="125" fillId="0" borderId="0" xfId="0" applyFont="1" applyFill="1" applyAlignment="1">
      <alignment horizontal="center"/>
    </xf>
    <xf numFmtId="0" fontId="124" fillId="0" borderId="0" xfId="0" applyFont="1" applyFill="1" applyBorder="1" applyAlignment="1">
      <alignment horizontal="left"/>
    </xf>
    <xf numFmtId="0" fontId="119" fillId="0" borderId="4" xfId="17" applyFont="1" applyFill="1" applyBorder="1" applyAlignment="1">
      <alignment horizontal="center" vertical="center"/>
    </xf>
    <xf numFmtId="0" fontId="119" fillId="0" borderId="10" xfId="17" applyFont="1" applyFill="1" applyBorder="1" applyAlignment="1">
      <alignment horizontal="center" vertical="center"/>
    </xf>
    <xf numFmtId="0" fontId="122" fillId="0" borderId="11" xfId="0" applyFont="1" applyFill="1" applyBorder="1" applyAlignment="1">
      <alignment horizontal="center" vertical="center" wrapText="1"/>
    </xf>
    <xf numFmtId="0" fontId="122" fillId="9" borderId="4" xfId="17" applyFont="1" applyFill="1" applyBorder="1" applyAlignment="1">
      <alignment horizontal="center" vertical="center" wrapText="1"/>
    </xf>
    <xf numFmtId="0" fontId="117" fillId="13" borderId="10" xfId="0" applyFont="1" applyFill="1" applyBorder="1" applyAlignment="1"/>
    <xf numFmtId="0" fontId="117" fillId="0" borderId="0" xfId="0" applyFont="1" applyAlignment="1">
      <alignment horizontal="center"/>
    </xf>
    <xf numFmtId="0" fontId="122" fillId="5" borderId="0" xfId="17" applyFont="1" applyFill="1" applyBorder="1" applyAlignment="1">
      <alignment horizontal="right"/>
    </xf>
    <xf numFmtId="0" fontId="122" fillId="0" borderId="4" xfId="0" applyFont="1" applyFill="1" applyBorder="1" applyAlignment="1">
      <alignment horizontal="center" vertical="center" wrapText="1"/>
    </xf>
    <xf numFmtId="0" fontId="117" fillId="0" borderId="0" xfId="0" applyFont="1" applyAlignment="1"/>
    <xf numFmtId="0" fontId="114" fillId="0" borderId="4" xfId="0" applyFont="1" applyBorder="1" applyAlignment="1">
      <alignment horizontal="center" wrapText="1"/>
    </xf>
    <xf numFmtId="0" fontId="117" fillId="0" borderId="4" xfId="0" applyFont="1" applyBorder="1" applyAlignment="1">
      <alignment horizontal="center" vertical="center"/>
    </xf>
    <xf numFmtId="0" fontId="117" fillId="0" borderId="4" xfId="0" applyFont="1" applyBorder="1" applyAlignment="1">
      <alignment horizontal="center" vertical="center" wrapText="1"/>
    </xf>
    <xf numFmtId="0" fontId="117" fillId="13" borderId="20" xfId="0" applyFont="1" applyFill="1" applyBorder="1" applyAlignment="1"/>
    <xf numFmtId="0" fontId="125" fillId="0" borderId="0" xfId="0" applyFont="1" applyBorder="1" applyAlignment="1"/>
    <xf numFmtId="0" fontId="150" fillId="0" borderId="4" xfId="0" applyFont="1" applyBorder="1" applyAlignment="1">
      <alignment horizontal="center" vertical="center"/>
    </xf>
    <xf numFmtId="0" fontId="153" fillId="0" borderId="4" xfId="0" applyFont="1" applyBorder="1"/>
    <xf numFmtId="0" fontId="153" fillId="0" borderId="4" xfId="0" applyFont="1" applyBorder="1" applyAlignment="1">
      <alignment wrapText="1"/>
    </xf>
    <xf numFmtId="0" fontId="153" fillId="0" borderId="4" xfId="0" applyFont="1" applyBorder="1" applyAlignment="1">
      <alignment horizontal="center" vertical="top" wrapText="1"/>
    </xf>
    <xf numFmtId="0" fontId="153" fillId="0" borderId="0" xfId="0" applyFont="1"/>
    <xf numFmtId="0" fontId="153" fillId="0" borderId="4" xfId="0" applyFont="1" applyBorder="1" applyAlignment="1">
      <alignment horizontal="center"/>
    </xf>
    <xf numFmtId="0" fontId="157" fillId="0" borderId="4" xfId="0" applyFont="1" applyBorder="1" applyAlignment="1">
      <alignment horizontal="center"/>
    </xf>
    <xf numFmtId="0" fontId="157" fillId="0" borderId="4" xfId="0" applyFont="1" applyBorder="1"/>
    <xf numFmtId="0" fontId="157" fillId="0" borderId="4" xfId="0" applyFont="1" applyBorder="1" applyAlignment="1">
      <alignment horizontal="left" vertical="center" wrapText="1"/>
    </xf>
    <xf numFmtId="0" fontId="155" fillId="0" borderId="4" xfId="0" applyFont="1" applyBorder="1" applyAlignment="1">
      <alignment wrapText="1"/>
    </xf>
    <xf numFmtId="0" fontId="153" fillId="0" borderId="4" xfId="0" applyFont="1" applyBorder="1" applyAlignment="1">
      <alignment vertical="center"/>
    </xf>
    <xf numFmtId="0" fontId="157" fillId="0" borderId="4" xfId="0" applyFont="1" applyBorder="1" applyAlignment="1">
      <alignment vertical="center" wrapText="1"/>
    </xf>
    <xf numFmtId="0" fontId="157" fillId="0" borderId="4" xfId="0" applyFont="1" applyBorder="1" applyAlignment="1">
      <alignment wrapText="1"/>
    </xf>
    <xf numFmtId="0" fontId="157" fillId="0" borderId="0" xfId="0" applyFont="1"/>
    <xf numFmtId="0" fontId="157" fillId="0" borderId="4" xfId="0" applyFont="1" applyBorder="1" applyAlignment="1">
      <alignment vertical="center"/>
    </xf>
    <xf numFmtId="0" fontId="155" fillId="0" borderId="4" xfId="0" applyFont="1" applyBorder="1" applyAlignment="1">
      <alignment horizontal="center" vertical="center"/>
    </xf>
    <xf numFmtId="0" fontId="155" fillId="0" borderId="4" xfId="0" applyFont="1" applyBorder="1" applyAlignment="1">
      <alignment horizontal="center" vertical="center" wrapText="1"/>
    </xf>
    <xf numFmtId="0" fontId="153" fillId="0" borderId="0" xfId="0" applyFont="1" applyBorder="1"/>
    <xf numFmtId="0" fontId="153" fillId="0" borderId="0" xfId="0" applyFont="1" applyBorder="1" applyAlignment="1">
      <alignment wrapText="1"/>
    </xf>
    <xf numFmtId="207" fontId="151" fillId="0" borderId="0" xfId="0" applyNumberFormat="1" applyFont="1" applyBorder="1" applyAlignment="1">
      <alignment horizontal="center" vertical="center"/>
    </xf>
    <xf numFmtId="0" fontId="149" fillId="0" borderId="143" xfId="0" applyFont="1" applyBorder="1" applyAlignment="1">
      <alignment vertical="center" wrapText="1"/>
    </xf>
    <xf numFmtId="0" fontId="0" fillId="0" borderId="166" xfId="0" applyBorder="1" applyAlignment="1">
      <alignment horizontal="right"/>
    </xf>
    <xf numFmtId="0" fontId="0" fillId="0" borderId="135" xfId="0" applyBorder="1" applyAlignment="1">
      <alignment horizontal="right"/>
    </xf>
    <xf numFmtId="0" fontId="0" fillId="0" borderId="26" xfId="0" applyBorder="1"/>
    <xf numFmtId="0" fontId="0" fillId="0" borderId="146" xfId="0" applyBorder="1"/>
    <xf numFmtId="0" fontId="10" fillId="0" borderId="146" xfId="0" applyFont="1" applyBorder="1"/>
    <xf numFmtId="0" fontId="155" fillId="0" borderId="0" xfId="0" applyFont="1"/>
    <xf numFmtId="0" fontId="155" fillId="0" borderId="4" xfId="0" applyFont="1" applyBorder="1"/>
    <xf numFmtId="0" fontId="155" fillId="0" borderId="4" xfId="0" applyFont="1" applyBorder="1" applyAlignment="1">
      <alignment vertical="top"/>
    </xf>
    <xf numFmtId="0" fontId="155" fillId="0" borderId="4" xfId="0" applyFont="1" applyBorder="1" applyAlignment="1">
      <alignment horizontal="center"/>
    </xf>
    <xf numFmtId="0" fontId="155" fillId="0" borderId="0" xfId="0" applyFont="1" applyBorder="1" applyAlignment="1">
      <alignment horizontal="center"/>
    </xf>
    <xf numFmtId="0" fontId="152" fillId="9" borderId="4" xfId="0" applyFont="1" applyFill="1" applyBorder="1"/>
    <xf numFmtId="0" fontId="153" fillId="0" borderId="0" xfId="0" applyFont="1" applyAlignment="1">
      <alignment vertical="top"/>
    </xf>
    <xf numFmtId="0" fontId="153" fillId="0" borderId="0" xfId="0" applyFont="1" applyFill="1" applyBorder="1" applyAlignment="1"/>
    <xf numFmtId="0" fontId="156" fillId="0" borderId="0" xfId="503" applyFont="1" applyAlignment="1"/>
    <xf numFmtId="0" fontId="11" fillId="0" borderId="0" xfId="503" applyAlignment="1"/>
    <xf numFmtId="0" fontId="153" fillId="0" borderId="0" xfId="503" applyFont="1"/>
    <xf numFmtId="0" fontId="11" fillId="0" borderId="0" xfId="503"/>
    <xf numFmtId="0" fontId="162" fillId="9" borderId="4" xfId="0" applyFont="1" applyFill="1" applyBorder="1" applyAlignment="1">
      <alignment horizontal="center" vertical="center"/>
    </xf>
    <xf numFmtId="0" fontId="153" fillId="9" borderId="4" xfId="0" applyFont="1" applyFill="1" applyBorder="1" applyAlignment="1">
      <alignment horizontal="center" vertical="center"/>
    </xf>
    <xf numFmtId="0" fontId="153" fillId="0" borderId="0" xfId="503" applyFont="1" applyBorder="1" applyAlignment="1">
      <alignment horizontal="center" wrapText="1"/>
    </xf>
    <xf numFmtId="0" fontId="153" fillId="0" borderId="0" xfId="503" applyFont="1" applyBorder="1" applyAlignment="1">
      <alignment wrapText="1"/>
    </xf>
    <xf numFmtId="0" fontId="153" fillId="0" borderId="47" xfId="503" applyFont="1" applyBorder="1" applyAlignment="1">
      <alignment horizontal="center" wrapText="1"/>
    </xf>
    <xf numFmtId="0" fontId="120" fillId="0" borderId="133" xfId="17" applyFont="1" applyFill="1" applyBorder="1" applyAlignment="1">
      <alignment wrapText="1"/>
    </xf>
    <xf numFmtId="0" fontId="125" fillId="0" borderId="134" xfId="0" applyFont="1" applyFill="1" applyBorder="1" applyAlignment="1">
      <alignment horizontal="left"/>
    </xf>
    <xf numFmtId="0" fontId="125" fillId="0" borderId="134" xfId="0" applyFont="1" applyFill="1" applyBorder="1" applyAlignment="1"/>
    <xf numFmtId="0" fontId="120" fillId="0" borderId="0" xfId="564" applyFont="1" applyFill="1" applyAlignment="1"/>
    <xf numFmtId="2" fontId="120" fillId="0" borderId="4" xfId="2679" applyNumberFormat="1" applyFont="1" applyFill="1" applyBorder="1" applyAlignment="1">
      <alignment horizontal="right"/>
    </xf>
    <xf numFmtId="2" fontId="120" fillId="0" borderId="4" xfId="2679" applyNumberFormat="1" applyFont="1" applyFill="1" applyBorder="1" applyAlignment="1"/>
    <xf numFmtId="2" fontId="120" fillId="0" borderId="4" xfId="2679" applyNumberFormat="1" applyFont="1" applyFill="1" applyBorder="1" applyAlignment="1">
      <alignment horizontal="center"/>
    </xf>
    <xf numFmtId="0" fontId="120" fillId="0" borderId="4" xfId="564" applyFont="1" applyFill="1" applyBorder="1" applyAlignment="1"/>
    <xf numFmtId="0" fontId="119" fillId="0" borderId="12" xfId="564" applyFont="1" applyFill="1" applyBorder="1" applyAlignment="1"/>
    <xf numFmtId="2" fontId="119" fillId="0" borderId="12" xfId="564" applyNumberFormat="1" applyFont="1" applyFill="1" applyBorder="1" applyAlignment="1">
      <alignment horizontal="center"/>
    </xf>
    <xf numFmtId="2" fontId="120" fillId="0" borderId="11" xfId="2679" applyNumberFormat="1" applyFont="1" applyFill="1" applyBorder="1" applyAlignment="1">
      <alignment horizontal="center"/>
    </xf>
    <xf numFmtId="0" fontId="120" fillId="0" borderId="4" xfId="564" applyFont="1" applyFill="1" applyBorder="1" applyAlignment="1">
      <alignment horizontal="left" wrapText="1"/>
    </xf>
    <xf numFmtId="171" fontId="119" fillId="0" borderId="4" xfId="2679" applyNumberFormat="1" applyFont="1" applyFill="1" applyBorder="1" applyAlignment="1">
      <alignment horizontal="center"/>
    </xf>
    <xf numFmtId="2" fontId="119" fillId="0" borderId="12" xfId="2679" applyNumberFormat="1" applyFont="1" applyFill="1" applyBorder="1" applyAlignment="1">
      <alignment horizontal="center"/>
    </xf>
    <xf numFmtId="0" fontId="119" fillId="0" borderId="28" xfId="564" applyFont="1" applyFill="1" applyBorder="1" applyAlignment="1"/>
    <xf numFmtId="2" fontId="119" fillId="0" borderId="28" xfId="564" applyNumberFormat="1" applyFont="1" applyFill="1" applyBorder="1" applyAlignment="1">
      <alignment horizontal="center"/>
    </xf>
    <xf numFmtId="0" fontId="119" fillId="0" borderId="0" xfId="564" applyFont="1" applyFill="1" applyAlignment="1"/>
    <xf numFmtId="0" fontId="119" fillId="0" borderId="4" xfId="564" applyFont="1" applyFill="1" applyBorder="1" applyAlignment="1">
      <alignment horizontal="center"/>
    </xf>
    <xf numFmtId="0" fontId="119" fillId="0" borderId="4" xfId="564" applyFont="1" applyFill="1" applyBorder="1" applyAlignment="1"/>
    <xf numFmtId="0" fontId="119" fillId="0" borderId="11" xfId="564" applyFont="1" applyFill="1" applyBorder="1" applyAlignment="1"/>
    <xf numFmtId="0" fontId="123" fillId="0" borderId="4" xfId="564" applyFont="1" applyFill="1" applyBorder="1" applyAlignment="1">
      <alignment horizontal="center"/>
    </xf>
    <xf numFmtId="0" fontId="114" fillId="0" borderId="4" xfId="0" applyFont="1" applyBorder="1"/>
    <xf numFmtId="0" fontId="9" fillId="0" borderId="0" xfId="564" applyFont="1" applyFill="1" applyBorder="1" applyAlignment="1">
      <alignment horizontal="right"/>
    </xf>
    <xf numFmtId="0" fontId="123" fillId="0" borderId="134" xfId="0" applyFont="1" applyFill="1" applyBorder="1" applyAlignment="1"/>
    <xf numFmtId="0" fontId="122" fillId="0" borderId="4" xfId="564" applyFont="1" applyFill="1" applyBorder="1" applyAlignment="1">
      <alignment horizontal="center" vertical="center" wrapText="1"/>
    </xf>
    <xf numFmtId="0" fontId="123" fillId="12" borderId="133" xfId="564" applyFont="1" applyFill="1" applyBorder="1" applyAlignment="1">
      <alignment horizontal="center" vertical="center" wrapText="1"/>
    </xf>
    <xf numFmtId="0" fontId="122" fillId="12" borderId="133" xfId="564" applyFont="1" applyFill="1" applyBorder="1" applyAlignment="1">
      <alignment horizontal="justify" wrapText="1"/>
    </xf>
    <xf numFmtId="2" fontId="122" fillId="12" borderId="133" xfId="564" applyNumberFormat="1" applyFont="1" applyFill="1" applyBorder="1" applyAlignment="1">
      <alignment horizontal="center"/>
    </xf>
    <xf numFmtId="2" fontId="122" fillId="9" borderId="133" xfId="564" applyNumberFormat="1" applyFont="1" applyFill="1" applyBorder="1" applyAlignment="1">
      <alignment horizontal="center"/>
    </xf>
    <xf numFmtId="0" fontId="123" fillId="0" borderId="0" xfId="564" applyFont="1" applyBorder="1" applyAlignment="1">
      <alignment horizontal="left"/>
    </xf>
    <xf numFmtId="0" fontId="123" fillId="0" borderId="0" xfId="564" applyFont="1" applyBorder="1" applyAlignment="1"/>
    <xf numFmtId="0" fontId="123" fillId="0" borderId="0" xfId="564" applyFont="1" applyBorder="1" applyAlignment="1">
      <alignment horizontal="center"/>
    </xf>
    <xf numFmtId="0" fontId="122" fillId="0" borderId="4" xfId="564" applyFont="1" applyBorder="1" applyAlignment="1">
      <alignment horizontal="center" wrapText="1"/>
    </xf>
    <xf numFmtId="0" fontId="122" fillId="0" borderId="4" xfId="564" applyFont="1" applyBorder="1" applyAlignment="1">
      <alignment wrapText="1"/>
    </xf>
    <xf numFmtId="0" fontId="122" fillId="0" borderId="10" xfId="564" applyFont="1" applyBorder="1" applyAlignment="1">
      <alignment horizontal="center" wrapText="1"/>
    </xf>
    <xf numFmtId="0" fontId="122" fillId="0" borderId="0" xfId="564" applyFont="1" applyBorder="1" applyAlignment="1">
      <alignment horizontal="center" wrapText="1"/>
    </xf>
    <xf numFmtId="0" fontId="122" fillId="0" borderId="4" xfId="564" applyFont="1" applyBorder="1" applyAlignment="1">
      <alignment horizontal="center"/>
    </xf>
    <xf numFmtId="178" fontId="122" fillId="0" borderId="4" xfId="564" applyNumberFormat="1" applyFont="1" applyBorder="1" applyAlignment="1">
      <alignment horizontal="center" wrapText="1"/>
    </xf>
    <xf numFmtId="178" fontId="122" fillId="0" borderId="10" xfId="564" applyNumberFormat="1" applyFont="1" applyBorder="1" applyAlignment="1">
      <alignment horizontal="center" wrapText="1"/>
    </xf>
    <xf numFmtId="178" fontId="122" fillId="0" borderId="0" xfId="564" applyNumberFormat="1" applyFont="1" applyBorder="1" applyAlignment="1">
      <alignment horizontal="center" wrapText="1"/>
    </xf>
    <xf numFmtId="172" fontId="122" fillId="0" borderId="4" xfId="564" applyNumberFormat="1" applyFont="1" applyBorder="1" applyAlignment="1">
      <alignment horizontal="center"/>
    </xf>
    <xf numFmtId="0" fontId="123" fillId="0" borderId="4" xfId="564" applyFont="1" applyBorder="1" applyAlignment="1">
      <alignment horizontal="center"/>
    </xf>
    <xf numFmtId="0" fontId="123" fillId="0" borderId="4" xfId="564" applyFont="1" applyBorder="1" applyAlignment="1">
      <alignment wrapText="1"/>
    </xf>
    <xf numFmtId="178" fontId="123" fillId="0" borderId="4" xfId="564" applyNumberFormat="1" applyFont="1" applyBorder="1" applyAlignment="1">
      <alignment horizontal="center" wrapText="1"/>
    </xf>
    <xf numFmtId="178" fontId="123" fillId="0" borderId="4" xfId="564" applyNumberFormat="1" applyFont="1" applyBorder="1" applyAlignment="1">
      <alignment horizontal="center"/>
    </xf>
    <xf numFmtId="178" fontId="123" fillId="0" borderId="10" xfId="564" applyNumberFormat="1" applyFont="1" applyBorder="1" applyAlignment="1">
      <alignment horizontal="center"/>
    </xf>
    <xf numFmtId="178" fontId="123" fillId="0" borderId="0" xfId="564" applyNumberFormat="1" applyFont="1" applyBorder="1" applyAlignment="1">
      <alignment horizontal="center"/>
    </xf>
    <xf numFmtId="0" fontId="122" fillId="12" borderId="4" xfId="564" applyFont="1" applyFill="1" applyBorder="1" applyAlignment="1">
      <alignment wrapText="1"/>
    </xf>
    <xf numFmtId="178" fontId="134" fillId="12" borderId="4" xfId="564" applyNumberFormat="1" applyFont="1" applyFill="1" applyBorder="1" applyAlignment="1">
      <alignment horizontal="center" wrapText="1"/>
    </xf>
    <xf numFmtId="178" fontId="134" fillId="12" borderId="10" xfId="564" applyNumberFormat="1" applyFont="1" applyFill="1" applyBorder="1" applyAlignment="1">
      <alignment horizontal="center" wrapText="1"/>
    </xf>
    <xf numFmtId="178" fontId="139" fillId="12" borderId="4" xfId="564" quotePrefix="1" applyNumberFormat="1" applyFont="1" applyFill="1" applyBorder="1" applyAlignment="1">
      <alignment horizontal="center"/>
    </xf>
    <xf numFmtId="178" fontId="139" fillId="12" borderId="4" xfId="564" applyNumberFormat="1" applyFont="1" applyFill="1" applyBorder="1" applyAlignment="1">
      <alignment horizontal="center"/>
    </xf>
    <xf numFmtId="178" fontId="139" fillId="12" borderId="10" xfId="564" quotePrefix="1" applyNumberFormat="1" applyFont="1" applyFill="1" applyBorder="1" applyAlignment="1">
      <alignment horizontal="center"/>
    </xf>
    <xf numFmtId="0" fontId="122" fillId="0" borderId="0" xfId="564" applyFont="1" applyBorder="1" applyAlignment="1">
      <alignment horizontal="left"/>
    </xf>
    <xf numFmtId="0" fontId="123" fillId="0" borderId="0" xfId="0" applyFont="1" applyFill="1" applyBorder="1" applyAlignment="1">
      <alignment wrapText="1"/>
    </xf>
    <xf numFmtId="178" fontId="123" fillId="0" borderId="0" xfId="0" applyNumberFormat="1" applyFont="1" applyFill="1" applyBorder="1" applyAlignment="1">
      <alignment horizontal="center" wrapText="1"/>
    </xf>
    <xf numFmtId="0" fontId="13" fillId="0" borderId="133" xfId="0" applyFont="1" applyFill="1" applyBorder="1" applyAlignment="1">
      <alignment horizontal="center" wrapText="1"/>
    </xf>
    <xf numFmtId="2" fontId="0" fillId="0" borderId="0" xfId="0" applyNumberFormat="1"/>
    <xf numFmtId="2" fontId="10" fillId="0" borderId="4" xfId="0" applyNumberFormat="1" applyFont="1" applyBorder="1" applyAlignment="1">
      <alignment horizontal="center"/>
    </xf>
    <xf numFmtId="43" fontId="10" fillId="0" borderId="4" xfId="0" applyNumberFormat="1" applyFont="1" applyBorder="1"/>
    <xf numFmtId="0" fontId="119" fillId="5" borderId="0" xfId="17" applyFont="1" applyFill="1" applyBorder="1" applyAlignment="1"/>
    <xf numFmtId="0" fontId="120" fillId="12" borderId="28" xfId="0" applyFont="1" applyFill="1" applyBorder="1" applyAlignment="1"/>
    <xf numFmtId="177" fontId="10" fillId="0" borderId="4" xfId="0" applyNumberFormat="1" applyFont="1" applyBorder="1"/>
    <xf numFmtId="0" fontId="126" fillId="0" borderId="4" xfId="0" applyFont="1" applyBorder="1" applyAlignment="1">
      <alignment horizontal="center" vertical="center" wrapText="1"/>
    </xf>
    <xf numFmtId="0" fontId="119" fillId="9" borderId="4" xfId="17" applyFont="1" applyFill="1" applyBorder="1" applyAlignment="1">
      <alignment horizontal="center" vertical="center" wrapText="1"/>
    </xf>
    <xf numFmtId="2" fontId="9" fillId="0" borderId="4" xfId="0" applyNumberFormat="1" applyFont="1" applyBorder="1" applyAlignment="1">
      <alignment horizontal="center" vertical="center"/>
    </xf>
    <xf numFmtId="0" fontId="128" fillId="0" borderId="0" xfId="0" applyFont="1" applyFill="1" applyBorder="1" applyAlignment="1">
      <alignment vertical="center" wrapText="1"/>
    </xf>
    <xf numFmtId="0" fontId="125" fillId="0" borderId="0" xfId="0" applyFont="1" applyAlignment="1">
      <alignment horizontal="center" vertical="center" wrapText="1"/>
    </xf>
    <xf numFmtId="0" fontId="125" fillId="0" borderId="0" xfId="0" applyFont="1" applyAlignment="1">
      <alignment horizontal="center"/>
    </xf>
    <xf numFmtId="0" fontId="125" fillId="0" borderId="134" xfId="0" applyFont="1" applyFill="1" applyBorder="1" applyAlignment="1"/>
    <xf numFmtId="0" fontId="119" fillId="0" borderId="4" xfId="17" applyFont="1" applyFill="1" applyBorder="1" applyAlignment="1">
      <alignment horizontal="center" vertical="center" wrapText="1"/>
    </xf>
    <xf numFmtId="0" fontId="125" fillId="0" borderId="134" xfId="0" applyFont="1" applyFill="1" applyBorder="1" applyAlignment="1">
      <alignment horizontal="left"/>
    </xf>
    <xf numFmtId="0" fontId="125" fillId="0" borderId="0" xfId="0" applyFont="1" applyFill="1" applyAlignment="1">
      <alignment horizontal="center"/>
    </xf>
    <xf numFmtId="0" fontId="119" fillId="0" borderId="10" xfId="17" applyFont="1" applyFill="1" applyBorder="1" applyAlignment="1">
      <alignment horizontal="center" vertical="center"/>
    </xf>
    <xf numFmtId="0" fontId="126" fillId="0" borderId="4" xfId="0" applyFont="1" applyFill="1" applyBorder="1" applyAlignment="1">
      <alignment horizontal="center" vertical="center" wrapText="1"/>
    </xf>
    <xf numFmtId="0" fontId="124" fillId="0" borderId="0" xfId="17" applyFont="1" applyFill="1" applyBorder="1" applyAlignment="1">
      <alignment horizontal="left" vertical="center"/>
    </xf>
    <xf numFmtId="0" fontId="119" fillId="0" borderId="19" xfId="17" applyFont="1" applyFill="1" applyBorder="1" applyAlignment="1">
      <alignment horizontal="center" vertical="center" wrapText="1"/>
    </xf>
    <xf numFmtId="0" fontId="126" fillId="0" borderId="4" xfId="0" applyFont="1" applyBorder="1" applyAlignment="1">
      <alignment horizontal="center" vertical="center" wrapText="1"/>
    </xf>
    <xf numFmtId="0" fontId="119" fillId="9" borderId="4" xfId="17" applyFont="1" applyFill="1" applyBorder="1" applyAlignment="1">
      <alignment horizontal="center" vertical="center" wrapText="1"/>
    </xf>
    <xf numFmtId="0" fontId="120" fillId="0" borderId="4" xfId="564" applyFont="1" applyFill="1" applyBorder="1" applyAlignment="1">
      <alignment horizontal="center" wrapText="1"/>
    </xf>
    <xf numFmtId="0" fontId="120" fillId="0" borderId="4" xfId="564" applyFont="1" applyFill="1" applyBorder="1" applyAlignment="1">
      <alignment horizontal="center"/>
    </xf>
    <xf numFmtId="0" fontId="122" fillId="0" borderId="0" xfId="17" applyFont="1" applyFill="1" applyBorder="1" applyAlignment="1">
      <alignment horizontal="center"/>
    </xf>
    <xf numFmtId="0" fontId="117" fillId="0" borderId="0" xfId="0" applyFont="1" applyAlignment="1">
      <alignment horizontal="center"/>
    </xf>
    <xf numFmtId="0" fontId="122" fillId="0" borderId="4" xfId="0" applyFont="1" applyFill="1" applyBorder="1" applyAlignment="1">
      <alignment horizontal="center" vertical="center" wrapText="1"/>
    </xf>
    <xf numFmtId="0" fontId="0" fillId="0" borderId="0" xfId="0" applyAlignment="1">
      <alignment horizontal="center" vertical="center"/>
    </xf>
    <xf numFmtId="0" fontId="122" fillId="5" borderId="0" xfId="17" applyFont="1" applyFill="1" applyBorder="1" applyAlignment="1">
      <alignment horizontal="center"/>
    </xf>
    <xf numFmtId="0" fontId="117" fillId="0" borderId="0" xfId="0" applyFont="1" applyAlignment="1"/>
    <xf numFmtId="0" fontId="128" fillId="0" borderId="0" xfId="0" applyFont="1" applyFill="1" applyBorder="1" applyAlignment="1"/>
    <xf numFmtId="0" fontId="13" fillId="0" borderId="4" xfId="17" applyFont="1" applyFill="1" applyBorder="1" applyAlignment="1">
      <alignment horizontal="center"/>
    </xf>
    <xf numFmtId="174" fontId="120" fillId="0" borderId="4" xfId="72" applyNumberFormat="1" applyFont="1" applyBorder="1" applyAlignment="1">
      <alignment vertical="center" wrapText="1"/>
    </xf>
    <xf numFmtId="174" fontId="119" fillId="0" borderId="4" xfId="72" applyNumberFormat="1" applyFont="1" applyBorder="1" applyAlignment="1">
      <alignment vertical="center" wrapText="1"/>
    </xf>
    <xf numFmtId="0" fontId="119" fillId="0" borderId="19" xfId="0" applyFont="1" applyFill="1" applyBorder="1" applyAlignment="1">
      <alignment vertical="center"/>
    </xf>
    <xf numFmtId="0" fontId="126" fillId="0" borderId="133" xfId="0" applyFont="1" applyBorder="1" applyAlignment="1">
      <alignment vertical="center" wrapText="1"/>
    </xf>
    <xf numFmtId="0" fontId="125" fillId="0" borderId="4" xfId="0" applyFont="1" applyBorder="1" applyAlignment="1">
      <alignment vertical="center" wrapText="1"/>
    </xf>
    <xf numFmtId="0" fontId="128" fillId="5" borderId="0" xfId="0" applyFont="1" applyFill="1" applyBorder="1" applyAlignment="1"/>
    <xf numFmtId="0" fontId="124" fillId="0" borderId="0" xfId="0" applyFont="1" applyFill="1" applyBorder="1" applyAlignment="1">
      <alignment horizontal="center"/>
    </xf>
    <xf numFmtId="0" fontId="136" fillId="0" borderId="4" xfId="17" applyFont="1" applyFill="1" applyBorder="1" applyAlignment="1">
      <alignment horizontal="center"/>
    </xf>
    <xf numFmtId="0" fontId="135" fillId="0" borderId="4" xfId="17" applyFont="1" applyFill="1" applyBorder="1" applyAlignment="1">
      <alignment horizontal="center"/>
    </xf>
    <xf numFmtId="0" fontId="120" fillId="0" borderId="4" xfId="17" applyFont="1" applyFill="1" applyBorder="1" applyAlignment="1">
      <alignment horizontal="center"/>
    </xf>
    <xf numFmtId="0" fontId="120" fillId="0" borderId="133" xfId="17" applyFont="1" applyFill="1" applyBorder="1" applyAlignment="1">
      <alignment horizontal="center"/>
    </xf>
    <xf numFmtId="0" fontId="119" fillId="0" borderId="26" xfId="17" applyFont="1" applyFill="1" applyBorder="1" applyAlignment="1">
      <alignment horizontal="center"/>
    </xf>
    <xf numFmtId="0" fontId="119" fillId="0" borderId="29" xfId="17" applyFont="1" applyFill="1" applyBorder="1" applyAlignment="1">
      <alignment horizontal="center"/>
    </xf>
    <xf numFmtId="0" fontId="120" fillId="0" borderId="0" xfId="0" applyFont="1" applyFill="1" applyBorder="1" applyAlignment="1">
      <alignment horizontal="center" vertical="center"/>
    </xf>
    <xf numFmtId="0" fontId="125" fillId="0" borderId="0" xfId="0" applyFont="1" applyFill="1" applyBorder="1" applyAlignment="1">
      <alignment horizontal="center"/>
    </xf>
    <xf numFmtId="174" fontId="119" fillId="0" borderId="26" xfId="72" applyNumberFormat="1" applyFont="1" applyFill="1" applyBorder="1" applyAlignment="1"/>
    <xf numFmtId="174" fontId="119" fillId="0" borderId="29" xfId="72" applyNumberFormat="1" applyFont="1" applyFill="1" applyBorder="1" applyAlignment="1"/>
    <xf numFmtId="0" fontId="164" fillId="0" borderId="24" xfId="17" applyFont="1" applyFill="1" applyBorder="1" applyAlignment="1">
      <alignment horizontal="center" vertical="center"/>
    </xf>
    <xf numFmtId="0" fontId="163" fillId="0" borderId="145" xfId="0" applyFont="1" applyFill="1" applyBorder="1" applyAlignment="1">
      <alignment vertical="center"/>
    </xf>
    <xf numFmtId="0" fontId="163" fillId="0" borderId="145" xfId="0" applyFont="1" applyFill="1" applyBorder="1" applyAlignment="1">
      <alignment horizontal="center" vertical="center"/>
    </xf>
    <xf numFmtId="0" fontId="127" fillId="5" borderId="0" xfId="0" applyFont="1" applyFill="1" applyBorder="1" applyAlignment="1"/>
    <xf numFmtId="0" fontId="126" fillId="0" borderId="4" xfId="0" applyFont="1" applyBorder="1" applyAlignment="1">
      <alignment vertical="center" wrapText="1"/>
    </xf>
    <xf numFmtId="0" fontId="119" fillId="0" borderId="11" xfId="0" applyFont="1" applyFill="1" applyBorder="1" applyAlignment="1">
      <alignment horizontal="center" vertical="center"/>
    </xf>
    <xf numFmtId="0" fontId="119" fillId="0" borderId="11" xfId="0" applyFont="1" applyFill="1" applyBorder="1" applyAlignment="1">
      <alignment horizontal="left" wrapText="1"/>
    </xf>
    <xf numFmtId="0" fontId="125" fillId="0" borderId="11" xfId="0" applyFont="1" applyFill="1" applyBorder="1" applyAlignment="1">
      <alignment wrapText="1"/>
    </xf>
    <xf numFmtId="0" fontId="124" fillId="0" borderId="0" xfId="17" applyFont="1" applyBorder="1" applyAlignment="1">
      <alignment horizontal="center" vertical="center"/>
    </xf>
    <xf numFmtId="0" fontId="125" fillId="0" borderId="0" xfId="0" applyFont="1"/>
    <xf numFmtId="0" fontId="126" fillId="0" borderId="4" xfId="0" applyFont="1" applyBorder="1" applyAlignment="1">
      <alignment wrapText="1"/>
    </xf>
    <xf numFmtId="0" fontId="126" fillId="0" borderId="4" xfId="0" applyFont="1" applyBorder="1"/>
    <xf numFmtId="0" fontId="126" fillId="0" borderId="0" xfId="0" applyFont="1"/>
    <xf numFmtId="1" fontId="126" fillId="0" borderId="0" xfId="0" applyNumberFormat="1" applyFont="1"/>
    <xf numFmtId="0" fontId="126" fillId="0" borderId="4" xfId="0" applyFont="1" applyBorder="1" applyAlignment="1"/>
    <xf numFmtId="0" fontId="125" fillId="0" borderId="4" xfId="0" applyFont="1" applyBorder="1" applyAlignment="1">
      <alignment horizontal="center" vertical="center"/>
    </xf>
    <xf numFmtId="0" fontId="126" fillId="0" borderId="4" xfId="0" applyFont="1" applyBorder="1" applyAlignment="1">
      <alignment horizontal="center"/>
    </xf>
    <xf numFmtId="0" fontId="126" fillId="0" borderId="0" xfId="0" applyFont="1" applyBorder="1" applyAlignment="1">
      <alignment horizontal="left"/>
    </xf>
    <xf numFmtId="0" fontId="165" fillId="0" borderId="0" xfId="0" applyFont="1" applyBorder="1" applyAlignment="1">
      <alignment horizontal="left"/>
    </xf>
    <xf numFmtId="0" fontId="126" fillId="0" borderId="11" xfId="0" applyFont="1" applyBorder="1" applyAlignment="1">
      <alignment vertical="center"/>
    </xf>
    <xf numFmtId="0" fontId="126" fillId="0" borderId="4" xfId="0" applyFont="1" applyBorder="1" applyAlignment="1">
      <alignment vertical="center"/>
    </xf>
    <xf numFmtId="0" fontId="126" fillId="0" borderId="133" xfId="0" applyFont="1" applyBorder="1" applyAlignment="1">
      <alignment vertical="center"/>
    </xf>
    <xf numFmtId="0" fontId="126" fillId="0" borderId="0" xfId="0" applyFont="1" applyAlignment="1">
      <alignment vertical="center"/>
    </xf>
    <xf numFmtId="0" fontId="126" fillId="0" borderId="0" xfId="0" applyFont="1" applyBorder="1" applyAlignment="1">
      <alignment horizontal="left" vertical="center"/>
    </xf>
    <xf numFmtId="0" fontId="126" fillId="0" borderId="0" xfId="0" applyFont="1" applyBorder="1" applyAlignment="1">
      <alignment vertical="center"/>
    </xf>
    <xf numFmtId="0" fontId="126" fillId="0" borderId="0" xfId="0" applyFont="1" applyBorder="1"/>
    <xf numFmtId="1" fontId="126" fillId="0" borderId="0" xfId="0" applyNumberFormat="1" applyFont="1" applyBorder="1"/>
    <xf numFmtId="0" fontId="126" fillId="0" borderId="4" xfId="0" applyFont="1" applyFill="1" applyBorder="1" applyAlignment="1">
      <alignment horizontal="center" vertical="center"/>
    </xf>
    <xf numFmtId="0" fontId="119" fillId="0" borderId="0" xfId="564" applyFont="1" applyFill="1" applyBorder="1" applyAlignment="1"/>
    <xf numFmtId="2" fontId="119" fillId="0" borderId="0" xfId="564" applyNumberFormat="1" applyFont="1" applyFill="1" applyBorder="1" applyAlignment="1">
      <alignment horizontal="center"/>
    </xf>
    <xf numFmtId="0" fontId="126" fillId="0" borderId="0" xfId="0" applyFont="1" applyAlignment="1">
      <alignment horizontal="center"/>
    </xf>
    <xf numFmtId="0" fontId="125" fillId="0" borderId="4" xfId="0" applyFont="1" applyBorder="1" applyAlignment="1">
      <alignment horizontal="center"/>
    </xf>
    <xf numFmtId="0" fontId="125" fillId="0" borderId="4" xfId="0" applyFont="1" applyBorder="1"/>
    <xf numFmtId="0" fontId="125" fillId="0" borderId="0" xfId="0" applyFont="1" applyAlignment="1">
      <alignment wrapText="1"/>
    </xf>
    <xf numFmtId="0" fontId="119" fillId="0" borderId="4" xfId="0" applyFont="1" applyBorder="1" applyAlignment="1">
      <alignment horizontal="center"/>
    </xf>
    <xf numFmtId="0" fontId="125" fillId="0" borderId="4" xfId="0" applyFont="1" applyBorder="1" applyAlignment="1">
      <alignment horizontal="center" vertical="top" wrapText="1"/>
    </xf>
    <xf numFmtId="0" fontId="126" fillId="0" borderId="4" xfId="0" applyFont="1" applyBorder="1" applyAlignment="1">
      <alignment horizontal="center" wrapText="1"/>
    </xf>
    <xf numFmtId="0" fontId="125" fillId="0" borderId="4" xfId="0" applyFont="1" applyBorder="1" applyAlignment="1">
      <alignment vertical="center"/>
    </xf>
    <xf numFmtId="0" fontId="125" fillId="0" borderId="4" xfId="0" applyFont="1" applyBorder="1" applyAlignment="1">
      <alignment wrapText="1"/>
    </xf>
    <xf numFmtId="0" fontId="119" fillId="0" borderId="0" xfId="0" applyFont="1" applyFill="1"/>
    <xf numFmtId="0" fontId="120" fillId="0" borderId="4" xfId="0" applyFont="1" applyFill="1" applyBorder="1" applyAlignment="1">
      <alignment horizontal="center" wrapText="1"/>
    </xf>
    <xf numFmtId="0" fontId="125" fillId="0" borderId="133" xfId="0" applyFont="1" applyBorder="1" applyAlignment="1">
      <alignment vertical="center" wrapText="1"/>
    </xf>
    <xf numFmtId="0" fontId="125" fillId="0" borderId="0" xfId="0" applyFont="1" applyBorder="1" applyAlignment="1">
      <alignment horizontal="center" vertical="center" wrapText="1"/>
    </xf>
    <xf numFmtId="0" fontId="125" fillId="0" borderId="0" xfId="0" applyFont="1" applyBorder="1" applyAlignment="1">
      <alignment horizontal="left" vertical="center" wrapText="1"/>
    </xf>
    <xf numFmtId="0" fontId="120" fillId="0" borderId="4" xfId="0" applyFont="1" applyFill="1" applyBorder="1" applyAlignment="1">
      <alignment horizontal="left" vertical="center" wrapText="1"/>
    </xf>
    <xf numFmtId="0" fontId="120" fillId="0" borderId="0" xfId="564" applyFont="1" applyFill="1" applyBorder="1" applyAlignment="1">
      <alignment horizontal="left"/>
    </xf>
    <xf numFmtId="0" fontId="120" fillId="0" borderId="0" xfId="564" applyFont="1" applyFill="1" applyBorder="1" applyAlignment="1">
      <alignment horizontal="left" wrapText="1"/>
    </xf>
    <xf numFmtId="0" fontId="120" fillId="0" borderId="0" xfId="564" applyFont="1" applyFill="1" applyBorder="1" applyAlignment="1">
      <alignment horizontal="center"/>
    </xf>
    <xf numFmtId="0" fontId="119" fillId="5" borderId="0" xfId="17" applyFont="1" applyFill="1" applyBorder="1" applyAlignment="1">
      <alignment horizontal="center"/>
    </xf>
    <xf numFmtId="168" fontId="120" fillId="0" borderId="4" xfId="72" applyFont="1" applyFill="1" applyBorder="1" applyAlignment="1">
      <alignment horizontal="center"/>
    </xf>
    <xf numFmtId="168" fontId="120" fillId="0" borderId="4" xfId="72" applyFont="1" applyFill="1" applyBorder="1" applyAlignment="1">
      <alignment horizontal="center" vertical="center"/>
    </xf>
    <xf numFmtId="168" fontId="125" fillId="0" borderId="4" xfId="0" applyNumberFormat="1" applyFont="1" applyBorder="1" applyAlignment="1"/>
    <xf numFmtId="168" fontId="125" fillId="0" borderId="4" xfId="72" applyFont="1" applyBorder="1" applyAlignment="1"/>
    <xf numFmtId="168" fontId="125" fillId="0" borderId="4" xfId="72" applyFont="1" applyBorder="1" applyAlignment="1">
      <alignment vertical="center"/>
    </xf>
    <xf numFmtId="168" fontId="120" fillId="0" borderId="4" xfId="564" applyNumberFormat="1" applyFont="1" applyFill="1" applyBorder="1" applyAlignment="1">
      <alignment horizontal="center"/>
    </xf>
    <xf numFmtId="0" fontId="0" fillId="0" borderId="0" xfId="0" applyAlignment="1">
      <alignment vertical="center" wrapText="1"/>
    </xf>
    <xf numFmtId="17" fontId="0" fillId="0" borderId="0" xfId="0" applyNumberFormat="1" applyAlignment="1">
      <alignment vertical="center"/>
    </xf>
    <xf numFmtId="2" fontId="0" fillId="0" borderId="0" xfId="0" applyNumberFormat="1" applyAlignment="1">
      <alignment horizontal="center" vertical="center" wrapText="1"/>
    </xf>
    <xf numFmtId="168" fontId="0" fillId="0" borderId="0" xfId="72" applyFont="1" applyAlignment="1">
      <alignment horizontal="center" vertical="center" wrapText="1"/>
    </xf>
    <xf numFmtId="0" fontId="119" fillId="5" borderId="0" xfId="17" applyFont="1" applyFill="1" applyBorder="1" applyAlignment="1">
      <alignment vertical="center" wrapText="1"/>
    </xf>
    <xf numFmtId="0" fontId="119" fillId="0" borderId="19" xfId="17" applyFont="1" applyFill="1" applyBorder="1" applyAlignment="1">
      <alignment vertical="center" wrapText="1"/>
    </xf>
    <xf numFmtId="0" fontId="125" fillId="0" borderId="28" xfId="0" applyFont="1" applyBorder="1" applyAlignment="1">
      <alignment vertical="center" wrapText="1"/>
    </xf>
    <xf numFmtId="0" fontId="125" fillId="0" borderId="0" xfId="0" applyFont="1" applyBorder="1" applyAlignment="1">
      <alignment wrapText="1"/>
    </xf>
    <xf numFmtId="0" fontId="125" fillId="13" borderId="0" xfId="0" applyFont="1" applyFill="1" applyBorder="1" applyAlignment="1"/>
    <xf numFmtId="0" fontId="125" fillId="13" borderId="10" xfId="0" applyFont="1" applyFill="1" applyBorder="1" applyAlignment="1"/>
    <xf numFmtId="0" fontId="125" fillId="13" borderId="4" xfId="0" applyFont="1" applyFill="1" applyBorder="1" applyAlignment="1"/>
    <xf numFmtId="0" fontId="125" fillId="0" borderId="134" xfId="0" applyFont="1" applyBorder="1" applyAlignment="1"/>
    <xf numFmtId="0" fontId="125" fillId="0" borderId="20" xfId="0" applyFont="1" applyBorder="1" applyAlignment="1"/>
    <xf numFmtId="0" fontId="125" fillId="13" borderId="4" xfId="0" applyFont="1" applyFill="1" applyBorder="1" applyAlignment="1">
      <alignment wrapText="1"/>
    </xf>
    <xf numFmtId="43" fontId="125" fillId="0" borderId="4" xfId="0" applyNumberFormat="1" applyFont="1" applyBorder="1" applyAlignment="1"/>
    <xf numFmtId="168" fontId="125" fillId="0" borderId="4" xfId="72" applyFont="1" applyBorder="1"/>
    <xf numFmtId="0" fontId="125" fillId="0" borderId="4" xfId="0" applyFont="1" applyBorder="1" applyAlignment="1">
      <alignment vertical="top"/>
    </xf>
    <xf numFmtId="168" fontId="120" fillId="0" borderId="4" xfId="72" applyFont="1" applyFill="1" applyBorder="1" applyAlignment="1">
      <alignment horizontal="right" vertical="center"/>
    </xf>
    <xf numFmtId="168" fontId="0" fillId="0" borderId="0" xfId="72" applyFont="1" applyAlignment="1">
      <alignment vertical="center"/>
    </xf>
    <xf numFmtId="0" fontId="0" fillId="8" borderId="0" xfId="0" applyFill="1" applyAlignment="1">
      <alignment wrapText="1"/>
    </xf>
    <xf numFmtId="0" fontId="0" fillId="8" borderId="0" xfId="0" applyFill="1" applyAlignment="1">
      <alignment vertical="center" wrapText="1"/>
    </xf>
    <xf numFmtId="2" fontId="0" fillId="8" borderId="0" xfId="0" applyNumberFormat="1" applyFill="1" applyAlignment="1">
      <alignment horizontal="center" vertical="center" wrapText="1"/>
    </xf>
    <xf numFmtId="17" fontId="0" fillId="8" borderId="0" xfId="0" applyNumberFormat="1" applyFill="1" applyAlignment="1">
      <alignment vertical="center"/>
    </xf>
    <xf numFmtId="0" fontId="0" fillId="8" borderId="0" xfId="0" applyFill="1" applyAlignment="1">
      <alignment horizontal="center" vertical="center"/>
    </xf>
    <xf numFmtId="0" fontId="0" fillId="8" borderId="0" xfId="0" applyFill="1"/>
    <xf numFmtId="168" fontId="0" fillId="8" borderId="0" xfId="72" applyFont="1" applyFill="1" applyAlignment="1">
      <alignment vertical="center"/>
    </xf>
    <xf numFmtId="0" fontId="0" fillId="8" borderId="0" xfId="0" applyFill="1" applyAlignment="1">
      <alignment horizontal="center" vertical="center" wrapText="1"/>
    </xf>
    <xf numFmtId="0" fontId="0" fillId="10" borderId="0" xfId="0" applyFill="1" applyAlignment="1">
      <alignment wrapText="1"/>
    </xf>
    <xf numFmtId="0" fontId="0" fillId="10" borderId="0" xfId="0" applyFill="1" applyAlignment="1">
      <alignment vertical="center" wrapText="1"/>
    </xf>
    <xf numFmtId="2" fontId="0" fillId="10" borderId="0" xfId="0" applyNumberFormat="1" applyFill="1" applyAlignment="1">
      <alignment horizontal="center" vertical="center" wrapText="1"/>
    </xf>
    <xf numFmtId="17" fontId="0" fillId="10" borderId="0" xfId="0" applyNumberFormat="1" applyFill="1" applyAlignment="1">
      <alignment vertical="center"/>
    </xf>
    <xf numFmtId="0" fontId="0" fillId="10" borderId="0" xfId="0" applyFill="1" applyAlignment="1">
      <alignment horizontal="center" vertical="center"/>
    </xf>
    <xf numFmtId="0" fontId="0" fillId="10" borderId="0" xfId="0" applyFill="1"/>
    <xf numFmtId="168" fontId="0" fillId="66" borderId="0" xfId="72" applyFont="1" applyFill="1" applyAlignment="1">
      <alignment vertical="center"/>
    </xf>
    <xf numFmtId="168" fontId="0" fillId="0" borderId="0" xfId="72" applyFont="1" applyFill="1" applyAlignment="1">
      <alignment vertical="center"/>
    </xf>
    <xf numFmtId="168" fontId="0" fillId="10" borderId="0" xfId="72" applyFont="1" applyFill="1" applyAlignment="1">
      <alignment vertical="center"/>
    </xf>
    <xf numFmtId="0" fontId="125" fillId="13" borderId="0" xfId="0" applyFont="1" applyFill="1" applyBorder="1" applyAlignment="1">
      <alignment horizontal="center"/>
    </xf>
    <xf numFmtId="0" fontId="125" fillId="13" borderId="10" xfId="0" applyFont="1" applyFill="1" applyBorder="1" applyAlignment="1">
      <alignment horizontal="center"/>
    </xf>
    <xf numFmtId="0" fontId="125" fillId="0" borderId="133" xfId="0" applyFont="1" applyBorder="1" applyAlignment="1">
      <alignment horizontal="center"/>
    </xf>
    <xf numFmtId="0" fontId="125" fillId="0" borderId="133" xfId="0" applyFont="1" applyBorder="1" applyAlignment="1">
      <alignment horizontal="center" vertical="center"/>
    </xf>
    <xf numFmtId="0" fontId="125" fillId="0" borderId="0" xfId="0" applyFont="1" applyBorder="1" applyAlignment="1">
      <alignment horizontal="center"/>
    </xf>
    <xf numFmtId="168" fontId="125" fillId="0" borderId="4" xfId="72" applyFont="1" applyFill="1" applyBorder="1" applyAlignment="1">
      <alignment vertical="center" wrapText="1"/>
    </xf>
    <xf numFmtId="10" fontId="125" fillId="0" borderId="4" xfId="0" applyNumberFormat="1" applyFont="1" applyBorder="1" applyAlignment="1"/>
    <xf numFmtId="0" fontId="122" fillId="0" borderId="0" xfId="17" applyFont="1" applyFill="1" applyBorder="1" applyAlignment="1"/>
    <xf numFmtId="0" fontId="122" fillId="0" borderId="0" xfId="0" applyFont="1" applyAlignment="1"/>
    <xf numFmtId="43" fontId="117" fillId="0" borderId="4" xfId="0" applyNumberFormat="1" applyFont="1" applyBorder="1" applyAlignment="1"/>
    <xf numFmtId="168" fontId="117" fillId="0" borderId="4" xfId="0" applyNumberFormat="1" applyFont="1" applyBorder="1" applyAlignment="1"/>
    <xf numFmtId="43" fontId="117" fillId="0" borderId="4" xfId="0" applyNumberFormat="1" applyFont="1" applyFill="1" applyBorder="1" applyAlignment="1"/>
    <xf numFmtId="43" fontId="117" fillId="0" borderId="0" xfId="0" applyNumberFormat="1" applyFont="1" applyAlignment="1"/>
    <xf numFmtId="0" fontId="122" fillId="9" borderId="4" xfId="17" applyFont="1" applyFill="1" applyBorder="1" applyAlignment="1">
      <alignment vertical="center" wrapText="1"/>
    </xf>
    <xf numFmtId="2" fontId="120" fillId="0" borderId="4" xfId="0" applyNumberFormat="1" applyFont="1" applyFill="1" applyBorder="1" applyAlignment="1">
      <alignment horizontal="center" wrapText="1"/>
    </xf>
    <xf numFmtId="178" fontId="120" fillId="0" borderId="4" xfId="0" applyNumberFormat="1" applyFont="1" applyFill="1" applyBorder="1" applyAlignment="1">
      <alignment horizontal="center" wrapText="1"/>
    </xf>
    <xf numFmtId="178" fontId="120" fillId="0" borderId="4" xfId="0" applyNumberFormat="1" applyFont="1" applyFill="1" applyBorder="1" applyAlignment="1">
      <alignment horizontal="right" wrapText="1"/>
    </xf>
    <xf numFmtId="178" fontId="125" fillId="0" borderId="4" xfId="0" applyNumberFormat="1" applyFont="1" applyFill="1" applyBorder="1" applyAlignment="1"/>
    <xf numFmtId="0" fontId="119" fillId="12" borderId="4" xfId="0" applyFont="1" applyFill="1" applyBorder="1" applyAlignment="1"/>
    <xf numFmtId="0" fontId="119" fillId="12" borderId="28" xfId="0" applyFont="1" applyFill="1" applyBorder="1" applyAlignment="1">
      <alignment horizontal="left" vertical="center" wrapText="1"/>
    </xf>
    <xf numFmtId="0" fontId="125" fillId="13" borderId="11" xfId="0" applyFont="1" applyFill="1" applyBorder="1" applyAlignment="1"/>
    <xf numFmtId="0" fontId="125" fillId="13" borderId="11" xfId="0" applyFont="1" applyFill="1" applyBorder="1" applyAlignment="1">
      <alignment wrapText="1"/>
    </xf>
    <xf numFmtId="0" fontId="125" fillId="13" borderId="15" xfId="0" applyFont="1" applyFill="1" applyBorder="1" applyAlignment="1"/>
    <xf numFmtId="0" fontId="125" fillId="13" borderId="19" xfId="0" applyFont="1" applyFill="1" applyBorder="1" applyAlignment="1"/>
    <xf numFmtId="0" fontId="125" fillId="13" borderId="27" xfId="0" applyFont="1" applyFill="1" applyBorder="1" applyAlignment="1"/>
    <xf numFmtId="0" fontId="125" fillId="13" borderId="134" xfId="0" applyFont="1" applyFill="1" applyBorder="1" applyAlignment="1"/>
    <xf numFmtId="0" fontId="125" fillId="13" borderId="20" xfId="0" applyFont="1" applyFill="1" applyBorder="1" applyAlignment="1"/>
    <xf numFmtId="2" fontId="119" fillId="12" borderId="4" xfId="0" applyNumberFormat="1" applyFont="1" applyFill="1" applyBorder="1" applyAlignment="1">
      <alignment horizontal="center"/>
    </xf>
    <xf numFmtId="0" fontId="124" fillId="5" borderId="0" xfId="17" applyFont="1" applyFill="1" applyBorder="1" applyAlignment="1"/>
    <xf numFmtId="0" fontId="119" fillId="0" borderId="0" xfId="0" applyFont="1" applyAlignment="1">
      <alignment horizontal="center"/>
    </xf>
    <xf numFmtId="0" fontId="125" fillId="0" borderId="137" xfId="0" applyFont="1" applyBorder="1"/>
    <xf numFmtId="0" fontId="125" fillId="0" borderId="140" xfId="0" applyFont="1" applyBorder="1"/>
    <xf numFmtId="0" fontId="125" fillId="0" borderId="137" xfId="0" applyFont="1" applyBorder="1" applyAlignment="1">
      <alignment horizontal="center"/>
    </xf>
    <xf numFmtId="0" fontId="125" fillId="0" borderId="140" xfId="0" applyFont="1" applyBorder="1" applyAlignment="1">
      <alignment wrapText="1"/>
    </xf>
    <xf numFmtId="10" fontId="125" fillId="0" borderId="0" xfId="58" applyNumberFormat="1" applyFont="1" applyAlignment="1"/>
    <xf numFmtId="168" fontId="125" fillId="0" borderId="140" xfId="72" applyFont="1" applyBorder="1"/>
    <xf numFmtId="0" fontId="121" fillId="0" borderId="0" xfId="17" applyFont="1" applyFill="1" applyBorder="1" applyAlignment="1">
      <alignment horizontal="left" vertical="center"/>
    </xf>
    <xf numFmtId="174" fontId="123" fillId="0" borderId="4" xfId="72" applyNumberFormat="1" applyFont="1" applyFill="1" applyBorder="1" applyAlignment="1">
      <alignment horizontal="center"/>
    </xf>
    <xf numFmtId="10" fontId="123" fillId="0" borderId="4" xfId="58" applyNumberFormat="1" applyFont="1" applyFill="1" applyBorder="1" applyAlignment="1">
      <alignment horizontal="center" wrapText="1"/>
    </xf>
    <xf numFmtId="174" fontId="123" fillId="0" borderId="4" xfId="72" applyNumberFormat="1" applyFont="1" applyFill="1" applyBorder="1" applyAlignment="1">
      <alignment horizontal="center" wrapText="1"/>
    </xf>
    <xf numFmtId="209" fontId="125" fillId="0" borderId="4" xfId="72" applyNumberFormat="1" applyFont="1" applyBorder="1" applyAlignment="1"/>
    <xf numFmtId="168" fontId="126" fillId="0" borderId="4" xfId="0" applyNumberFormat="1" applyFont="1" applyBorder="1" applyAlignment="1"/>
    <xf numFmtId="0" fontId="120" fillId="0" borderId="4" xfId="0" applyNumberFormat="1" applyFont="1" applyFill="1" applyBorder="1" applyAlignment="1">
      <alignment horizontal="center"/>
    </xf>
    <xf numFmtId="0" fontId="135" fillId="0" borderId="4" xfId="0" applyFont="1" applyFill="1" applyBorder="1" applyAlignment="1">
      <alignment horizontal="left" wrapText="1"/>
    </xf>
    <xf numFmtId="2" fontId="120" fillId="0" borderId="4" xfId="0" applyNumberFormat="1" applyFont="1" applyFill="1" applyBorder="1" applyAlignment="1">
      <alignment horizontal="center"/>
    </xf>
    <xf numFmtId="2" fontId="120" fillId="0" borderId="4" xfId="0" applyNumberFormat="1" applyFont="1" applyFill="1" applyBorder="1" applyAlignment="1"/>
    <xf numFmtId="0" fontId="120" fillId="0" borderId="0" xfId="0" applyNumberFormat="1" applyFont="1" applyFill="1" applyBorder="1" applyAlignment="1">
      <alignment horizontal="center"/>
    </xf>
    <xf numFmtId="0" fontId="120" fillId="0" borderId="0" xfId="0" applyFont="1" applyFill="1" applyBorder="1" applyAlignment="1">
      <alignment wrapText="1"/>
    </xf>
    <xf numFmtId="2" fontId="120" fillId="0" borderId="0" xfId="0" applyNumberFormat="1" applyFont="1" applyFill="1" applyBorder="1" applyAlignment="1">
      <alignment horizontal="center"/>
    </xf>
    <xf numFmtId="0" fontId="119" fillId="0" borderId="0" xfId="57" applyFont="1" applyAlignment="1">
      <alignment horizontal="center"/>
    </xf>
    <xf numFmtId="0" fontId="120" fillId="0" borderId="4" xfId="57" applyFont="1" applyBorder="1" applyAlignment="1"/>
    <xf numFmtId="0" fontId="124" fillId="0" borderId="0" xfId="17" applyFont="1" applyFill="1" applyBorder="1" applyAlignment="1">
      <alignment horizontal="left"/>
    </xf>
    <xf numFmtId="0" fontId="119" fillId="0" borderId="0" xfId="57" applyFont="1" applyFill="1" applyAlignment="1">
      <alignment horizontal="center"/>
    </xf>
    <xf numFmtId="10" fontId="120" fillId="0" borderId="4" xfId="58" applyNumberFormat="1" applyFont="1" applyFill="1" applyBorder="1" applyAlignment="1">
      <alignment horizontal="center"/>
    </xf>
    <xf numFmtId="168" fontId="120" fillId="0" borderId="4" xfId="72" applyFont="1" applyBorder="1" applyAlignment="1">
      <alignment vertical="center"/>
    </xf>
    <xf numFmtId="10" fontId="120" fillId="0" borderId="4" xfId="58" applyNumberFormat="1" applyFont="1" applyFill="1" applyBorder="1" applyAlignment="1">
      <alignment horizontal="center" vertical="center"/>
    </xf>
    <xf numFmtId="10" fontId="125" fillId="0" borderId="4" xfId="0" applyNumberFormat="1" applyFont="1" applyBorder="1" applyAlignment="1">
      <alignment vertical="center"/>
    </xf>
    <xf numFmtId="168" fontId="125" fillId="0" borderId="0" xfId="72" applyFont="1" applyAlignment="1"/>
    <xf numFmtId="43" fontId="125" fillId="0" borderId="0" xfId="0" applyNumberFormat="1" applyFont="1" applyAlignment="1"/>
    <xf numFmtId="0" fontId="136" fillId="0" borderId="4" xfId="0" applyFont="1" applyFill="1" applyBorder="1" applyAlignment="1">
      <alignment horizontal="left" wrapText="1"/>
    </xf>
    <xf numFmtId="168" fontId="119" fillId="0" borderId="4" xfId="72" applyFont="1" applyFill="1" applyBorder="1" applyAlignment="1">
      <alignment horizontal="center" vertical="center"/>
    </xf>
    <xf numFmtId="206" fontId="125" fillId="0" borderId="4" xfId="0" applyNumberFormat="1" applyFont="1" applyBorder="1"/>
    <xf numFmtId="43" fontId="126" fillId="0" borderId="4" xfId="0" applyNumberFormat="1" applyFont="1" applyBorder="1" applyAlignment="1"/>
    <xf numFmtId="209" fontId="125" fillId="0" borderId="4" xfId="72" applyNumberFormat="1" applyFont="1" applyBorder="1" applyAlignment="1">
      <alignment vertical="center"/>
    </xf>
    <xf numFmtId="174" fontId="125" fillId="0" borderId="4" xfId="72" applyNumberFormat="1" applyFont="1" applyBorder="1" applyAlignment="1">
      <alignment vertical="center"/>
    </xf>
    <xf numFmtId="0" fontId="119" fillId="0" borderId="0" xfId="0" applyFont="1" applyAlignment="1"/>
    <xf numFmtId="2" fontId="120" fillId="0" borderId="4" xfId="0" applyNumberFormat="1" applyFont="1" applyBorder="1" applyAlignment="1"/>
    <xf numFmtId="0" fontId="120" fillId="0" borderId="4" xfId="0" applyFont="1" applyBorder="1" applyAlignment="1">
      <alignment wrapText="1"/>
    </xf>
    <xf numFmtId="0" fontId="120" fillId="0" borderId="133" xfId="0" applyFont="1" applyFill="1" applyBorder="1" applyAlignment="1">
      <alignment horizontal="center"/>
    </xf>
    <xf numFmtId="206" fontId="120" fillId="0" borderId="4" xfId="0" applyNumberFormat="1" applyFont="1" applyBorder="1" applyAlignment="1">
      <alignment horizontal="left" indent="3"/>
    </xf>
    <xf numFmtId="0" fontId="120" fillId="12" borderId="28" xfId="0" applyFont="1" applyFill="1" applyBorder="1" applyAlignment="1">
      <alignment horizontal="center"/>
    </xf>
    <xf numFmtId="0" fontId="120" fillId="0" borderId="0" xfId="0" applyFont="1" applyFill="1" applyBorder="1" applyAlignment="1"/>
    <xf numFmtId="0" fontId="120" fillId="0" borderId="0" xfId="0" applyFont="1" applyFill="1" applyBorder="1" applyAlignment="1">
      <alignment horizontal="center"/>
    </xf>
    <xf numFmtId="2" fontId="120" fillId="12" borderId="4" xfId="0" applyNumberFormat="1" applyFont="1" applyFill="1" applyBorder="1" applyAlignment="1">
      <alignment horizontal="center"/>
    </xf>
    <xf numFmtId="168" fontId="120" fillId="12" borderId="4" xfId="72" applyFont="1" applyFill="1" applyBorder="1" applyAlignment="1">
      <alignment horizontal="center"/>
    </xf>
    <xf numFmtId="9" fontId="120" fillId="0" borderId="0" xfId="0" applyNumberFormat="1" applyFont="1" applyFill="1" applyBorder="1" applyAlignment="1">
      <alignment horizontal="center"/>
    </xf>
    <xf numFmtId="168" fontId="119" fillId="0" borderId="12" xfId="72" applyFont="1" applyFill="1" applyBorder="1" applyAlignment="1">
      <alignment horizontal="center" vertical="center"/>
    </xf>
    <xf numFmtId="168" fontId="120" fillId="0" borderId="4" xfId="72" applyFont="1" applyFill="1" applyBorder="1" applyAlignment="1">
      <alignment vertical="center"/>
    </xf>
    <xf numFmtId="0" fontId="13" fillId="0" borderId="10" xfId="17" applyFont="1" applyFill="1" applyBorder="1" applyAlignment="1"/>
    <xf numFmtId="17" fontId="120" fillId="0" borderId="4" xfId="0" applyNumberFormat="1" applyFont="1" applyFill="1" applyBorder="1" applyAlignment="1">
      <alignment horizontal="left" wrapText="1" indent="1"/>
    </xf>
    <xf numFmtId="2" fontId="119" fillId="0" borderId="4" xfId="0" applyNumberFormat="1" applyFont="1" applyFill="1" applyBorder="1" applyAlignment="1">
      <alignment horizontal="center"/>
    </xf>
    <xf numFmtId="0" fontId="119" fillId="12" borderId="4" xfId="56" applyFont="1" applyFill="1" applyBorder="1" applyAlignment="1"/>
    <xf numFmtId="0" fontId="119" fillId="12" borderId="28" xfId="56" applyFont="1" applyFill="1" applyBorder="1" applyAlignment="1">
      <alignment wrapText="1"/>
    </xf>
    <xf numFmtId="0" fontId="119" fillId="12" borderId="12" xfId="56" applyFont="1" applyFill="1" applyBorder="1" applyAlignment="1">
      <alignment wrapText="1"/>
    </xf>
    <xf numFmtId="0" fontId="120" fillId="0" borderId="0" xfId="56" applyFont="1" applyAlignment="1"/>
    <xf numFmtId="0" fontId="120" fillId="0" borderId="0" xfId="56" applyFont="1" applyAlignment="1">
      <alignment wrapText="1"/>
    </xf>
    <xf numFmtId="2" fontId="119" fillId="12" borderId="4" xfId="56" applyNumberFormat="1" applyFont="1" applyFill="1" applyBorder="1" applyAlignment="1">
      <alignment horizontal="center" wrapText="1"/>
    </xf>
    <xf numFmtId="168" fontId="119" fillId="12" borderId="4" xfId="72" applyFont="1" applyFill="1" applyBorder="1" applyAlignment="1">
      <alignment horizontal="center" wrapText="1"/>
    </xf>
    <xf numFmtId="2" fontId="119" fillId="0" borderId="4" xfId="0" applyNumberFormat="1" applyFont="1" applyFill="1" applyBorder="1" applyAlignment="1">
      <alignment horizontal="center" vertical="center"/>
    </xf>
    <xf numFmtId="168" fontId="120" fillId="0" borderId="4" xfId="72" applyFont="1" applyFill="1" applyBorder="1" applyAlignment="1">
      <alignment horizontal="center" wrapText="1"/>
    </xf>
    <xf numFmtId="168" fontId="120" fillId="0" borderId="4" xfId="72" applyFont="1" applyFill="1" applyBorder="1" applyAlignment="1">
      <alignment horizontal="center" vertical="center" wrapText="1"/>
    </xf>
    <xf numFmtId="168" fontId="119" fillId="12" borderId="4" xfId="72" applyFont="1" applyFill="1" applyBorder="1" applyAlignment="1">
      <alignment horizontal="center"/>
    </xf>
    <xf numFmtId="168" fontId="125" fillId="0" borderId="4" xfId="72" applyFont="1" applyFill="1" applyBorder="1" applyAlignment="1">
      <alignment vertical="center"/>
    </xf>
    <xf numFmtId="0" fontId="119" fillId="0" borderId="4" xfId="0" applyFont="1" applyFill="1" applyBorder="1" applyAlignment="1">
      <alignment wrapText="1"/>
    </xf>
    <xf numFmtId="174" fontId="120" fillId="0" borderId="4" xfId="0" applyNumberFormat="1" applyFont="1" applyFill="1" applyBorder="1" applyAlignment="1"/>
    <xf numFmtId="0" fontId="119" fillId="0" borderId="0" xfId="0" applyFont="1" applyFill="1" applyBorder="1" applyAlignment="1"/>
    <xf numFmtId="0" fontId="120" fillId="0" borderId="4" xfId="0" applyFont="1" applyFill="1" applyBorder="1" applyAlignment="1">
      <alignment horizontal="right"/>
    </xf>
    <xf numFmtId="0" fontId="119" fillId="12" borderId="4" xfId="0" applyFont="1" applyFill="1" applyBorder="1" applyAlignment="1">
      <alignment horizontal="center" wrapText="1"/>
    </xf>
    <xf numFmtId="0" fontId="120" fillId="12" borderId="4" xfId="0" applyFont="1" applyFill="1" applyBorder="1" applyAlignment="1">
      <alignment horizontal="center"/>
    </xf>
    <xf numFmtId="0" fontId="137" fillId="0" borderId="4" xfId="0" applyFont="1" applyFill="1" applyBorder="1" applyAlignment="1">
      <alignment horizontal="center"/>
    </xf>
    <xf numFmtId="0" fontId="119" fillId="12" borderId="28" xfId="0" applyFont="1" applyFill="1" applyBorder="1" applyAlignment="1">
      <alignment horizontal="center" wrapText="1"/>
    </xf>
    <xf numFmtId="0" fontId="120" fillId="0" borderId="0" xfId="0" applyFont="1" applyBorder="1" applyAlignment="1"/>
    <xf numFmtId="0" fontId="120" fillId="0" borderId="4" xfId="0" applyFont="1" applyBorder="1" applyAlignment="1">
      <alignment horizontal="center"/>
    </xf>
    <xf numFmtId="0" fontId="119" fillId="12" borderId="4" xfId="0" applyFont="1" applyFill="1" applyBorder="1" applyAlignment="1">
      <alignment horizontal="left" wrapText="1"/>
    </xf>
    <xf numFmtId="0" fontId="119" fillId="0" borderId="4" xfId="0" applyFont="1" applyBorder="1" applyAlignment="1">
      <alignment horizontal="left" wrapText="1"/>
    </xf>
    <xf numFmtId="0" fontId="119" fillId="0" borderId="0" xfId="0" applyFont="1" applyFill="1" applyBorder="1" applyAlignment="1">
      <alignment horizontal="center" wrapText="1"/>
    </xf>
    <xf numFmtId="2" fontId="119" fillId="0" borderId="0" xfId="0" applyNumberFormat="1" applyFont="1" applyFill="1" applyBorder="1" applyAlignment="1"/>
    <xf numFmtId="0" fontId="126" fillId="0" borderId="146" xfId="0" applyFont="1" applyBorder="1" applyAlignment="1">
      <alignment horizontal="center" wrapText="1"/>
    </xf>
    <xf numFmtId="0" fontId="126" fillId="0" borderId="31" xfId="0" applyFont="1" applyBorder="1" applyAlignment="1">
      <alignment horizontal="center" wrapText="1"/>
    </xf>
    <xf numFmtId="0" fontId="126" fillId="0" borderId="31" xfId="0" applyFont="1" applyBorder="1" applyAlignment="1">
      <alignment horizontal="center"/>
    </xf>
    <xf numFmtId="0" fontId="125" fillId="0" borderId="140" xfId="0" applyFont="1" applyBorder="1" applyAlignment="1">
      <alignment horizontal="center"/>
    </xf>
    <xf numFmtId="0" fontId="126" fillId="64" borderId="140" xfId="0" applyFont="1" applyFill="1" applyBorder="1" applyAlignment="1">
      <alignment horizontal="center"/>
    </xf>
    <xf numFmtId="0" fontId="169" fillId="64" borderId="140" xfId="0" applyFont="1" applyFill="1" applyBorder="1" applyAlignment="1">
      <alignment horizontal="center"/>
    </xf>
    <xf numFmtId="0" fontId="125" fillId="0" borderId="0" xfId="0" applyFont="1" applyAlignment="1">
      <alignment horizontal="right"/>
    </xf>
    <xf numFmtId="0" fontId="126" fillId="0" borderId="0" xfId="0" applyFont="1" applyFill="1"/>
    <xf numFmtId="0" fontId="125" fillId="0" borderId="0" xfId="0" applyFont="1" applyFill="1"/>
    <xf numFmtId="0" fontId="126" fillId="0" borderId="146" xfId="0" applyFont="1" applyBorder="1" applyAlignment="1">
      <alignment horizontal="center" vertical="top"/>
    </xf>
    <xf numFmtId="0" fontId="126" fillId="0" borderId="31" xfId="0" applyFont="1" applyBorder="1" applyAlignment="1">
      <alignment horizontal="center" vertical="top"/>
    </xf>
    <xf numFmtId="0" fontId="126" fillId="0" borderId="31" xfId="0" applyFont="1" applyBorder="1" applyAlignment="1">
      <alignment horizontal="center" vertical="top" wrapText="1"/>
    </xf>
    <xf numFmtId="0" fontId="126" fillId="0" borderId="137" xfId="0" applyFont="1" applyBorder="1" applyAlignment="1">
      <alignment horizontal="center"/>
    </xf>
    <xf numFmtId="0" fontId="126" fillId="0" borderId="140" xfId="0" applyFont="1" applyBorder="1" applyAlignment="1">
      <alignment horizontal="center"/>
    </xf>
    <xf numFmtId="168" fontId="120" fillId="0" borderId="133" xfId="72" applyFont="1" applyFill="1" applyBorder="1" applyAlignment="1"/>
    <xf numFmtId="0" fontId="119" fillId="0" borderId="167" xfId="17" applyFont="1" applyFill="1" applyBorder="1" applyAlignment="1"/>
    <xf numFmtId="0" fontId="119" fillId="0" borderId="167" xfId="17" applyFont="1" applyFill="1" applyBorder="1" applyAlignment="1">
      <alignment horizontal="center"/>
    </xf>
    <xf numFmtId="174" fontId="119" fillId="0" borderId="167" xfId="72" applyNumberFormat="1" applyFont="1" applyFill="1" applyBorder="1" applyAlignment="1">
      <alignment horizontal="center"/>
    </xf>
    <xf numFmtId="168" fontId="119" fillId="0" borderId="167" xfId="72" applyFont="1" applyFill="1" applyBorder="1" applyAlignment="1">
      <alignment horizontal="center"/>
    </xf>
    <xf numFmtId="0" fontId="119" fillId="8" borderId="4" xfId="17" applyFont="1" applyFill="1" applyBorder="1" applyAlignment="1">
      <alignment horizontal="center" vertical="center" wrapText="1"/>
    </xf>
    <xf numFmtId="0" fontId="125" fillId="0" borderId="0" xfId="0" applyFont="1" applyAlignment="1"/>
    <xf numFmtId="0" fontId="125" fillId="0" borderId="0" xfId="0" applyFont="1" applyAlignment="1"/>
    <xf numFmtId="168" fontId="0" fillId="0" borderId="0" xfId="72" applyFont="1"/>
    <xf numFmtId="0" fontId="0" fillId="0" borderId="4" xfId="0" applyFont="1" applyBorder="1" applyAlignment="1">
      <alignment horizontal="center" vertical="center" wrapText="1"/>
    </xf>
    <xf numFmtId="0" fontId="153" fillId="0" borderId="4" xfId="0" applyFont="1" applyBorder="1" applyAlignment="1">
      <alignment horizontal="center" vertical="center"/>
    </xf>
    <xf numFmtId="0" fontId="119" fillId="0" borderId="10" xfId="17" applyFont="1" applyFill="1" applyBorder="1" applyAlignment="1">
      <alignment horizontal="center" vertical="center"/>
    </xf>
    <xf numFmtId="0" fontId="123" fillId="9" borderId="4" xfId="0" applyFont="1" applyFill="1" applyBorder="1" applyAlignment="1">
      <alignment horizontal="center"/>
    </xf>
    <xf numFmtId="0" fontId="123" fillId="9" borderId="4" xfId="0" applyFont="1" applyFill="1" applyBorder="1" applyAlignment="1">
      <alignment horizontal="left" vertical="center" wrapText="1"/>
    </xf>
    <xf numFmtId="9" fontId="123" fillId="9" borderId="4" xfId="0" applyNumberFormat="1" applyFont="1" applyFill="1" applyBorder="1" applyAlignment="1">
      <alignment horizontal="center"/>
    </xf>
    <xf numFmtId="207" fontId="123" fillId="9" borderId="4" xfId="0" applyNumberFormat="1" applyFont="1" applyFill="1" applyBorder="1" applyAlignment="1">
      <alignment horizontal="center"/>
    </xf>
    <xf numFmtId="0" fontId="117" fillId="9" borderId="0" xfId="0" applyFont="1" applyFill="1" applyAlignment="1">
      <alignment horizontal="left" vertical="center" wrapText="1"/>
    </xf>
    <xf numFmtId="0" fontId="117" fillId="9" borderId="4" xfId="0" applyFont="1" applyFill="1" applyBorder="1" applyAlignment="1">
      <alignment horizontal="left" vertical="center" wrapText="1"/>
    </xf>
    <xf numFmtId="9" fontId="133" fillId="9" borderId="4" xfId="0" applyNumberFormat="1" applyFont="1" applyFill="1" applyBorder="1" applyAlignment="1">
      <alignment horizontal="center"/>
    </xf>
    <xf numFmtId="0" fontId="172"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71" fillId="0" borderId="0" xfId="0" applyFont="1" applyFill="1" applyBorder="1" applyAlignment="1">
      <alignment horizontal="center" vertical="center"/>
    </xf>
    <xf numFmtId="0" fontId="173" fillId="0" borderId="0" xfId="0" applyFont="1" applyFill="1" applyBorder="1" applyAlignment="1">
      <alignment horizontal="center" vertical="center"/>
    </xf>
    <xf numFmtId="0" fontId="0" fillId="0" borderId="0" xfId="0" applyFont="1" applyFill="1" applyBorder="1"/>
    <xf numFmtId="0" fontId="10" fillId="0" borderId="135" xfId="0" applyFont="1" applyBorder="1"/>
    <xf numFmtId="0" fontId="177" fillId="0" borderId="136" xfId="0" applyFont="1" applyFill="1" applyBorder="1"/>
    <xf numFmtId="0" fontId="0" fillId="0" borderId="136" xfId="0" applyFont="1" applyFill="1" applyBorder="1"/>
    <xf numFmtId="0" fontId="0" fillId="0" borderId="146" xfId="0" applyFont="1" applyFill="1" applyBorder="1"/>
    <xf numFmtId="0" fontId="0" fillId="0" borderId="2" xfId="0" applyFont="1" applyFill="1" applyBorder="1"/>
    <xf numFmtId="0" fontId="177" fillId="0" borderId="146" xfId="0" applyFont="1" applyFill="1" applyBorder="1"/>
    <xf numFmtId="0" fontId="177" fillId="0" borderId="2" xfId="0" applyFont="1" applyFill="1" applyBorder="1"/>
    <xf numFmtId="0" fontId="150" fillId="0" borderId="4" xfId="0" applyFont="1" applyBorder="1" applyAlignment="1">
      <alignment horizontal="center"/>
    </xf>
    <xf numFmtId="2" fontId="153" fillId="0" borderId="4" xfId="0" applyNumberFormat="1" applyFont="1" applyBorder="1"/>
    <xf numFmtId="0" fontId="148" fillId="0" borderId="4" xfId="0" applyFont="1" applyBorder="1"/>
    <xf numFmtId="0" fontId="153" fillId="0" borderId="4" xfId="0" applyFont="1" applyFill="1" applyBorder="1" applyAlignment="1">
      <alignment wrapText="1"/>
    </xf>
    <xf numFmtId="0" fontId="153" fillId="0" borderId="4" xfId="0" applyFont="1" applyFill="1" applyBorder="1" applyAlignment="1">
      <alignment horizontal="center" vertical="top" wrapText="1"/>
    </xf>
    <xf numFmtId="0" fontId="150" fillId="0" borderId="4" xfId="0" applyFont="1" applyFill="1" applyBorder="1" applyAlignment="1">
      <alignment vertical="top" wrapText="1"/>
    </xf>
    <xf numFmtId="2" fontId="0" fillId="0" borderId="4" xfId="0" applyNumberFormat="1" applyFont="1" applyFill="1" applyBorder="1" applyAlignment="1">
      <alignment horizontal="center" vertical="center"/>
    </xf>
    <xf numFmtId="0" fontId="153" fillId="0" borderId="133" xfId="0" applyFont="1" applyFill="1" applyBorder="1"/>
    <xf numFmtId="0" fontId="0" fillId="0" borderId="133" xfId="0" applyFont="1" applyFill="1" applyBorder="1" applyAlignment="1">
      <alignment horizontal="center" vertical="center"/>
    </xf>
    <xf numFmtId="2" fontId="0" fillId="0" borderId="133" xfId="0" applyNumberFormat="1" applyFont="1" applyFill="1" applyBorder="1" applyAlignment="1">
      <alignment horizontal="center" vertical="center"/>
    </xf>
    <xf numFmtId="0" fontId="153" fillId="0" borderId="4" xfId="0" applyFont="1" applyFill="1" applyBorder="1"/>
    <xf numFmtId="0" fontId="153" fillId="0" borderId="4" xfId="0" applyFont="1" applyFill="1" applyBorder="1" applyAlignment="1">
      <alignment horizontal="center" vertical="top"/>
    </xf>
    <xf numFmtId="43" fontId="125" fillId="0" borderId="0" xfId="0" applyNumberFormat="1" applyFont="1" applyFill="1" applyAlignment="1"/>
    <xf numFmtId="9" fontId="125" fillId="0" borderId="0" xfId="58" applyFont="1" applyFill="1" applyAlignment="1"/>
    <xf numFmtId="2" fontId="125" fillId="0" borderId="0" xfId="0" applyNumberFormat="1" applyFont="1" applyFill="1" applyAlignment="1"/>
    <xf numFmtId="0" fontId="119" fillId="12" borderId="11" xfId="0" applyFont="1" applyFill="1" applyBorder="1" applyAlignment="1">
      <alignment horizontal="center" vertical="center" wrapText="1"/>
    </xf>
    <xf numFmtId="0" fontId="120" fillId="0" borderId="133" xfId="0" applyFont="1" applyBorder="1" applyAlignment="1">
      <alignment horizontal="center" vertical="center" wrapText="1"/>
    </xf>
    <xf numFmtId="0" fontId="119" fillId="9" borderId="10" xfId="17" applyFont="1" applyFill="1" applyBorder="1" applyAlignment="1">
      <alignment horizontal="center" vertical="center" wrapText="1"/>
    </xf>
    <xf numFmtId="0" fontId="126" fillId="0" borderId="4" xfId="0" applyFont="1" applyBorder="1" applyAlignment="1">
      <alignment horizontal="center"/>
    </xf>
    <xf numFmtId="0" fontId="0" fillId="0" borderId="4" xfId="0" applyFont="1" applyFill="1" applyBorder="1" applyAlignment="1">
      <alignment horizontal="center" vertical="center"/>
    </xf>
    <xf numFmtId="0" fontId="122" fillId="9" borderId="4" xfId="17" applyFont="1" applyFill="1" applyBorder="1" applyAlignment="1">
      <alignment horizontal="center" vertical="center" wrapText="1"/>
    </xf>
    <xf numFmtId="0" fontId="122" fillId="0" borderId="0" xfId="17" applyFont="1" applyFill="1" applyBorder="1" applyAlignment="1">
      <alignment horizontal="center"/>
    </xf>
    <xf numFmtId="0" fontId="114" fillId="0" borderId="4" xfId="0" applyFont="1" applyBorder="1" applyAlignment="1">
      <alignment horizontal="center" vertical="center" wrapText="1"/>
    </xf>
    <xf numFmtId="0" fontId="122" fillId="0" borderId="4" xfId="0" applyFont="1" applyFill="1" applyBorder="1" applyAlignment="1">
      <alignment horizontal="center" wrapText="1"/>
    </xf>
    <xf numFmtId="0" fontId="117" fillId="13" borderId="10" xfId="0" applyFont="1" applyFill="1" applyBorder="1" applyAlignment="1"/>
    <xf numFmtId="0" fontId="122" fillId="5" borderId="0" xfId="17" applyFont="1" applyFill="1" applyBorder="1" applyAlignment="1">
      <alignment horizontal="right"/>
    </xf>
    <xf numFmtId="0" fontId="122" fillId="5" borderId="0" xfId="17" applyFont="1" applyFill="1" applyBorder="1" applyAlignment="1">
      <alignment horizontal="left" vertical="center" wrapText="1"/>
    </xf>
    <xf numFmtId="0" fontId="122" fillId="0" borderId="4" xfId="0" applyFont="1" applyFill="1" applyBorder="1" applyAlignment="1">
      <alignment horizontal="center" vertical="center" wrapText="1"/>
    </xf>
    <xf numFmtId="0" fontId="148" fillId="0" borderId="4" xfId="0" applyFont="1" applyBorder="1" applyAlignment="1">
      <alignment horizontal="center" vertical="center" wrapText="1"/>
    </xf>
    <xf numFmtId="0" fontId="117" fillId="0" borderId="0" xfId="0" applyFont="1" applyAlignment="1"/>
    <xf numFmtId="0" fontId="121" fillId="5" borderId="0" xfId="17" applyFont="1" applyFill="1" applyBorder="1" applyAlignment="1">
      <alignment horizontal="left"/>
    </xf>
    <xf numFmtId="0" fontId="120" fillId="0" borderId="19" xfId="564" applyFont="1" applyFill="1" applyBorder="1" applyAlignment="1">
      <alignment horizontal="center"/>
    </xf>
    <xf numFmtId="0" fontId="119" fillId="5" borderId="0" xfId="17" applyFont="1" applyFill="1" applyBorder="1" applyAlignment="1">
      <alignment horizontal="center"/>
    </xf>
    <xf numFmtId="0" fontId="117" fillId="13" borderId="10" xfId="0" applyFont="1" applyFill="1" applyBorder="1" applyAlignment="1">
      <alignment wrapText="1"/>
    </xf>
    <xf numFmtId="0" fontId="125" fillId="0" borderId="0" xfId="0" applyFont="1" applyBorder="1" applyAlignment="1">
      <alignment vertical="center"/>
    </xf>
    <xf numFmtId="0" fontId="117" fillId="0" borderId="4" xfId="0" applyFont="1" applyBorder="1" applyAlignment="1">
      <alignment horizontal="center"/>
    </xf>
    <xf numFmtId="0" fontId="114" fillId="0" borderId="4" xfId="0" applyFont="1" applyBorder="1" applyAlignment="1">
      <alignment horizontal="center" wrapText="1"/>
    </xf>
    <xf numFmtId="0" fontId="114" fillId="0" borderId="4" xfId="0" applyFont="1" applyBorder="1" applyAlignment="1">
      <alignment horizontal="center" vertical="center"/>
    </xf>
    <xf numFmtId="0" fontId="125" fillId="0" borderId="0" xfId="0" applyFont="1" applyAlignment="1"/>
    <xf numFmtId="0" fontId="126" fillId="0" borderId="4" xfId="0" applyFont="1" applyFill="1" applyBorder="1" applyAlignment="1">
      <alignment horizontal="center" vertical="center" wrapText="1"/>
    </xf>
    <xf numFmtId="0" fontId="122" fillId="0" borderId="4" xfId="17" applyFont="1" applyFill="1" applyBorder="1" applyAlignment="1">
      <alignment horizontal="center" vertical="center"/>
    </xf>
    <xf numFmtId="0" fontId="117" fillId="13" borderId="134" xfId="0" applyFont="1" applyFill="1" applyBorder="1" applyAlignment="1"/>
    <xf numFmtId="0" fontId="155" fillId="0" borderId="0" xfId="0" applyFont="1" applyAlignment="1">
      <alignment horizontal="left" vertical="top"/>
    </xf>
    <xf numFmtId="0" fontId="122" fillId="5" borderId="0" xfId="0" applyFont="1" applyFill="1" applyBorder="1" applyAlignment="1">
      <alignment horizontal="center"/>
    </xf>
    <xf numFmtId="0" fontId="122" fillId="0" borderId="4" xfId="17" applyFont="1" applyFill="1" applyBorder="1" applyAlignment="1">
      <alignment horizontal="center" vertical="center" wrapText="1"/>
    </xf>
    <xf numFmtId="0" fontId="123" fillId="0" borderId="4" xfId="0" applyFont="1" applyBorder="1" applyAlignment="1">
      <alignment horizontal="left" wrapText="1"/>
    </xf>
    <xf numFmtId="43" fontId="117" fillId="0" borderId="4" xfId="0" applyNumberFormat="1" applyFont="1" applyBorder="1" applyAlignment="1">
      <alignment vertical="center"/>
    </xf>
    <xf numFmtId="0" fontId="122" fillId="0" borderId="4" xfId="0" applyFont="1" applyFill="1" applyBorder="1" applyAlignment="1">
      <alignment horizontal="left" wrapText="1"/>
    </xf>
    <xf numFmtId="43" fontId="114" fillId="0" borderId="4" xfId="0" applyNumberFormat="1" applyFont="1" applyBorder="1" applyAlignment="1"/>
    <xf numFmtId="0" fontId="122" fillId="0" borderId="4" xfId="0" applyFont="1" applyBorder="1" applyAlignment="1">
      <alignment horizontal="center" vertical="center"/>
    </xf>
    <xf numFmtId="0" fontId="114" fillId="0" borderId="4" xfId="0" applyFont="1" applyBorder="1" applyAlignment="1"/>
    <xf numFmtId="168" fontId="114" fillId="0" borderId="4" xfId="72" applyFont="1" applyBorder="1" applyAlignment="1"/>
    <xf numFmtId="43" fontId="123" fillId="0" borderId="4" xfId="0" applyNumberFormat="1" applyFont="1" applyBorder="1" applyAlignment="1">
      <alignment horizontal="justify" vertical="center" wrapText="1"/>
    </xf>
    <xf numFmtId="0" fontId="123" fillId="0" borderId="10" xfId="0" applyFont="1" applyBorder="1" applyAlignment="1">
      <alignment horizontal="justify" vertical="center" wrapText="1"/>
    </xf>
    <xf numFmtId="0" fontId="123" fillId="0" borderId="4" xfId="0" applyFont="1" applyBorder="1" applyAlignment="1">
      <alignment horizontal="right" vertical="center" wrapText="1"/>
    </xf>
    <xf numFmtId="168" fontId="123" fillId="0" borderId="4" xfId="72" applyFont="1" applyBorder="1" applyAlignment="1">
      <alignment horizontal="right" vertical="center" wrapText="1"/>
    </xf>
    <xf numFmtId="0" fontId="123" fillId="0" borderId="4" xfId="0" applyFont="1" applyBorder="1" applyAlignment="1">
      <alignment horizontal="center" wrapText="1"/>
    </xf>
    <xf numFmtId="0" fontId="153" fillId="0" borderId="4" xfId="0" applyFont="1" applyBorder="1" applyAlignment="1">
      <alignment horizontal="center" vertical="center" wrapText="1"/>
    </xf>
    <xf numFmtId="168" fontId="117" fillId="0" borderId="4" xfId="72" applyFont="1" applyBorder="1" applyAlignment="1">
      <alignment vertical="center"/>
    </xf>
    <xf numFmtId="168" fontId="117" fillId="0" borderId="4" xfId="72" applyFont="1" applyBorder="1" applyAlignment="1">
      <alignment vertical="center" wrapText="1"/>
    </xf>
    <xf numFmtId="10" fontId="133" fillId="9" borderId="4" xfId="58" applyNumberFormat="1" applyFont="1" applyFill="1" applyBorder="1" applyAlignment="1">
      <alignment horizontal="center" vertical="center"/>
    </xf>
    <xf numFmtId="10" fontId="133" fillId="9" borderId="4" xfId="0" applyNumberFormat="1" applyFont="1" applyFill="1" applyBorder="1" applyAlignment="1">
      <alignment horizontal="center" vertical="center"/>
    </xf>
    <xf numFmtId="178" fontId="123" fillId="0" borderId="4" xfId="564" applyNumberFormat="1" applyFont="1" applyFill="1" applyBorder="1" applyAlignment="1">
      <alignment horizontal="center" vertical="center" wrapText="1"/>
    </xf>
    <xf numFmtId="168" fontId="123" fillId="0" borderId="4" xfId="72" applyFont="1" applyFill="1" applyBorder="1" applyAlignment="1">
      <alignment horizontal="center" vertical="center" wrapText="1"/>
    </xf>
    <xf numFmtId="168" fontId="123" fillId="9" borderId="4" xfId="72" applyFont="1" applyFill="1" applyBorder="1" applyAlignment="1">
      <alignment horizontal="center" wrapText="1"/>
    </xf>
    <xf numFmtId="168" fontId="123" fillId="9" borderId="4" xfId="72" applyFont="1" applyFill="1" applyBorder="1" applyAlignment="1">
      <alignment horizontal="center" vertical="center" wrapText="1"/>
    </xf>
    <xf numFmtId="168" fontId="123" fillId="9" borderId="4" xfId="72" applyFont="1" applyFill="1" applyBorder="1" applyAlignment="1">
      <alignment horizontal="justify" vertical="center"/>
    </xf>
    <xf numFmtId="0" fontId="125" fillId="0" borderId="4" xfId="0" applyFont="1" applyFill="1" applyBorder="1" applyAlignment="1">
      <alignment vertical="center" wrapText="1"/>
    </xf>
    <xf numFmtId="43" fontId="125" fillId="0" borderId="4" xfId="0" applyNumberFormat="1" applyFont="1" applyFill="1" applyBorder="1" applyAlignment="1">
      <alignment vertical="center" wrapText="1"/>
    </xf>
    <xf numFmtId="43" fontId="125" fillId="0" borderId="4" xfId="0" applyNumberFormat="1" applyFont="1" applyFill="1" applyBorder="1" applyAlignment="1"/>
    <xf numFmtId="10" fontId="125" fillId="0" borderId="4" xfId="0" applyNumberFormat="1" applyFont="1" applyFill="1" applyBorder="1" applyAlignment="1">
      <alignment vertical="center" wrapText="1"/>
    </xf>
    <xf numFmtId="43" fontId="125" fillId="0" borderId="133" xfId="0" applyNumberFormat="1" applyFont="1" applyFill="1" applyBorder="1" applyAlignment="1">
      <alignment vertical="center" wrapText="1"/>
    </xf>
    <xf numFmtId="168" fontId="125" fillId="0" borderId="133" xfId="72" applyFont="1" applyFill="1" applyBorder="1" applyAlignment="1"/>
    <xf numFmtId="0" fontId="125" fillId="0" borderId="133" xfId="0" applyFont="1" applyFill="1" applyBorder="1" applyAlignment="1"/>
    <xf numFmtId="168" fontId="125" fillId="0" borderId="133" xfId="0" applyNumberFormat="1" applyFont="1" applyFill="1" applyBorder="1" applyAlignment="1"/>
    <xf numFmtId="10" fontId="117" fillId="0" borderId="4" xfId="0" applyNumberFormat="1" applyFont="1" applyFill="1" applyBorder="1" applyAlignment="1"/>
    <xf numFmtId="10" fontId="117" fillId="0" borderId="4" xfId="58" applyNumberFormat="1" applyFont="1" applyFill="1" applyBorder="1" applyAlignment="1"/>
    <xf numFmtId="178" fontId="122" fillId="12" borderId="4" xfId="564" applyNumberFormat="1" applyFont="1" applyFill="1" applyBorder="1" applyAlignment="1">
      <alignment horizontal="center" wrapText="1"/>
    </xf>
    <xf numFmtId="9" fontId="0" fillId="0" borderId="0" xfId="58" applyFont="1"/>
    <xf numFmtId="0" fontId="114" fillId="0" borderId="150" xfId="0" applyFont="1" applyBorder="1"/>
    <xf numFmtId="0" fontId="114" fillId="0" borderId="0" xfId="0" applyFont="1" applyBorder="1"/>
    <xf numFmtId="0" fontId="114" fillId="0" borderId="0" xfId="0" applyFont="1"/>
    <xf numFmtId="0" fontId="114" fillId="0" borderId="4" xfId="0" applyFont="1" applyBorder="1" applyAlignment="1">
      <alignment wrapText="1"/>
    </xf>
    <xf numFmtId="0" fontId="114" fillId="0" borderId="133" xfId="0" applyFont="1" applyBorder="1"/>
    <xf numFmtId="207" fontId="117" fillId="0" borderId="0" xfId="58" applyNumberFormat="1" applyFont="1"/>
    <xf numFmtId="0" fontId="125" fillId="0" borderId="4" xfId="0" applyFont="1" applyFill="1" applyBorder="1" applyAlignment="1">
      <alignment vertical="center"/>
    </xf>
    <xf numFmtId="174" fontId="125" fillId="0" borderId="4" xfId="0" applyNumberFormat="1" applyFont="1" applyFill="1" applyBorder="1" applyAlignment="1">
      <alignment vertical="center"/>
    </xf>
    <xf numFmtId="174" fontId="125" fillId="0" borderId="4" xfId="72" applyNumberFormat="1" applyFont="1" applyFill="1" applyBorder="1" applyAlignment="1">
      <alignment vertical="center"/>
    </xf>
    <xf numFmtId="209" fontId="125" fillId="0" borderId="4" xfId="72" applyNumberFormat="1" applyFont="1" applyFill="1" applyBorder="1" applyAlignment="1">
      <alignment vertical="center"/>
    </xf>
    <xf numFmtId="174" fontId="125" fillId="0" borderId="4" xfId="0" applyNumberFormat="1" applyFont="1" applyFill="1" applyBorder="1" applyAlignment="1">
      <alignment horizontal="center" vertical="center"/>
    </xf>
    <xf numFmtId="0" fontId="123" fillId="0" borderId="19" xfId="0" applyFont="1" applyFill="1" applyBorder="1" applyAlignment="1">
      <alignment horizontal="center"/>
    </xf>
    <xf numFmtId="0" fontId="122" fillId="0" borderId="4" xfId="17" applyFont="1" applyFill="1" applyBorder="1" applyAlignment="1">
      <alignment horizontal="center"/>
    </xf>
    <xf numFmtId="174" fontId="123" fillId="0" borderId="4" xfId="72" applyNumberFormat="1" applyFont="1" applyFill="1" applyBorder="1" applyAlignment="1">
      <alignment vertical="center"/>
    </xf>
    <xf numFmtId="168" fontId="123" fillId="0" borderId="4" xfId="72" applyFont="1" applyFill="1" applyBorder="1" applyAlignment="1">
      <alignment horizontal="center"/>
    </xf>
    <xf numFmtId="0" fontId="123" fillId="0" borderId="0" xfId="0" applyFont="1" applyFill="1" applyAlignment="1">
      <alignment wrapText="1"/>
    </xf>
    <xf numFmtId="0" fontId="122" fillId="0" borderId="0" xfId="0" applyFont="1" applyFill="1" applyAlignment="1">
      <alignment horizontal="center"/>
    </xf>
    <xf numFmtId="0" fontId="123" fillId="0" borderId="11" xfId="0" applyFont="1" applyFill="1" applyBorder="1" applyAlignment="1"/>
    <xf numFmtId="0" fontId="123" fillId="0" borderId="15" xfId="0" applyFont="1" applyFill="1" applyBorder="1" applyAlignment="1"/>
    <xf numFmtId="0" fontId="123" fillId="0" borderId="19" xfId="0" applyFont="1" applyFill="1" applyBorder="1" applyAlignment="1"/>
    <xf numFmtId="0" fontId="123" fillId="0" borderId="27" xfId="0" applyFont="1" applyFill="1" applyBorder="1" applyAlignment="1"/>
    <xf numFmtId="0" fontId="123" fillId="0" borderId="20" xfId="0" applyFont="1" applyFill="1" applyBorder="1" applyAlignment="1"/>
    <xf numFmtId="0" fontId="123" fillId="0" borderId="10" xfId="0" applyFont="1" applyFill="1" applyBorder="1" applyAlignment="1"/>
    <xf numFmtId="168" fontId="120" fillId="0" borderId="4" xfId="72" applyFont="1" applyFill="1" applyBorder="1" applyAlignment="1">
      <alignment vertical="center" wrapText="1"/>
    </xf>
    <xf numFmtId="0" fontId="126" fillId="0" borderId="0" xfId="0" applyFont="1" applyAlignment="1"/>
    <xf numFmtId="0" fontId="122" fillId="0" borderId="0" xfId="17" applyFont="1" applyBorder="1" applyAlignment="1">
      <alignment horizontal="center"/>
    </xf>
    <xf numFmtId="0" fontId="123" fillId="0" borderId="19" xfId="17" applyFont="1" applyBorder="1" applyAlignment="1"/>
    <xf numFmtId="0" fontId="123" fillId="0" borderId="19" xfId="17" applyFont="1" applyBorder="1" applyAlignment="1">
      <alignment horizontal="right"/>
    </xf>
    <xf numFmtId="0" fontId="122" fillId="0" borderId="4" xfId="17" applyFont="1" applyBorder="1" applyAlignment="1">
      <alignment wrapText="1"/>
    </xf>
    <xf numFmtId="0" fontId="122" fillId="0" borderId="4" xfId="17" applyFont="1" applyBorder="1" applyAlignment="1">
      <alignment horizontal="center"/>
    </xf>
    <xf numFmtId="0" fontId="123" fillId="0" borderId="4" xfId="17" applyFont="1" applyBorder="1" applyAlignment="1">
      <alignment wrapText="1"/>
    </xf>
    <xf numFmtId="0" fontId="123" fillId="9" borderId="4" xfId="17" applyFont="1" applyFill="1" applyBorder="1" applyAlignment="1">
      <alignment wrapText="1"/>
    </xf>
    <xf numFmtId="0" fontId="122" fillId="0" borderId="4" xfId="17" applyFont="1" applyFill="1" applyBorder="1" applyAlignment="1">
      <alignment horizontal="right"/>
    </xf>
    <xf numFmtId="0" fontId="122" fillId="12" borderId="4" xfId="17" applyFont="1" applyFill="1" applyBorder="1" applyAlignment="1"/>
    <xf numFmtId="2" fontId="122" fillId="12" borderId="4" xfId="17" applyNumberFormat="1" applyFont="1" applyFill="1" applyBorder="1" applyAlignment="1"/>
    <xf numFmtId="2" fontId="134" fillId="12" borderId="4" xfId="17" applyNumberFormat="1" applyFont="1" applyFill="1" applyBorder="1" applyAlignment="1"/>
    <xf numFmtId="0" fontId="9" fillId="0" borderId="4" xfId="0" applyFont="1" applyBorder="1" applyAlignment="1">
      <alignment horizontal="center" vertical="center" wrapText="1"/>
    </xf>
    <xf numFmtId="0" fontId="9" fillId="0" borderId="4" xfId="0" applyFont="1" applyBorder="1" applyAlignment="1">
      <alignment vertical="center" wrapText="1"/>
    </xf>
    <xf numFmtId="10" fontId="120" fillId="0" borderId="4" xfId="58" applyNumberFormat="1" applyFont="1" applyFill="1" applyBorder="1" applyAlignment="1"/>
    <xf numFmtId="0" fontId="0" fillId="0" borderId="0" xfId="0" applyAlignment="1">
      <alignment horizontal="center" wrapText="1"/>
    </xf>
    <xf numFmtId="0" fontId="153" fillId="0" borderId="0" xfId="0" applyFont="1" applyAlignment="1">
      <alignment wrapText="1"/>
    </xf>
    <xf numFmtId="0" fontId="153" fillId="0" borderId="0" xfId="0" applyFont="1" applyAlignment="1">
      <alignment horizontal="center" wrapText="1"/>
    </xf>
    <xf numFmtId="0" fontId="153" fillId="0" borderId="4" xfId="0" applyFont="1" applyBorder="1" applyAlignment="1">
      <alignment horizontal="left" vertical="center" wrapText="1"/>
    </xf>
    <xf numFmtId="0" fontId="0" fillId="0" borderId="0" xfId="0" applyFont="1" applyAlignment="1">
      <alignment wrapText="1"/>
    </xf>
    <xf numFmtId="2" fontId="155" fillId="0" borderId="4" xfId="0" applyNumberFormat="1" applyFont="1" applyBorder="1" applyAlignment="1">
      <alignment horizontal="center"/>
    </xf>
    <xf numFmtId="2" fontId="155" fillId="0" borderId="4" xfId="0" applyNumberFormat="1" applyFont="1" applyBorder="1" applyAlignment="1">
      <alignment horizontal="center" vertical="center"/>
    </xf>
    <xf numFmtId="0" fontId="151" fillId="9" borderId="0" xfId="0" applyFont="1" applyFill="1" applyBorder="1" applyAlignment="1">
      <alignment horizontal="left" vertical="top"/>
    </xf>
    <xf numFmtId="0" fontId="151" fillId="9" borderId="0" xfId="0" applyFont="1" applyFill="1" applyBorder="1"/>
    <xf numFmtId="0" fontId="152" fillId="0" borderId="11" xfId="0" applyFont="1" applyBorder="1"/>
    <xf numFmtId="0" fontId="151" fillId="9" borderId="11" xfId="0" applyFont="1" applyFill="1" applyBorder="1"/>
    <xf numFmtId="0" fontId="152" fillId="0" borderId="4" xfId="0" applyFont="1" applyBorder="1" applyAlignment="1">
      <alignment horizontal="center"/>
    </xf>
    <xf numFmtId="0" fontId="152" fillId="9" borderId="4" xfId="0" applyFont="1" applyFill="1" applyBorder="1" applyAlignment="1"/>
    <xf numFmtId="0" fontId="152" fillId="9" borderId="4" xfId="0" applyFont="1" applyFill="1" applyBorder="1" applyAlignment="1">
      <alignment horizontal="left"/>
    </xf>
    <xf numFmtId="0" fontId="152" fillId="0" borderId="0" xfId="0" applyFont="1" applyBorder="1" applyAlignment="1">
      <alignment horizontal="center"/>
    </xf>
    <xf numFmtId="0" fontId="152" fillId="9" borderId="0" xfId="0" applyFont="1" applyFill="1" applyBorder="1"/>
    <xf numFmtId="0" fontId="152" fillId="9" borderId="0" xfId="0" applyFont="1" applyFill="1" applyBorder="1" applyAlignment="1"/>
    <xf numFmtId="0" fontId="0" fillId="0" borderId="0" xfId="0" applyBorder="1"/>
    <xf numFmtId="0" fontId="155" fillId="0" borderId="0" xfId="0" applyFont="1" applyBorder="1"/>
    <xf numFmtId="0" fontId="153" fillId="0" borderId="4" xfId="503" applyFont="1" applyBorder="1" applyAlignment="1">
      <alignment horizontal="left" vertical="center" wrapText="1"/>
    </xf>
    <xf numFmtId="0" fontId="150" fillId="0" borderId="4" xfId="503" applyFont="1" applyBorder="1" applyAlignment="1">
      <alignment horizontal="center" vertical="center"/>
    </xf>
    <xf numFmtId="0" fontId="150" fillId="0" borderId="4" xfId="503" applyFont="1" applyBorder="1" applyAlignment="1">
      <alignment vertical="center"/>
    </xf>
    <xf numFmtId="0" fontId="153" fillId="0" borderId="4" xfId="503" applyFont="1" applyBorder="1" applyAlignment="1">
      <alignment horizontal="center" vertical="center"/>
    </xf>
    <xf numFmtId="0" fontId="153" fillId="0" borderId="4" xfId="503" applyFont="1" applyBorder="1" applyAlignment="1">
      <alignment vertical="center" wrapText="1"/>
    </xf>
    <xf numFmtId="9" fontId="153" fillId="0" borderId="4" xfId="58" applyFont="1" applyBorder="1" applyAlignment="1">
      <alignment horizontal="center" vertical="center"/>
    </xf>
    <xf numFmtId="0" fontId="153" fillId="0" borderId="0" xfId="503" applyFont="1" applyBorder="1" applyAlignment="1">
      <alignment horizontal="left" vertical="top"/>
    </xf>
    <xf numFmtId="0" fontId="156" fillId="0" borderId="0" xfId="0" applyFont="1" applyAlignment="1">
      <alignment horizontal="right"/>
    </xf>
    <xf numFmtId="0" fontId="156" fillId="0" borderId="0" xfId="0" applyFont="1" applyAlignment="1"/>
    <xf numFmtId="0" fontId="153" fillId="0" borderId="0" xfId="503" applyFont="1" applyBorder="1" applyAlignment="1">
      <alignment vertical="top"/>
    </xf>
    <xf numFmtId="46" fontId="117" fillId="0" borderId="4" xfId="0" applyNumberFormat="1" applyFont="1" applyBorder="1" applyAlignment="1">
      <alignment horizontal="center" vertical="center"/>
    </xf>
    <xf numFmtId="0" fontId="125" fillId="0" borderId="0" xfId="0" applyFont="1" applyAlignment="1">
      <alignment horizontal="left" vertical="center"/>
    </xf>
    <xf numFmtId="0" fontId="126" fillId="0" borderId="0" xfId="0" applyFont="1" applyAlignment="1">
      <alignment horizontal="center" vertical="center"/>
    </xf>
    <xf numFmtId="0" fontId="126" fillId="0" borderId="0" xfId="0" applyFont="1" applyBorder="1" applyAlignment="1">
      <alignment horizontal="center" vertical="center"/>
    </xf>
    <xf numFmtId="0" fontId="126" fillId="0" borderId="0" xfId="0" applyFont="1" applyFill="1" applyAlignment="1">
      <alignment vertical="center"/>
    </xf>
    <xf numFmtId="0" fontId="126" fillId="0" borderId="4" xfId="0" applyFont="1" applyFill="1" applyBorder="1" applyAlignment="1">
      <alignment horizontal="left" vertical="center" wrapText="1"/>
    </xf>
    <xf numFmtId="0" fontId="126" fillId="0" borderId="4" xfId="0" applyFont="1" applyFill="1" applyBorder="1" applyAlignment="1">
      <alignment vertical="center" wrapText="1"/>
    </xf>
    <xf numFmtId="0" fontId="126" fillId="0" borderId="0" xfId="0" applyFont="1" applyBorder="1" applyAlignment="1">
      <alignment vertical="center" wrapText="1"/>
    </xf>
    <xf numFmtId="0" fontId="120" fillId="0" borderId="0" xfId="0" applyFont="1" applyFill="1" applyAlignment="1">
      <alignment vertical="center"/>
    </xf>
    <xf numFmtId="0" fontId="119" fillId="0" borderId="0" xfId="0" applyFont="1" applyFill="1" applyAlignment="1">
      <alignment vertical="center"/>
    </xf>
    <xf numFmtId="0" fontId="126" fillId="0" borderId="19" xfId="0" applyFont="1" applyBorder="1" applyAlignment="1">
      <alignment vertical="center"/>
    </xf>
    <xf numFmtId="168" fontId="120" fillId="12" borderId="28" xfId="72" applyFont="1" applyFill="1" applyBorder="1" applyAlignment="1">
      <alignment vertical="center"/>
    </xf>
    <xf numFmtId="168" fontId="119" fillId="12" borderId="28" xfId="72" applyFont="1" applyFill="1" applyBorder="1" applyAlignment="1"/>
    <xf numFmtId="168" fontId="0" fillId="0" borderId="4" xfId="72" applyFont="1" applyBorder="1" applyAlignment="1"/>
    <xf numFmtId="9" fontId="0" fillId="0" borderId="4" xfId="58" applyFont="1" applyBorder="1" applyAlignment="1"/>
    <xf numFmtId="168" fontId="0" fillId="0" borderId="4" xfId="72" applyFont="1" applyBorder="1" applyAlignment="1">
      <alignment vertical="center"/>
    </xf>
    <xf numFmtId="9" fontId="0" fillId="0" borderId="4" xfId="58" applyFont="1" applyBorder="1" applyAlignment="1">
      <alignment vertical="center"/>
    </xf>
    <xf numFmtId="43" fontId="0" fillId="0" borderId="4" xfId="0" applyNumberFormat="1" applyFont="1" applyBorder="1" applyAlignment="1"/>
    <xf numFmtId="168" fontId="0" fillId="0" borderId="4" xfId="72" applyFont="1" applyBorder="1" applyAlignment="1">
      <alignment horizontal="center"/>
    </xf>
    <xf numFmtId="168" fontId="0" fillId="0" borderId="4" xfId="72" applyFont="1" applyBorder="1" applyAlignment="1">
      <alignment horizontal="center" vertical="center"/>
    </xf>
    <xf numFmtId="0" fontId="155" fillId="0" borderId="0" xfId="503" applyFont="1" applyBorder="1" applyAlignment="1">
      <alignment vertical="top"/>
    </xf>
    <xf numFmtId="0" fontId="119" fillId="0" borderId="4" xfId="0" applyFont="1" applyFill="1" applyBorder="1" applyAlignment="1">
      <alignment horizontal="center" vertical="center" wrapText="1"/>
    </xf>
    <xf numFmtId="0" fontId="114" fillId="0" borderId="4" xfId="0" applyFont="1" applyBorder="1" applyAlignment="1">
      <alignment horizontal="center" vertical="center" wrapText="1"/>
    </xf>
    <xf numFmtId="0" fontId="114" fillId="0" borderId="4" xfId="0" applyFont="1" applyBorder="1" applyAlignment="1">
      <alignment horizontal="center" vertical="center"/>
    </xf>
    <xf numFmtId="0" fontId="125" fillId="0" borderId="0" xfId="0" applyFont="1" applyAlignment="1"/>
    <xf numFmtId="0" fontId="117" fillId="0" borderId="4" xfId="0" applyFont="1" applyBorder="1" applyAlignment="1">
      <alignment horizontal="center" vertical="center"/>
    </xf>
    <xf numFmtId="0" fontId="117" fillId="0" borderId="4" xfId="0" applyFont="1" applyBorder="1" applyAlignment="1">
      <alignment horizontal="center" vertical="center" wrapText="1"/>
    </xf>
    <xf numFmtId="0" fontId="152" fillId="9" borderId="4" xfId="0" applyFont="1" applyFill="1" applyBorder="1" applyAlignment="1">
      <alignment horizontal="center"/>
    </xf>
    <xf numFmtId="0" fontId="0" fillId="0" borderId="0" xfId="0" applyAlignment="1">
      <alignment horizontal="center"/>
    </xf>
    <xf numFmtId="0" fontId="153" fillId="0" borderId="133" xfId="0" applyFont="1" applyBorder="1" applyAlignment="1">
      <alignment horizontal="center" vertical="top" wrapText="1"/>
    </xf>
    <xf numFmtId="0" fontId="153" fillId="0" borderId="16" xfId="0" applyFont="1" applyBorder="1" applyAlignment="1">
      <alignment horizontal="center" vertical="top" wrapText="1"/>
    </xf>
    <xf numFmtId="0" fontId="153" fillId="0" borderId="11" xfId="0" applyFont="1" applyBorder="1" applyAlignment="1">
      <alignment horizontal="center" vertical="top" wrapText="1"/>
    </xf>
    <xf numFmtId="0" fontId="153" fillId="9" borderId="4" xfId="0" applyFont="1" applyFill="1" applyBorder="1" applyAlignment="1">
      <alignment horizontal="center" vertical="center" wrapText="1"/>
    </xf>
    <xf numFmtId="0" fontId="119" fillId="0" borderId="4" xfId="17" applyFont="1" applyFill="1" applyBorder="1" applyAlignment="1">
      <alignment horizontal="center" vertical="center" wrapText="1"/>
    </xf>
    <xf numFmtId="0" fontId="173"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174"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173"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126" fillId="0" borderId="4" xfId="0" applyFont="1" applyFill="1" applyBorder="1" applyAlignment="1">
      <alignment horizontal="center" vertical="center" wrapText="1"/>
    </xf>
    <xf numFmtId="10" fontId="0" fillId="0" borderId="4" xfId="0" applyNumberFormat="1" applyBorder="1"/>
    <xf numFmtId="0" fontId="150" fillId="9" borderId="4" xfId="0" applyFont="1" applyFill="1" applyBorder="1" applyAlignment="1">
      <alignment horizontal="center" vertical="center" wrapText="1"/>
    </xf>
    <xf numFmtId="0" fontId="182" fillId="9" borderId="4" xfId="0" applyFont="1" applyFill="1" applyBorder="1" applyAlignment="1">
      <alignment horizontal="center" vertical="center" wrapText="1"/>
    </xf>
    <xf numFmtId="0" fontId="153" fillId="9" borderId="11" xfId="0" applyFont="1" applyFill="1" applyBorder="1" applyAlignment="1">
      <alignment horizontal="center" vertical="center" wrapText="1"/>
    </xf>
    <xf numFmtId="0" fontId="183" fillId="0" borderId="4" xfId="0" applyFont="1" applyBorder="1" applyAlignment="1">
      <alignment horizontal="center" vertical="center" wrapText="1"/>
    </xf>
    <xf numFmtId="2" fontId="184" fillId="0" borderId="4" xfId="0" applyNumberFormat="1" applyFont="1" applyBorder="1" applyAlignment="1">
      <alignment horizontal="center" vertical="center" wrapText="1"/>
    </xf>
    <xf numFmtId="2" fontId="183" fillId="0" borderId="4" xfId="0" applyNumberFormat="1" applyFont="1" applyBorder="1" applyAlignment="1">
      <alignment horizontal="center" vertical="center" wrapText="1"/>
    </xf>
    <xf numFmtId="0" fontId="184" fillId="0" borderId="4" xfId="0" applyFont="1" applyBorder="1" applyAlignment="1">
      <alignment horizontal="center" vertical="center" wrapText="1"/>
    </xf>
    <xf numFmtId="0" fontId="184" fillId="0" borderId="4" xfId="4196" applyFont="1" applyBorder="1" applyAlignment="1" applyProtection="1">
      <alignment horizontal="center" vertical="center" wrapText="1"/>
    </xf>
    <xf numFmtId="0" fontId="183" fillId="0" borderId="4" xfId="0" applyFont="1" applyBorder="1" applyAlignment="1">
      <alignment horizontal="center" vertical="center"/>
    </xf>
    <xf numFmtId="2" fontId="183" fillId="0" borderId="4" xfId="0" applyNumberFormat="1" applyFont="1" applyBorder="1" applyAlignment="1">
      <alignment horizontal="center" vertical="center"/>
    </xf>
    <xf numFmtId="0" fontId="150" fillId="0" borderId="133" xfId="0" applyFont="1" applyFill="1" applyBorder="1"/>
    <xf numFmtId="0" fontId="184" fillId="0" borderId="4" xfId="4196" applyFont="1" applyBorder="1" applyAlignment="1">
      <alignment horizontal="center" vertical="center"/>
    </xf>
    <xf numFmtId="0" fontId="184" fillId="0" borderId="4" xfId="0" applyFont="1" applyBorder="1" applyAlignment="1">
      <alignment horizontal="center" vertical="center"/>
    </xf>
    <xf numFmtId="0" fontId="184" fillId="0" borderId="4" xfId="4196" applyFont="1" applyBorder="1" applyAlignment="1">
      <alignment horizontal="center" vertical="center" wrapText="1"/>
    </xf>
    <xf numFmtId="2" fontId="184" fillId="0" borderId="4" xfId="0" applyNumberFormat="1" applyFont="1" applyBorder="1" applyAlignment="1">
      <alignment horizontal="center" vertical="center"/>
    </xf>
    <xf numFmtId="0" fontId="184" fillId="0" borderId="4" xfId="4196" applyFont="1" applyBorder="1" applyAlignment="1" applyProtection="1">
      <alignment horizontal="center" vertical="center"/>
    </xf>
    <xf numFmtId="0" fontId="185" fillId="0" borderId="4" xfId="4196" applyFont="1" applyBorder="1" applyAlignment="1">
      <alignment horizontal="center" vertical="center"/>
    </xf>
    <xf numFmtId="0" fontId="185" fillId="0" borderId="4" xfId="4196" applyFont="1" applyBorder="1" applyAlignment="1">
      <alignment horizontal="center" vertical="center" wrapText="1"/>
    </xf>
    <xf numFmtId="0" fontId="184" fillId="0" borderId="4" xfId="4196" applyFont="1" applyFill="1" applyBorder="1" applyAlignment="1" applyProtection="1">
      <alignment horizontal="center" vertical="center"/>
    </xf>
    <xf numFmtId="0" fontId="184" fillId="0" borderId="4" xfId="0" applyFont="1" applyFill="1" applyBorder="1" applyAlignment="1">
      <alignment horizontal="center" vertical="center"/>
    </xf>
    <xf numFmtId="0" fontId="186" fillId="9" borderId="4" xfId="0" applyFont="1" applyFill="1" applyBorder="1" applyAlignment="1">
      <alignment horizontal="center" vertical="center"/>
    </xf>
    <xf numFmtId="0" fontId="186" fillId="9" borderId="4" xfId="4196" applyFont="1" applyFill="1" applyBorder="1" applyAlignment="1" applyProtection="1">
      <alignment horizontal="center" vertical="center"/>
    </xf>
    <xf numFmtId="0" fontId="186" fillId="9" borderId="4" xfId="4196" applyFont="1" applyFill="1" applyBorder="1" applyAlignment="1" applyProtection="1">
      <alignment horizontal="center" vertical="center" wrapText="1"/>
    </xf>
    <xf numFmtId="0" fontId="183" fillId="0" borderId="4" xfId="0" applyNumberFormat="1" applyFont="1" applyBorder="1" applyAlignment="1">
      <alignment horizontal="center" vertical="center"/>
    </xf>
    <xf numFmtId="0" fontId="183" fillId="9" borderId="4" xfId="0" applyFont="1" applyFill="1" applyBorder="1" applyAlignment="1">
      <alignment horizontal="center" vertical="center"/>
    </xf>
    <xf numFmtId="0" fontId="184" fillId="9" borderId="4" xfId="0" applyFont="1" applyFill="1" applyBorder="1" applyAlignment="1">
      <alignment horizontal="center" vertical="center"/>
    </xf>
    <xf numFmtId="0" fontId="187" fillId="0" borderId="4" xfId="4196" applyFont="1" applyBorder="1" applyAlignment="1" applyProtection="1">
      <alignment horizontal="center" vertical="center"/>
    </xf>
    <xf numFmtId="0" fontId="187" fillId="0" borderId="4" xfId="0" applyFont="1" applyBorder="1" applyAlignment="1">
      <alignment horizontal="center" vertical="center"/>
    </xf>
    <xf numFmtId="2" fontId="187" fillId="0" borderId="4" xfId="0" applyNumberFormat="1" applyFont="1" applyBorder="1" applyAlignment="1">
      <alignment horizontal="center" vertical="center"/>
    </xf>
    <xf numFmtId="0" fontId="188" fillId="0" borderId="4" xfId="4196" applyFont="1" applyBorder="1" applyAlignment="1" applyProtection="1">
      <alignment horizontal="center" vertical="center"/>
    </xf>
    <xf numFmtId="49" fontId="185" fillId="9" borderId="4" xfId="0" applyNumberFormat="1" applyFont="1" applyFill="1" applyBorder="1" applyAlignment="1">
      <alignment horizontal="center" vertical="center"/>
    </xf>
    <xf numFmtId="0" fontId="189" fillId="9" borderId="4" xfId="0" applyNumberFormat="1" applyFont="1" applyFill="1" applyBorder="1" applyAlignment="1">
      <alignment horizontal="center" vertical="center"/>
    </xf>
    <xf numFmtId="10" fontId="152" fillId="9" borderId="4" xfId="58" applyNumberFormat="1" applyFont="1" applyFill="1" applyBorder="1" applyAlignment="1">
      <alignment horizontal="center"/>
    </xf>
    <xf numFmtId="20" fontId="155" fillId="0" borderId="4" xfId="0" applyNumberFormat="1" applyFont="1" applyBorder="1" applyAlignment="1">
      <alignment horizontal="center" vertical="center"/>
    </xf>
    <xf numFmtId="20" fontId="117" fillId="0" borderId="4" xfId="0" applyNumberFormat="1" applyFont="1" applyBorder="1" applyAlignment="1">
      <alignment horizontal="center" vertical="center"/>
    </xf>
    <xf numFmtId="46" fontId="190" fillId="0" borderId="4" xfId="0" applyNumberFormat="1" applyFont="1" applyFill="1" applyBorder="1" applyAlignment="1">
      <alignment horizontal="center" vertical="center" wrapText="1"/>
    </xf>
    <xf numFmtId="2" fontId="123" fillId="0" borderId="4" xfId="0" applyNumberFormat="1" applyFont="1" applyFill="1" applyBorder="1" applyAlignment="1">
      <alignment horizontal="center" vertical="center"/>
    </xf>
    <xf numFmtId="0" fontId="117" fillId="0" borderId="0" xfId="0" applyFont="1" applyBorder="1" applyAlignment="1">
      <alignment vertical="center"/>
    </xf>
    <xf numFmtId="0" fontId="117" fillId="0" borderId="4" xfId="0" applyFont="1" applyBorder="1" applyAlignment="1">
      <alignment vertical="center"/>
    </xf>
    <xf numFmtId="0" fontId="123" fillId="0" borderId="4" xfId="0" applyFont="1" applyBorder="1" applyAlignment="1">
      <alignment vertical="center"/>
    </xf>
    <xf numFmtId="0" fontId="123" fillId="0" borderId="0" xfId="0" applyFont="1" applyBorder="1" applyAlignment="1">
      <alignment horizontal="center" vertical="center"/>
    </xf>
    <xf numFmtId="0" fontId="123" fillId="0" borderId="0" xfId="0" applyFont="1" applyBorder="1" applyAlignment="1">
      <alignment vertical="center"/>
    </xf>
    <xf numFmtId="2" fontId="123" fillId="0" borderId="0" xfId="0" applyNumberFormat="1" applyFont="1" applyFill="1" applyBorder="1" applyAlignment="1">
      <alignment vertical="center"/>
    </xf>
    <xf numFmtId="0" fontId="149" fillId="0" borderId="135" xfId="0" applyFont="1" applyBorder="1" applyAlignment="1">
      <alignment vertical="center" wrapText="1"/>
    </xf>
    <xf numFmtId="0" fontId="0" fillId="0" borderId="141" xfId="0" applyBorder="1"/>
    <xf numFmtId="0" fontId="0" fillId="0" borderId="165" xfId="0" applyBorder="1" applyAlignment="1">
      <alignment horizontal="right"/>
    </xf>
    <xf numFmtId="0" fontId="0" fillId="0" borderId="170" xfId="0" applyBorder="1" applyAlignment="1">
      <alignment horizontal="right"/>
    </xf>
    <xf numFmtId="0" fontId="0" fillId="0" borderId="138" xfId="0" applyBorder="1" applyAlignment="1">
      <alignment horizontal="right"/>
    </xf>
    <xf numFmtId="0" fontId="0" fillId="0" borderId="2" xfId="0" applyBorder="1"/>
    <xf numFmtId="0" fontId="0" fillId="0" borderId="171" xfId="0" applyBorder="1"/>
    <xf numFmtId="0" fontId="0" fillId="0" borderId="172" xfId="0" applyBorder="1"/>
    <xf numFmtId="0" fontId="0" fillId="0" borderId="31" xfId="0" applyBorder="1"/>
    <xf numFmtId="0" fontId="0" fillId="0" borderId="144" xfId="0" applyFont="1" applyFill="1" applyBorder="1"/>
    <xf numFmtId="0" fontId="0" fillId="0" borderId="139" xfId="0" applyFont="1" applyFill="1" applyBorder="1"/>
    <xf numFmtId="0" fontId="0" fillId="0" borderId="30" xfId="0" applyFont="1" applyFill="1" applyBorder="1"/>
    <xf numFmtId="0" fontId="0" fillId="0" borderId="31" xfId="0" applyFont="1" applyFill="1" applyBorder="1"/>
    <xf numFmtId="0" fontId="177" fillId="0" borderId="30" xfId="0" applyFont="1" applyFill="1" applyBorder="1"/>
    <xf numFmtId="0" fontId="177" fillId="0" borderId="31" xfId="0" applyFont="1" applyFill="1" applyBorder="1"/>
    <xf numFmtId="210" fontId="177" fillId="0" borderId="146" xfId="0" applyNumberFormat="1" applyFont="1" applyFill="1" applyBorder="1"/>
    <xf numFmtId="0" fontId="176" fillId="0" borderId="136" xfId="0" applyFont="1" applyFill="1" applyBorder="1"/>
    <xf numFmtId="0" fontId="176" fillId="0" borderId="0" xfId="0" applyFont="1" applyFill="1" applyBorder="1"/>
    <xf numFmtId="0" fontId="176" fillId="0" borderId="146" xfId="0" applyFont="1" applyFill="1" applyBorder="1"/>
    <xf numFmtId="0" fontId="177" fillId="0" borderId="135" xfId="0" applyFont="1" applyFill="1" applyBorder="1"/>
    <xf numFmtId="0" fontId="177" fillId="0" borderId="137" xfId="0" applyFont="1" applyFill="1" applyBorder="1"/>
    <xf numFmtId="17" fontId="181" fillId="0" borderId="4" xfId="0" applyNumberFormat="1" applyFont="1" applyBorder="1" applyAlignment="1">
      <alignment horizontal="left" vertical="center" wrapText="1"/>
    </xf>
    <xf numFmtId="0" fontId="180" fillId="0" borderId="4" xfId="0" applyFont="1" applyBorder="1" applyAlignment="1">
      <alignment horizontal="center" vertical="center" wrapText="1"/>
    </xf>
    <xf numFmtId="1" fontId="125" fillId="9" borderId="4" xfId="0" applyNumberFormat="1" applyFont="1" applyFill="1" applyBorder="1"/>
    <xf numFmtId="1" fontId="125" fillId="0" borderId="4" xfId="0" applyNumberFormat="1" applyFont="1" applyBorder="1" applyAlignment="1"/>
    <xf numFmtId="10" fontId="120" fillId="0" borderId="4" xfId="58" applyNumberFormat="1" applyFont="1" applyFill="1" applyBorder="1" applyAlignment="1">
      <alignment horizontal="right" vertical="center"/>
    </xf>
    <xf numFmtId="0" fontId="126" fillId="0" borderId="4" xfId="0" applyFont="1" applyBorder="1" applyAlignment="1">
      <alignment vertical="top"/>
    </xf>
    <xf numFmtId="0" fontId="122" fillId="0" borderId="4" xfId="17" applyFont="1" applyFill="1" applyBorder="1" applyAlignment="1">
      <alignment vertical="center" wrapText="1"/>
    </xf>
    <xf numFmtId="43" fontId="120" fillId="0" borderId="0" xfId="0" applyNumberFormat="1" applyFont="1" applyFill="1" applyBorder="1" applyAlignment="1">
      <alignment horizontal="center"/>
    </xf>
    <xf numFmtId="0" fontId="14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0" fillId="9" borderId="4" xfId="0" applyFont="1" applyFill="1" applyBorder="1" applyAlignment="1">
      <alignment horizontal="center" vertical="center"/>
    </xf>
    <xf numFmtId="0" fontId="9" fillId="9" borderId="4" xfId="0" applyFont="1" applyFill="1" applyBorder="1" applyAlignment="1">
      <alignment horizontal="center" vertical="center"/>
    </xf>
    <xf numFmtId="0" fontId="9" fillId="67" borderId="4" xfId="0" applyFont="1" applyFill="1" applyBorder="1" applyAlignment="1">
      <alignment horizontal="center" vertical="center" wrapText="1"/>
    </xf>
    <xf numFmtId="0" fontId="0" fillId="67" borderId="4" xfId="0" applyFont="1" applyFill="1" applyBorder="1" applyAlignment="1">
      <alignment horizontal="center" vertical="center"/>
    </xf>
    <xf numFmtId="0" fontId="173" fillId="9" borderId="4" xfId="0" applyFont="1" applyFill="1" applyBorder="1" applyAlignment="1">
      <alignment horizontal="center" vertical="center" wrapText="1"/>
    </xf>
    <xf numFmtId="0" fontId="9" fillId="67" borderId="4" xfId="0" applyFont="1" applyFill="1" applyBorder="1" applyAlignment="1">
      <alignment horizontal="center" vertical="center"/>
    </xf>
    <xf numFmtId="0" fontId="0" fillId="9" borderId="4" xfId="0" applyFont="1" applyFill="1" applyBorder="1" applyAlignment="1">
      <alignment horizontal="center" vertical="center" wrapText="1"/>
    </xf>
    <xf numFmtId="0" fontId="0" fillId="0" borderId="4" xfId="0" applyFont="1" applyBorder="1" applyAlignment="1">
      <alignment horizontal="center"/>
    </xf>
    <xf numFmtId="0" fontId="173" fillId="67" borderId="4" xfId="0" applyFont="1" applyFill="1" applyBorder="1" applyAlignment="1">
      <alignment horizontal="center" vertical="center"/>
    </xf>
    <xf numFmtId="0" fontId="0" fillId="67" borderId="4" xfId="0" applyFont="1" applyFill="1" applyBorder="1" applyAlignment="1">
      <alignment horizontal="center" vertical="center" wrapText="1"/>
    </xf>
    <xf numFmtId="0" fontId="0" fillId="9" borderId="4" xfId="0"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9" borderId="133" xfId="0" applyFill="1" applyBorder="1" applyAlignment="1">
      <alignment horizontal="center" vertical="center"/>
    </xf>
    <xf numFmtId="0" fontId="0" fillId="0" borderId="133" xfId="0" applyFont="1" applyBorder="1" applyAlignment="1">
      <alignment horizontal="center" vertical="center"/>
    </xf>
    <xf numFmtId="0" fontId="0" fillId="9" borderId="4" xfId="0" applyFill="1" applyBorder="1" applyAlignment="1">
      <alignment horizontal="center" vertical="center"/>
    </xf>
    <xf numFmtId="0" fontId="0" fillId="9" borderId="133" xfId="0" applyFont="1" applyFill="1" applyBorder="1" applyAlignment="1">
      <alignment horizontal="center" vertical="center"/>
    </xf>
    <xf numFmtId="0" fontId="10" fillId="0" borderId="4" xfId="0" applyFont="1" applyBorder="1" applyAlignment="1">
      <alignment horizontal="center" vertical="center"/>
    </xf>
    <xf numFmtId="0" fontId="9" fillId="9" borderId="4" xfId="0"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xf>
    <xf numFmtId="0" fontId="0" fillId="0" borderId="133" xfId="0" applyBorder="1" applyAlignment="1">
      <alignment horizontal="center"/>
    </xf>
    <xf numFmtId="0" fontId="0" fillId="0" borderId="133" xfId="0" applyBorder="1" applyAlignment="1">
      <alignment horizontal="center" vertical="center"/>
    </xf>
    <xf numFmtId="0" fontId="0" fillId="0" borderId="4" xfId="0" applyFont="1" applyFill="1" applyBorder="1" applyAlignment="1">
      <alignment horizontal="center"/>
    </xf>
    <xf numFmtId="0" fontId="191" fillId="0" borderId="4" xfId="0" applyFont="1" applyBorder="1" applyAlignment="1">
      <alignment horizontal="center" vertical="center"/>
    </xf>
    <xf numFmtId="0" fontId="0" fillId="0" borderId="4" xfId="0" applyFont="1" applyFill="1" applyBorder="1" applyAlignment="1">
      <alignment horizontal="center" wrapText="1"/>
    </xf>
    <xf numFmtId="43" fontId="0" fillId="0" borderId="0" xfId="0" applyNumberFormat="1" applyFont="1" applyAlignment="1"/>
    <xf numFmtId="2" fontId="123" fillId="0" borderId="4" xfId="0" applyNumberFormat="1" applyFont="1" applyBorder="1" applyAlignment="1">
      <alignment horizontal="right" vertical="center" wrapText="1"/>
    </xf>
    <xf numFmtId="2" fontId="117" fillId="0" borderId="0" xfId="0" applyNumberFormat="1" applyFont="1" applyAlignment="1">
      <alignment vertical="center"/>
    </xf>
    <xf numFmtId="0" fontId="0" fillId="8" borderId="0" xfId="0" applyFont="1" applyFill="1" applyAlignment="1"/>
    <xf numFmtId="0" fontId="132" fillId="8" borderId="0" xfId="0" applyFont="1" applyFill="1" applyBorder="1" applyAlignment="1"/>
    <xf numFmtId="0" fontId="122" fillId="8" borderId="0" xfId="17" applyFont="1" applyFill="1" applyBorder="1" applyAlignment="1">
      <alignment horizontal="center"/>
    </xf>
    <xf numFmtId="0" fontId="123" fillId="0" borderId="4" xfId="0" applyNumberFormat="1" applyFont="1" applyFill="1" applyBorder="1" applyAlignment="1">
      <alignment horizontal="left" wrapText="1"/>
    </xf>
    <xf numFmtId="9" fontId="117" fillId="0" borderId="4" xfId="0" applyNumberFormat="1" applyFont="1" applyBorder="1" applyAlignment="1"/>
    <xf numFmtId="168" fontId="125" fillId="9" borderId="4" xfId="72" applyFont="1" applyFill="1" applyBorder="1" applyAlignment="1">
      <alignment vertical="center" wrapText="1"/>
    </xf>
    <xf numFmtId="0" fontId="125" fillId="9" borderId="4" xfId="0" applyFont="1" applyFill="1" applyBorder="1" applyAlignment="1">
      <alignment vertical="center" wrapText="1"/>
    </xf>
    <xf numFmtId="0" fontId="125" fillId="9" borderId="4" xfId="0" applyFont="1" applyFill="1" applyBorder="1" applyAlignment="1"/>
    <xf numFmtId="43" fontId="125" fillId="9" borderId="4" xfId="0" applyNumberFormat="1" applyFont="1" applyFill="1" applyBorder="1" applyAlignment="1">
      <alignment vertical="center" wrapText="1"/>
    </xf>
    <xf numFmtId="43" fontId="125" fillId="9" borderId="4" xfId="0" applyNumberFormat="1" applyFont="1" applyFill="1" applyBorder="1" applyAlignment="1"/>
    <xf numFmtId="168" fontId="125" fillId="9" borderId="4" xfId="72" applyFont="1" applyFill="1" applyBorder="1" applyAlignment="1">
      <alignment vertical="center"/>
    </xf>
    <xf numFmtId="0" fontId="192" fillId="0" borderId="0" xfId="0" applyFont="1"/>
    <xf numFmtId="17" fontId="125" fillId="0" borderId="0" xfId="0" applyNumberFormat="1" applyFont="1" applyAlignment="1">
      <alignment horizontal="center" vertical="center"/>
    </xf>
    <xf numFmtId="0" fontId="192" fillId="0" borderId="0" xfId="0" applyFont="1" applyAlignment="1">
      <alignment horizontal="center" vertical="center"/>
    </xf>
    <xf numFmtId="10" fontId="157" fillId="0" borderId="4" xfId="58" applyNumberFormat="1" applyFont="1" applyBorder="1" applyAlignment="1">
      <alignment vertical="center" wrapText="1"/>
    </xf>
    <xf numFmtId="1" fontId="157" fillId="0" borderId="4" xfId="0" applyNumberFormat="1" applyFont="1" applyBorder="1" applyAlignment="1">
      <alignment vertical="center" wrapText="1"/>
    </xf>
    <xf numFmtId="1" fontId="153" fillId="0" borderId="4" xfId="503" applyNumberFormat="1" applyFont="1" applyBorder="1" applyAlignment="1">
      <alignment horizontal="center" vertical="center"/>
    </xf>
    <xf numFmtId="0" fontId="0" fillId="0" borderId="0" xfId="0" applyFill="1" applyAlignment="1">
      <alignment vertical="center"/>
    </xf>
    <xf numFmtId="0" fontId="153" fillId="0" borderId="4" xfId="0" applyFont="1" applyFill="1" applyBorder="1" applyAlignment="1">
      <alignment vertical="center"/>
    </xf>
    <xf numFmtId="0" fontId="153" fillId="0" borderId="4" xfId="0" applyFont="1" applyFill="1" applyBorder="1" applyAlignment="1">
      <alignment horizontal="left" vertical="center" textRotation="180" wrapText="1"/>
    </xf>
    <xf numFmtId="0" fontId="153" fillId="0" borderId="4" xfId="0" applyFont="1" applyFill="1" applyBorder="1" applyAlignment="1">
      <alignment horizontal="center" vertical="center"/>
    </xf>
    <xf numFmtId="0" fontId="153" fillId="0" borderId="4" xfId="0" applyFont="1" applyFill="1" applyBorder="1" applyAlignment="1">
      <alignment vertical="center" wrapText="1"/>
    </xf>
    <xf numFmtId="46" fontId="0" fillId="0" borderId="4" xfId="0" applyNumberFormat="1" applyFill="1" applyBorder="1" applyAlignment="1">
      <alignment horizontal="center" vertical="center"/>
    </xf>
    <xf numFmtId="46" fontId="150" fillId="0" borderId="4" xfId="0" applyNumberFormat="1" applyFont="1" applyFill="1" applyBorder="1" applyAlignment="1">
      <alignment horizontal="center" vertical="center"/>
    </xf>
    <xf numFmtId="0" fontId="161" fillId="0" borderId="4" xfId="0" applyFont="1" applyBorder="1" applyAlignment="1">
      <alignment vertical="center" wrapText="1"/>
    </xf>
    <xf numFmtId="17" fontId="0" fillId="0" borderId="0" xfId="0" applyNumberFormat="1"/>
    <xf numFmtId="0" fontId="117" fillId="9" borderId="4" xfId="0" applyFont="1" applyFill="1" applyBorder="1" applyAlignment="1">
      <alignment horizontal="right" vertical="center"/>
    </xf>
    <xf numFmtId="1" fontId="117" fillId="9" borderId="4" xfId="0" applyNumberFormat="1" applyFont="1" applyFill="1" applyBorder="1" applyAlignment="1">
      <alignment horizontal="right" vertical="center"/>
    </xf>
    <xf numFmtId="0" fontId="117" fillId="9" borderId="4" xfId="0" applyFont="1" applyFill="1" applyBorder="1" applyAlignment="1">
      <alignment horizontal="right" vertical="center" wrapText="1"/>
    </xf>
    <xf numFmtId="10" fontId="117" fillId="0" borderId="0" xfId="58" applyNumberFormat="1" applyFont="1" applyAlignment="1"/>
    <xf numFmtId="43" fontId="125" fillId="0" borderId="0" xfId="0" applyNumberFormat="1" applyFont="1" applyAlignment="1">
      <alignment vertical="center"/>
    </xf>
    <xf numFmtId="0" fontId="119" fillId="0" borderId="4" xfId="17" applyFont="1" applyFill="1" applyBorder="1" applyAlignment="1">
      <alignment horizontal="center" vertical="center" wrapText="1"/>
    </xf>
    <xf numFmtId="0" fontId="126" fillId="0" borderId="4" xfId="0" applyFont="1" applyFill="1" applyBorder="1" applyAlignment="1">
      <alignment horizontal="center" vertical="center" wrapText="1"/>
    </xf>
    <xf numFmtId="0" fontId="125" fillId="0" borderId="0" xfId="0" applyFont="1" applyAlignment="1"/>
    <xf numFmtId="0" fontId="125" fillId="0" borderId="0" xfId="0" applyFont="1" applyAlignment="1"/>
    <xf numFmtId="43" fontId="126" fillId="0" borderId="4" xfId="0" applyNumberFormat="1" applyFont="1" applyBorder="1" applyAlignment="1">
      <alignment vertical="center"/>
    </xf>
    <xf numFmtId="43" fontId="120" fillId="0" borderId="0" xfId="0" applyNumberFormat="1" applyFont="1" applyFill="1" applyBorder="1" applyAlignment="1">
      <alignment vertical="center"/>
    </xf>
    <xf numFmtId="0" fontId="122" fillId="0" borderId="4" xfId="0" applyFont="1" applyFill="1" applyBorder="1" applyAlignment="1">
      <alignment horizontal="center" vertical="center" wrapText="1"/>
    </xf>
    <xf numFmtId="0" fontId="117" fillId="13" borderId="10" xfId="0" applyFont="1" applyFill="1" applyBorder="1" applyAlignment="1"/>
    <xf numFmtId="0" fontId="117" fillId="0" borderId="0" xfId="0" applyFont="1" applyAlignment="1"/>
    <xf numFmtId="0" fontId="117" fillId="13" borderId="15" xfId="0" applyFont="1" applyFill="1" applyBorder="1" applyAlignment="1"/>
    <xf numFmtId="17" fontId="196" fillId="0" borderId="146" xfId="0" applyNumberFormat="1" applyFont="1" applyBorder="1" applyAlignment="1">
      <alignment horizontal="justify" vertical="center" wrapText="1"/>
    </xf>
    <xf numFmtId="17" fontId="196" fillId="0" borderId="31" xfId="0" applyNumberFormat="1" applyFont="1" applyBorder="1" applyAlignment="1">
      <alignment horizontal="justify" vertical="center" wrapText="1"/>
    </xf>
    <xf numFmtId="10" fontId="196" fillId="0" borderId="137" xfId="0" applyNumberFormat="1" applyFont="1" applyBorder="1" applyAlignment="1">
      <alignment horizontal="center" vertical="center" wrapText="1"/>
    </xf>
    <xf numFmtId="10" fontId="196" fillId="0" borderId="140" xfId="0" applyNumberFormat="1" applyFont="1" applyBorder="1" applyAlignment="1">
      <alignment horizontal="center" vertical="center" wrapText="1"/>
    </xf>
    <xf numFmtId="10" fontId="196" fillId="0" borderId="140" xfId="0" applyNumberFormat="1" applyFont="1" applyBorder="1" applyAlignment="1">
      <alignment horizontal="justify" vertical="center" wrapText="1"/>
    </xf>
    <xf numFmtId="10" fontId="120" fillId="0" borderId="4" xfId="56" applyNumberFormat="1" applyFont="1" applyBorder="1" applyAlignment="1">
      <alignment horizontal="center" vertical="center" wrapText="1"/>
    </xf>
    <xf numFmtId="0" fontId="120" fillId="0" borderId="11" xfId="56" applyFont="1" applyBorder="1" applyAlignment="1">
      <alignment vertical="center"/>
    </xf>
    <xf numFmtId="43" fontId="120" fillId="0" borderId="145" xfId="0" applyNumberFormat="1" applyFont="1" applyFill="1" applyBorder="1" applyAlignment="1">
      <alignment vertical="center"/>
    </xf>
    <xf numFmtId="43" fontId="120" fillId="0" borderId="0" xfId="564" applyNumberFormat="1" applyFont="1" applyFill="1" applyAlignment="1"/>
    <xf numFmtId="211" fontId="120" fillId="0" borderId="0" xfId="0" applyNumberFormat="1" applyFont="1" applyFill="1" applyAlignment="1"/>
    <xf numFmtId="0" fontId="126" fillId="0" borderId="4" xfId="0" applyFont="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43" fontId="0" fillId="0" borderId="4" xfId="0" applyNumberFormat="1" applyFill="1" applyBorder="1" applyAlignment="1">
      <alignment horizontal="center" vertical="center" wrapText="1"/>
    </xf>
    <xf numFmtId="212" fontId="0" fillId="0" borderId="4" xfId="0" applyNumberFormat="1" applyFill="1" applyBorder="1" applyAlignment="1">
      <alignment horizontal="center" vertical="center" wrapText="1"/>
    </xf>
    <xf numFmtId="43" fontId="0" fillId="0" borderId="4" xfId="4201" applyFont="1" applyFill="1" applyBorder="1" applyAlignment="1">
      <alignment horizontal="center" vertical="center" wrapText="1"/>
    </xf>
    <xf numFmtId="213" fontId="0" fillId="0" borderId="4"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49" fontId="0" fillId="0" borderId="4" xfId="0" applyNumberFormat="1" applyFill="1" applyBorder="1" applyAlignment="1">
      <alignment horizontal="left" vertical="center" wrapText="1"/>
    </xf>
    <xf numFmtId="17" fontId="0" fillId="0" borderId="4" xfId="0" applyNumberFormat="1" applyFill="1" applyBorder="1" applyAlignment="1">
      <alignment horizontal="center" vertical="center" wrapText="1"/>
    </xf>
    <xf numFmtId="0" fontId="0" fillId="0" borderId="0" xfId="0" applyAlignment="1">
      <alignment horizontal="left" vertical="center"/>
    </xf>
    <xf numFmtId="0" fontId="114" fillId="0" borderId="4" xfId="0" applyFont="1" applyBorder="1" applyAlignment="1">
      <alignment horizontal="center" vertical="center" wrapText="1"/>
    </xf>
    <xf numFmtId="0" fontId="122" fillId="0" borderId="4" xfId="564" applyFont="1" applyFill="1" applyBorder="1" applyAlignment="1">
      <alignment horizontal="center" vertical="center" wrapText="1"/>
    </xf>
    <xf numFmtId="0" fontId="114" fillId="0" borderId="4" xfId="0" applyFont="1" applyFill="1" applyBorder="1" applyAlignment="1">
      <alignment horizontal="center" vertical="center"/>
    </xf>
    <xf numFmtId="0" fontId="117" fillId="0" borderId="4" xfId="0" applyFont="1" applyBorder="1" applyAlignment="1">
      <alignment horizontal="center" vertical="center"/>
    </xf>
    <xf numFmtId="0" fontId="122" fillId="0" borderId="4" xfId="0" applyFont="1" applyFill="1" applyBorder="1" applyAlignment="1">
      <alignment horizontal="center" wrapText="1"/>
    </xf>
    <xf numFmtId="0" fontId="123" fillId="0" borderId="10" xfId="0" applyFont="1" applyFill="1" applyBorder="1" applyAlignment="1">
      <alignment wrapText="1"/>
    </xf>
    <xf numFmtId="174" fontId="125" fillId="9" borderId="4" xfId="72" applyNumberFormat="1" applyFont="1" applyFill="1" applyBorder="1" applyAlignment="1">
      <alignment vertical="center"/>
    </xf>
    <xf numFmtId="0" fontId="125" fillId="9" borderId="4" xfId="0" applyFont="1" applyFill="1" applyBorder="1" applyAlignment="1">
      <alignment horizontal="center" vertical="center"/>
    </xf>
    <xf numFmtId="2" fontId="117" fillId="0" borderId="4" xfId="0" applyNumberFormat="1" applyFont="1" applyFill="1" applyBorder="1" applyAlignment="1"/>
    <xf numFmtId="43" fontId="117" fillId="0" borderId="4" xfId="0" applyNumberFormat="1" applyFont="1" applyBorder="1"/>
    <xf numFmtId="43" fontId="117" fillId="9" borderId="4" xfId="0" applyNumberFormat="1" applyFont="1" applyFill="1" applyBorder="1"/>
    <xf numFmtId="0" fontId="10" fillId="9" borderId="0" xfId="0" applyFont="1" applyFill="1" applyAlignment="1"/>
    <xf numFmtId="0" fontId="0" fillId="9" borderId="0" xfId="0" applyFont="1" applyFill="1" applyAlignment="1"/>
    <xf numFmtId="0" fontId="10" fillId="9" borderId="0" xfId="0" applyFont="1" applyFill="1" applyAlignment="1">
      <alignment horizontal="right"/>
    </xf>
    <xf numFmtId="0" fontId="0" fillId="9" borderId="0" xfId="0" applyFill="1" applyAlignment="1"/>
    <xf numFmtId="0" fontId="116" fillId="9" borderId="137" xfId="0" applyFont="1" applyFill="1" applyBorder="1" applyAlignment="1">
      <alignment wrapText="1"/>
    </xf>
    <xf numFmtId="0" fontId="116" fillId="9" borderId="140" xfId="0" applyFont="1" applyFill="1" applyBorder="1" applyAlignment="1">
      <alignment wrapText="1"/>
    </xf>
    <xf numFmtId="0" fontId="116" fillId="9" borderId="140" xfId="0" applyFont="1" applyFill="1" applyBorder="1"/>
    <xf numFmtId="0" fontId="116" fillId="9" borderId="140" xfId="0" applyFont="1" applyFill="1" applyBorder="1" applyAlignment="1">
      <alignment horizontal="center"/>
    </xf>
    <xf numFmtId="0" fontId="144" fillId="9" borderId="140" xfId="0" applyFont="1" applyFill="1" applyBorder="1" applyAlignment="1">
      <alignment horizontal="center"/>
    </xf>
    <xf numFmtId="2" fontId="9" fillId="9" borderId="140" xfId="0" applyNumberFormat="1" applyFont="1" applyFill="1" applyBorder="1" applyAlignment="1">
      <alignment horizontal="center"/>
    </xf>
    <xf numFmtId="2" fontId="116" fillId="9" borderId="140" xfId="0" applyNumberFormat="1" applyFont="1" applyFill="1" applyBorder="1" applyAlignment="1">
      <alignment horizontal="center"/>
    </xf>
    <xf numFmtId="0" fontId="116" fillId="9" borderId="148" xfId="0" applyFont="1" applyFill="1" applyBorder="1" applyAlignment="1">
      <alignment wrapText="1"/>
    </xf>
    <xf numFmtId="0" fontId="116" fillId="9" borderId="149" xfId="0" applyFont="1" applyFill="1" applyBorder="1" applyAlignment="1">
      <alignment wrapText="1"/>
    </xf>
    <xf numFmtId="2" fontId="9" fillId="9" borderId="149" xfId="0" applyNumberFormat="1" applyFont="1" applyFill="1" applyBorder="1" applyAlignment="1">
      <alignment horizontal="center"/>
    </xf>
    <xf numFmtId="2" fontId="123" fillId="9" borderId="0" xfId="0" applyNumberFormat="1" applyFont="1" applyFill="1" applyAlignment="1"/>
    <xf numFmtId="0" fontId="124" fillId="9" borderId="0" xfId="0" applyFont="1" applyFill="1" applyBorder="1" applyAlignment="1">
      <alignment horizontal="left"/>
    </xf>
    <xf numFmtId="0" fontId="124" fillId="9" borderId="0" xfId="0" applyFont="1" applyFill="1" applyBorder="1" applyAlignment="1"/>
    <xf numFmtId="0" fontId="120" fillId="9" borderId="0" xfId="564" applyFont="1" applyFill="1" applyBorder="1" applyAlignment="1">
      <alignment horizontal="left"/>
    </xf>
    <xf numFmtId="0" fontId="119" fillId="9" borderId="0" xfId="17" applyFont="1" applyFill="1" applyBorder="1" applyAlignment="1">
      <alignment vertical="center" wrapText="1"/>
    </xf>
    <xf numFmtId="0" fontId="120" fillId="9" borderId="0" xfId="564" applyFont="1" applyFill="1" applyBorder="1" applyAlignment="1">
      <alignment horizontal="center" vertical="center" wrapText="1"/>
    </xf>
    <xf numFmtId="0" fontId="119" fillId="9" borderId="0" xfId="17" applyFont="1" applyFill="1" applyBorder="1" applyAlignment="1">
      <alignment horizontal="left" vertical="center" wrapText="1"/>
    </xf>
    <xf numFmtId="0" fontId="119" fillId="9" borderId="0" xfId="17" applyFont="1" applyFill="1" applyBorder="1" applyAlignment="1">
      <alignment horizontal="center" vertical="center"/>
    </xf>
    <xf numFmtId="0" fontId="126" fillId="9" borderId="133" xfId="0" applyFont="1" applyFill="1" applyBorder="1" applyAlignment="1">
      <alignment horizontal="center" vertical="center"/>
    </xf>
    <xf numFmtId="0" fontId="126" fillId="9" borderId="4" xfId="0" applyFont="1" applyFill="1" applyBorder="1" applyAlignment="1">
      <alignment vertical="center" wrapText="1"/>
    </xf>
    <xf numFmtId="0" fontId="125" fillId="9" borderId="4" xfId="0" applyFont="1" applyFill="1" applyBorder="1" applyAlignment="1">
      <alignment horizontal="center"/>
    </xf>
    <xf numFmtId="0" fontId="125" fillId="9" borderId="4" xfId="0" applyFont="1" applyFill="1" applyBorder="1" applyAlignment="1">
      <alignment horizontal="center" wrapText="1"/>
    </xf>
    <xf numFmtId="0" fontId="125" fillId="9" borderId="4" xfId="0" applyFont="1" applyFill="1" applyBorder="1" applyAlignment="1">
      <alignment horizontal="center" vertical="top" wrapText="1"/>
    </xf>
    <xf numFmtId="0" fontId="125" fillId="9" borderId="4" xfId="0" applyFont="1" applyFill="1" applyBorder="1"/>
    <xf numFmtId="168" fontId="125" fillId="9" borderId="4" xfId="72" applyFont="1" applyFill="1" applyBorder="1" applyAlignment="1">
      <alignment wrapText="1"/>
    </xf>
    <xf numFmtId="168" fontId="125" fillId="9" borderId="4" xfId="72" applyFont="1" applyFill="1" applyBorder="1" applyAlignment="1">
      <alignment vertical="top" wrapText="1"/>
    </xf>
    <xf numFmtId="0" fontId="126" fillId="9" borderId="4" xfId="0" applyFont="1" applyFill="1" applyBorder="1"/>
    <xf numFmtId="168" fontId="126" fillId="9" borderId="4" xfId="72" applyFont="1" applyFill="1" applyBorder="1"/>
    <xf numFmtId="0" fontId="120" fillId="9" borderId="0" xfId="564" applyFont="1" applyFill="1" applyBorder="1" applyAlignment="1">
      <alignment horizontal="justify" wrapText="1"/>
    </xf>
    <xf numFmtId="0" fontId="120" fillId="9" borderId="0" xfId="17" applyFont="1" applyFill="1" applyBorder="1" applyAlignment="1"/>
    <xf numFmtId="0" fontId="119" fillId="9" borderId="4" xfId="17" applyFont="1" applyFill="1" applyBorder="1" applyAlignment="1">
      <alignment horizontal="center" vertical="center"/>
    </xf>
    <xf numFmtId="0" fontId="126" fillId="9" borderId="4" xfId="0" applyFont="1" applyFill="1" applyBorder="1" applyAlignment="1">
      <alignment horizontal="center" vertical="center" wrapText="1"/>
    </xf>
    <xf numFmtId="0" fontId="120" fillId="9" borderId="0" xfId="564" applyFont="1" applyFill="1" applyBorder="1" applyAlignment="1">
      <alignment horizontal="center" vertical="center"/>
    </xf>
    <xf numFmtId="0" fontId="120" fillId="9" borderId="4" xfId="564" applyFont="1" applyFill="1" applyBorder="1" applyAlignment="1">
      <alignment horizontal="center"/>
    </xf>
    <xf numFmtId="0" fontId="120" fillId="9" borderId="4" xfId="564" applyFont="1" applyFill="1" applyBorder="1" applyAlignment="1">
      <alignment horizontal="left"/>
    </xf>
    <xf numFmtId="168" fontId="120" fillId="9" borderId="4" xfId="72" applyFont="1" applyFill="1" applyBorder="1" applyAlignment="1">
      <alignment horizontal="right" vertical="center"/>
    </xf>
    <xf numFmtId="168" fontId="120" fillId="9" borderId="0" xfId="72" applyFont="1" applyFill="1" applyBorder="1" applyAlignment="1">
      <alignment horizontal="left"/>
    </xf>
    <xf numFmtId="4" fontId="193" fillId="9" borderId="0" xfId="0" applyNumberFormat="1" applyFont="1" applyFill="1"/>
    <xf numFmtId="43" fontId="119" fillId="9" borderId="0" xfId="564" applyNumberFormat="1" applyFont="1" applyFill="1" applyBorder="1" applyAlignment="1">
      <alignment horizontal="left"/>
    </xf>
    <xf numFmtId="43" fontId="120" fillId="9" borderId="0" xfId="564" applyNumberFormat="1" applyFont="1" applyFill="1" applyBorder="1" applyAlignment="1">
      <alignment horizontal="left"/>
    </xf>
    <xf numFmtId="0" fontId="119" fillId="9" borderId="0" xfId="564" applyFont="1" applyFill="1" applyBorder="1" applyAlignment="1">
      <alignment horizontal="left"/>
    </xf>
    <xf numFmtId="0" fontId="120" fillId="9" borderId="4" xfId="564" applyFont="1" applyFill="1" applyBorder="1" applyAlignment="1">
      <alignment horizontal="center" vertical="center"/>
    </xf>
    <xf numFmtId="0" fontId="120" fillId="9" borderId="4" xfId="564" applyFont="1" applyFill="1" applyBorder="1" applyAlignment="1">
      <alignment horizontal="left" vertical="center" wrapText="1"/>
    </xf>
    <xf numFmtId="168" fontId="120" fillId="9" borderId="4" xfId="72" applyFont="1" applyFill="1" applyBorder="1" applyAlignment="1">
      <alignment vertical="center"/>
    </xf>
    <xf numFmtId="0" fontId="120" fillId="9" borderId="4" xfId="564" applyFont="1" applyFill="1" applyBorder="1" applyAlignment="1">
      <alignment vertical="center"/>
    </xf>
    <xf numFmtId="0" fontId="120" fillId="9" borderId="4" xfId="564" applyFont="1" applyFill="1" applyBorder="1" applyAlignment="1">
      <alignment horizontal="left" vertical="center"/>
    </xf>
    <xf numFmtId="168" fontId="120" fillId="9" borderId="4" xfId="72" applyFont="1" applyFill="1" applyBorder="1" applyAlignment="1">
      <alignment horizontal="left" vertical="center"/>
    </xf>
    <xf numFmtId="0" fontId="193" fillId="9" borderId="0" xfId="0" applyFont="1" applyFill="1"/>
    <xf numFmtId="0" fontId="120" fillId="9" borderId="0" xfId="564" applyFont="1" applyFill="1" applyBorder="1" applyAlignment="1">
      <alignment horizontal="left" vertical="center"/>
    </xf>
    <xf numFmtId="168" fontId="120" fillId="9" borderId="0" xfId="72" applyFont="1" applyFill="1" applyBorder="1" applyAlignment="1">
      <alignment horizontal="left" vertical="center"/>
    </xf>
    <xf numFmtId="0" fontId="120" fillId="9" borderId="4" xfId="564" applyFont="1" applyFill="1" applyBorder="1" applyAlignment="1">
      <alignment horizontal="right" vertical="center"/>
    </xf>
    <xf numFmtId="43" fontId="120" fillId="9" borderId="0" xfId="564" applyNumberFormat="1" applyFont="1" applyFill="1" applyBorder="1" applyAlignment="1">
      <alignment horizontal="left" vertical="center"/>
    </xf>
    <xf numFmtId="43" fontId="120" fillId="9" borderId="4" xfId="564" applyNumberFormat="1" applyFont="1" applyFill="1" applyBorder="1" applyAlignment="1">
      <alignment vertical="center"/>
    </xf>
    <xf numFmtId="43" fontId="120" fillId="9" borderId="4" xfId="564" applyNumberFormat="1" applyFont="1" applyFill="1" applyBorder="1" applyAlignment="1">
      <alignment horizontal="right" vertical="center"/>
    </xf>
    <xf numFmtId="0" fontId="120" fillId="9" borderId="0" xfId="564" applyFont="1" applyFill="1" applyBorder="1" applyAlignment="1">
      <alignment horizontal="right" vertical="center"/>
    </xf>
    <xf numFmtId="0" fontId="120" fillId="9" borderId="0" xfId="564" applyFont="1" applyFill="1" applyBorder="1" applyAlignment="1"/>
    <xf numFmtId="0" fontId="125" fillId="9" borderId="4" xfId="0" applyFont="1" applyFill="1" applyBorder="1" applyAlignment="1">
      <alignment vertical="top"/>
    </xf>
    <xf numFmtId="168" fontId="120" fillId="9" borderId="4" xfId="564" applyNumberFormat="1" applyFont="1" applyFill="1" applyBorder="1" applyAlignment="1"/>
    <xf numFmtId="43" fontId="120" fillId="9" borderId="4" xfId="564" applyNumberFormat="1" applyFont="1" applyFill="1" applyBorder="1" applyAlignment="1">
      <alignment horizontal="left"/>
    </xf>
    <xf numFmtId="43" fontId="120" fillId="9" borderId="4" xfId="564" applyNumberFormat="1" applyFont="1" applyFill="1" applyBorder="1" applyAlignment="1"/>
    <xf numFmtId="168" fontId="120" fillId="9" borderId="4" xfId="72" applyFont="1" applyFill="1" applyBorder="1" applyAlignment="1"/>
    <xf numFmtId="0" fontId="120" fillId="9" borderId="4" xfId="564" applyFont="1" applyFill="1" applyBorder="1" applyAlignment="1"/>
    <xf numFmtId="168" fontId="120" fillId="9" borderId="4" xfId="564" applyNumberFormat="1" applyFont="1" applyFill="1" applyBorder="1" applyAlignment="1">
      <alignment horizontal="right" vertical="center"/>
    </xf>
    <xf numFmtId="10" fontId="120" fillId="9" borderId="4" xfId="564" applyNumberFormat="1" applyFont="1" applyFill="1" applyBorder="1" applyAlignment="1">
      <alignment horizontal="right" vertical="center"/>
    </xf>
    <xf numFmtId="10" fontId="120" fillId="9" borderId="4" xfId="564" applyNumberFormat="1" applyFont="1" applyFill="1" applyBorder="1" applyAlignment="1"/>
    <xf numFmtId="2" fontId="120" fillId="9" borderId="4" xfId="564" applyNumberFormat="1" applyFont="1" applyFill="1" applyBorder="1" applyAlignment="1">
      <alignment horizontal="right" vertical="center"/>
    </xf>
    <xf numFmtId="1" fontId="120" fillId="9" borderId="4" xfId="564" applyNumberFormat="1" applyFont="1" applyFill="1" applyBorder="1" applyAlignment="1">
      <alignment horizontal="right" vertical="center"/>
    </xf>
    <xf numFmtId="2" fontId="120" fillId="9" borderId="0" xfId="564" applyNumberFormat="1" applyFont="1" applyFill="1" applyBorder="1" applyAlignment="1">
      <alignment horizontal="right"/>
    </xf>
    <xf numFmtId="168" fontId="120" fillId="9" borderId="4" xfId="72" applyFont="1" applyFill="1" applyBorder="1" applyAlignment="1">
      <alignment horizontal="left"/>
    </xf>
    <xf numFmtId="0" fontId="126" fillId="9" borderId="0" xfId="0" applyFont="1" applyFill="1" applyAlignment="1">
      <alignment horizontal="center"/>
    </xf>
    <xf numFmtId="168" fontId="120" fillId="9" borderId="4" xfId="72" applyFont="1" applyFill="1" applyBorder="1" applyAlignment="1">
      <alignment horizontal="center" vertical="center"/>
    </xf>
    <xf numFmtId="168" fontId="120" fillId="9" borderId="4" xfId="72" applyFont="1" applyFill="1" applyBorder="1" applyAlignment="1">
      <alignment horizontal="center"/>
    </xf>
    <xf numFmtId="10" fontId="123" fillId="9" borderId="4" xfId="0" applyNumberFormat="1" applyFont="1" applyFill="1" applyBorder="1" applyAlignment="1">
      <alignment horizontal="center" vertical="center"/>
    </xf>
    <xf numFmtId="168" fontId="125" fillId="9" borderId="4" xfId="0" applyNumberFormat="1" applyFont="1" applyFill="1" applyBorder="1" applyAlignment="1">
      <alignment vertical="center" wrapText="1"/>
    </xf>
    <xf numFmtId="0" fontId="125" fillId="9" borderId="0" xfId="0" applyFont="1" applyFill="1"/>
    <xf numFmtId="174" fontId="125" fillId="9" borderId="4" xfId="72" applyNumberFormat="1" applyFont="1" applyFill="1" applyBorder="1" applyAlignment="1">
      <alignment horizontal="center" vertical="center"/>
    </xf>
    <xf numFmtId="168" fontId="125" fillId="9" borderId="4" xfId="72" applyFont="1" applyFill="1" applyBorder="1" applyAlignment="1">
      <alignment horizontal="center" vertical="center"/>
    </xf>
    <xf numFmtId="174" fontId="125" fillId="9" borderId="4" xfId="72" applyNumberFormat="1" applyFont="1" applyFill="1" applyBorder="1"/>
    <xf numFmtId="174" fontId="126" fillId="9" borderId="4" xfId="72" applyNumberFormat="1" applyFont="1" applyFill="1" applyBorder="1"/>
    <xf numFmtId="0" fontId="126" fillId="9" borderId="4" xfId="0" applyFont="1" applyFill="1" applyBorder="1" applyAlignment="1">
      <alignment vertical="center"/>
    </xf>
    <xf numFmtId="0" fontId="126" fillId="9" borderId="4" xfId="0" applyFont="1" applyFill="1" applyBorder="1" applyAlignment="1">
      <alignment horizontal="center" vertical="center"/>
    </xf>
    <xf numFmtId="174" fontId="126" fillId="9" borderId="4" xfId="0" applyNumberFormat="1" applyFont="1" applyFill="1" applyBorder="1"/>
    <xf numFmtId="0" fontId="126" fillId="9" borderId="11" xfId="0" applyFont="1" applyFill="1" applyBorder="1"/>
    <xf numFmtId="168" fontId="125" fillId="9" borderId="133" xfId="72" applyFont="1" applyFill="1" applyBorder="1" applyAlignment="1">
      <alignment vertical="center"/>
    </xf>
    <xf numFmtId="168" fontId="125" fillId="9" borderId="11" xfId="72" applyFont="1" applyFill="1" applyBorder="1" applyAlignment="1">
      <alignment vertical="center"/>
    </xf>
    <xf numFmtId="174" fontId="126" fillId="9" borderId="4" xfId="72" applyNumberFormat="1" applyFont="1" applyFill="1" applyBorder="1" applyAlignment="1">
      <alignment vertical="center"/>
    </xf>
    <xf numFmtId="0" fontId="119" fillId="9" borderId="4" xfId="0" applyFont="1" applyFill="1" applyBorder="1" applyAlignment="1">
      <alignment horizontal="justify" wrapText="1"/>
    </xf>
    <xf numFmtId="0" fontId="120" fillId="9" borderId="4" xfId="0" applyFont="1" applyFill="1" applyBorder="1" applyAlignment="1">
      <alignment horizontal="justify" wrapText="1"/>
    </xf>
    <xf numFmtId="168" fontId="120" fillId="9" borderId="4" xfId="72" applyFont="1" applyFill="1" applyBorder="1" applyAlignment="1">
      <alignment horizontal="center" vertical="center" wrapText="1"/>
    </xf>
    <xf numFmtId="0" fontId="120" fillId="9" borderId="4" xfId="0" applyFont="1" applyFill="1" applyBorder="1" applyAlignment="1"/>
    <xf numFmtId="0" fontId="120" fillId="9" borderId="4" xfId="0" applyFont="1" applyFill="1" applyBorder="1" applyAlignment="1">
      <alignment wrapText="1"/>
    </xf>
    <xf numFmtId="2" fontId="120" fillId="9" borderId="4" xfId="2679" applyNumberFormat="1" applyFont="1" applyFill="1" applyBorder="1" applyAlignment="1">
      <alignment horizontal="right"/>
    </xf>
    <xf numFmtId="0" fontId="119" fillId="9" borderId="12" xfId="564" applyFont="1" applyFill="1" applyBorder="1" applyAlignment="1"/>
    <xf numFmtId="2" fontId="119" fillId="9" borderId="12" xfId="564" applyNumberFormat="1" applyFont="1" applyFill="1" applyBorder="1" applyAlignment="1"/>
    <xf numFmtId="0" fontId="120" fillId="9" borderId="4" xfId="564" applyFont="1" applyFill="1" applyBorder="1" applyAlignment="1">
      <alignment horizontal="left" wrapText="1"/>
    </xf>
    <xf numFmtId="0" fontId="119" fillId="9" borderId="29" xfId="564" applyFont="1" applyFill="1" applyBorder="1" applyAlignment="1"/>
    <xf numFmtId="2" fontId="119" fillId="9" borderId="29" xfId="564" applyNumberFormat="1" applyFont="1" applyFill="1" applyBorder="1" applyAlignment="1"/>
    <xf numFmtId="0" fontId="119" fillId="9" borderId="11" xfId="564" applyFont="1" applyFill="1" applyBorder="1" applyAlignment="1"/>
    <xf numFmtId="2" fontId="119" fillId="9" borderId="11" xfId="564" applyNumberFormat="1" applyFont="1" applyFill="1" applyBorder="1" applyAlignment="1"/>
    <xf numFmtId="0" fontId="119" fillId="9" borderId="4" xfId="564" applyFont="1" applyFill="1" applyBorder="1" applyAlignment="1"/>
    <xf numFmtId="2" fontId="119" fillId="9" borderId="4" xfId="564" applyNumberFormat="1" applyFont="1" applyFill="1" applyBorder="1" applyAlignment="1"/>
    <xf numFmtId="43" fontId="125" fillId="0" borderId="4" xfId="4202" applyFont="1" applyBorder="1" applyAlignment="1">
      <alignment vertical="center"/>
    </xf>
    <xf numFmtId="168" fontId="119" fillId="9" borderId="29" xfId="72" applyFont="1" applyFill="1" applyBorder="1" applyAlignment="1"/>
    <xf numFmtId="0" fontId="125" fillId="0" borderId="0" xfId="0" applyFont="1" applyAlignment="1"/>
    <xf numFmtId="174" fontId="117" fillId="9" borderId="4" xfId="72" applyNumberFormat="1" applyFont="1" applyFill="1" applyBorder="1" applyAlignment="1">
      <alignment horizontal="right" vertical="center"/>
    </xf>
    <xf numFmtId="43" fontId="117" fillId="0" borderId="4" xfId="0" applyNumberFormat="1" applyFont="1" applyBorder="1" applyAlignment="1">
      <alignment vertical="center" wrapText="1"/>
    </xf>
    <xf numFmtId="2" fontId="123" fillId="0" borderId="0" xfId="0" applyNumberFormat="1" applyFont="1" applyFill="1" applyAlignment="1"/>
    <xf numFmtId="2" fontId="121" fillId="0" borderId="0" xfId="0" applyNumberFormat="1" applyFont="1" applyFill="1" applyBorder="1" applyAlignment="1">
      <alignment horizontal="left"/>
    </xf>
    <xf numFmtId="2" fontId="122" fillId="0" borderId="4" xfId="0" applyNumberFormat="1" applyFont="1" applyFill="1" applyBorder="1" applyAlignment="1">
      <alignment horizontal="center" vertical="center" wrapText="1"/>
    </xf>
    <xf numFmtId="2" fontId="123" fillId="0" borderId="0" xfId="0" applyNumberFormat="1" applyFont="1" applyFill="1" applyAlignment="1">
      <alignment horizontal="center" vertical="center"/>
    </xf>
    <xf numFmtId="0" fontId="123" fillId="0" borderId="0" xfId="0" applyFont="1" applyFill="1" applyAlignment="1">
      <alignment horizontal="center" vertical="center"/>
    </xf>
    <xf numFmtId="2" fontId="123" fillId="0" borderId="4" xfId="0" applyNumberFormat="1" applyFont="1" applyFill="1" applyBorder="1" applyAlignment="1">
      <alignment horizontal="center" wrapText="1"/>
    </xf>
    <xf numFmtId="173" fontId="123" fillId="0" borderId="4" xfId="0" applyNumberFormat="1" applyFont="1" applyFill="1" applyBorder="1" applyAlignment="1" applyProtection="1">
      <alignment horizontal="center" wrapText="1"/>
      <protection locked="0"/>
    </xf>
    <xf numFmtId="2" fontId="123" fillId="0" borderId="133" xfId="0" applyNumberFormat="1" applyFont="1" applyFill="1" applyBorder="1" applyAlignment="1">
      <alignment horizontal="center" wrapText="1"/>
    </xf>
    <xf numFmtId="2" fontId="123" fillId="0" borderId="133" xfId="0" applyNumberFormat="1" applyFont="1" applyFill="1" applyBorder="1" applyAlignment="1"/>
    <xf numFmtId="173" fontId="122" fillId="0" borderId="12" xfId="0" applyNumberFormat="1" applyFont="1" applyFill="1" applyBorder="1" applyAlignment="1" applyProtection="1">
      <alignment horizontal="left" wrapText="1"/>
    </xf>
    <xf numFmtId="2" fontId="123" fillId="0" borderId="12" xfId="0" applyNumberFormat="1" applyFont="1" applyFill="1" applyBorder="1" applyAlignment="1">
      <alignment horizontal="center" wrapText="1"/>
    </xf>
    <xf numFmtId="173" fontId="122" fillId="0" borderId="4" xfId="0" applyNumberFormat="1" applyFont="1" applyFill="1" applyBorder="1" applyAlignment="1">
      <alignment horizontal="center"/>
    </xf>
    <xf numFmtId="173" fontId="122" fillId="0" borderId="29" xfId="0" applyNumberFormat="1" applyFont="1" applyFill="1" applyBorder="1" applyAlignment="1"/>
    <xf numFmtId="2" fontId="122" fillId="0" borderId="29" xfId="0" applyNumberFormat="1" applyFont="1" applyFill="1" applyBorder="1" applyAlignment="1">
      <alignment horizontal="center"/>
    </xf>
    <xf numFmtId="0" fontId="123" fillId="0" borderId="0" xfId="0" applyFont="1" applyFill="1" applyBorder="1" applyAlignment="1">
      <alignment horizontal="center"/>
    </xf>
    <xf numFmtId="2" fontId="122" fillId="0" borderId="0" xfId="564" applyNumberFormat="1" applyFont="1" applyFill="1" applyBorder="1" applyAlignment="1">
      <alignment horizontal="center"/>
    </xf>
    <xf numFmtId="2" fontId="123" fillId="0" borderId="0" xfId="0" applyNumberFormat="1" applyFont="1" applyFill="1" applyBorder="1" applyAlignment="1"/>
    <xf numFmtId="0" fontId="123" fillId="0" borderId="11" xfId="0" applyFont="1" applyFill="1" applyBorder="1" applyAlignment="1">
      <alignment horizontal="center"/>
    </xf>
    <xf numFmtId="0" fontId="123" fillId="0" borderId="11" xfId="0" applyFont="1" applyFill="1" applyBorder="1" applyAlignment="1">
      <alignment wrapText="1"/>
    </xf>
    <xf numFmtId="2" fontId="123" fillId="0" borderId="24" xfId="0" applyNumberFormat="1" applyFont="1" applyFill="1" applyBorder="1" applyAlignment="1"/>
    <xf numFmtId="2" fontId="123" fillId="0" borderId="25" xfId="0" applyNumberFormat="1" applyFont="1" applyFill="1" applyBorder="1" applyAlignment="1"/>
    <xf numFmtId="2" fontId="123" fillId="0" borderId="10" xfId="0" applyNumberFormat="1" applyFont="1" applyFill="1" applyBorder="1" applyAlignment="1"/>
    <xf numFmtId="2" fontId="123" fillId="0" borderId="134" xfId="0" applyNumberFormat="1" applyFont="1" applyFill="1" applyBorder="1" applyAlignment="1"/>
    <xf numFmtId="2" fontId="123" fillId="0" borderId="20" xfId="0" applyNumberFormat="1" applyFont="1" applyFill="1" applyBorder="1" applyAlignment="1"/>
    <xf numFmtId="43" fontId="117" fillId="0" borderId="0" xfId="0" applyNumberFormat="1" applyFont="1"/>
    <xf numFmtId="0" fontId="198" fillId="0" borderId="0" xfId="0" applyFont="1" applyAlignment="1">
      <alignment vertical="center"/>
    </xf>
    <xf numFmtId="43" fontId="117" fillId="0" borderId="0" xfId="0" applyNumberFormat="1" applyFont="1" applyAlignment="1">
      <alignment vertical="center"/>
    </xf>
    <xf numFmtId="0" fontId="114" fillId="0" borderId="4" xfId="0" applyFont="1" applyFill="1" applyBorder="1" applyAlignment="1">
      <alignment horizontal="center" vertical="center" wrapText="1"/>
    </xf>
    <xf numFmtId="0" fontId="117" fillId="0" borderId="4" xfId="0" applyFont="1" applyFill="1" applyBorder="1" applyAlignment="1">
      <alignment horizontal="center" vertical="center"/>
    </xf>
    <xf numFmtId="0" fontId="117" fillId="0" borderId="4" xfId="0" applyFont="1" applyFill="1" applyBorder="1" applyAlignment="1">
      <alignment horizontal="center" vertical="center" wrapText="1"/>
    </xf>
    <xf numFmtId="0" fontId="121" fillId="0" borderId="0" xfId="0" applyFont="1" applyFill="1" applyBorder="1" applyAlignment="1">
      <alignment vertical="center"/>
    </xf>
    <xf numFmtId="0" fontId="117" fillId="0" borderId="0" xfId="0" applyFont="1" applyFill="1" applyAlignment="1">
      <alignment vertical="center"/>
    </xf>
    <xf numFmtId="0" fontId="121" fillId="0" borderId="0" xfId="17" applyFont="1" applyFill="1" applyBorder="1" applyAlignment="1">
      <alignment vertical="center"/>
    </xf>
    <xf numFmtId="0" fontId="122" fillId="0" borderId="0" xfId="17" applyFont="1" applyFill="1" applyBorder="1" applyAlignment="1">
      <alignment horizontal="right" vertical="center"/>
    </xf>
    <xf numFmtId="0" fontId="117" fillId="0" borderId="0" xfId="0" applyFont="1" applyFill="1" applyBorder="1" applyAlignment="1">
      <alignment vertical="center"/>
    </xf>
    <xf numFmtId="0" fontId="117" fillId="0" borderId="4" xfId="0" applyFont="1" applyFill="1" applyBorder="1" applyAlignment="1">
      <alignment vertical="center"/>
    </xf>
    <xf numFmtId="0" fontId="117" fillId="0" borderId="4" xfId="0" applyFont="1" applyFill="1" applyBorder="1" applyAlignment="1">
      <alignment vertical="center" wrapText="1"/>
    </xf>
    <xf numFmtId="0" fontId="117" fillId="0" borderId="0" xfId="0" applyFont="1" applyFill="1" applyBorder="1" applyAlignment="1">
      <alignment vertical="center" wrapText="1"/>
    </xf>
    <xf numFmtId="2" fontId="114" fillId="0" borderId="0" xfId="0" applyNumberFormat="1" applyFont="1" applyFill="1" applyBorder="1" applyAlignment="1">
      <alignment vertical="center"/>
    </xf>
    <xf numFmtId="0" fontId="123" fillId="0" borderId="0" xfId="17" applyFont="1" applyFill="1" applyBorder="1" applyAlignment="1">
      <alignment vertical="center"/>
    </xf>
    <xf numFmtId="0" fontId="122" fillId="0" borderId="0" xfId="564" applyFont="1" applyFill="1" applyBorder="1" applyAlignment="1">
      <alignment horizontal="center" vertical="center" wrapText="1"/>
    </xf>
    <xf numFmtId="49" fontId="122" fillId="0" borderId="0" xfId="0" applyNumberFormat="1" applyFont="1" applyFill="1" applyBorder="1" applyAlignment="1">
      <alignment vertical="center" wrapText="1"/>
    </xf>
    <xf numFmtId="0" fontId="123" fillId="0" borderId="4" xfId="0" applyFont="1" applyFill="1" applyBorder="1" applyAlignment="1">
      <alignment vertical="center"/>
    </xf>
    <xf numFmtId="0" fontId="122" fillId="0" borderId="4" xfId="0" applyFont="1" applyFill="1" applyBorder="1" applyAlignment="1">
      <alignment vertical="center"/>
    </xf>
    <xf numFmtId="178" fontId="122" fillId="0" borderId="0" xfId="0" applyNumberFormat="1" applyFont="1" applyFill="1" applyBorder="1" applyAlignment="1">
      <alignment horizontal="center" vertical="center" wrapText="1"/>
    </xf>
    <xf numFmtId="178" fontId="117" fillId="0" borderId="0" xfId="0" applyNumberFormat="1" applyFont="1" applyFill="1" applyBorder="1" applyAlignment="1">
      <alignment horizontal="center" vertical="center"/>
    </xf>
    <xf numFmtId="0" fontId="117" fillId="0" borderId="11" xfId="0" applyFont="1" applyFill="1" applyBorder="1" applyAlignment="1">
      <alignment vertical="center"/>
    </xf>
    <xf numFmtId="0" fontId="117" fillId="0" borderId="11" xfId="0" applyFont="1" applyFill="1" applyBorder="1" applyAlignment="1">
      <alignment vertical="center" wrapText="1"/>
    </xf>
    <xf numFmtId="0" fontId="117" fillId="0" borderId="19" xfId="0" applyFont="1" applyFill="1" applyBorder="1" applyAlignment="1">
      <alignment vertical="center"/>
    </xf>
    <xf numFmtId="0" fontId="117" fillId="0" borderId="27" xfId="0" applyFont="1" applyFill="1" applyBorder="1" applyAlignment="1">
      <alignment vertical="center"/>
    </xf>
    <xf numFmtId="0" fontId="117" fillId="0" borderId="134" xfId="0" applyFont="1" applyFill="1" applyBorder="1" applyAlignment="1">
      <alignment vertical="center"/>
    </xf>
    <xf numFmtId="0" fontId="117" fillId="0" borderId="20" xfId="0" applyFont="1" applyFill="1" applyBorder="1" applyAlignment="1">
      <alignment vertical="center"/>
    </xf>
    <xf numFmtId="0" fontId="117" fillId="0" borderId="0" xfId="0" applyFont="1" applyFill="1" applyAlignment="1">
      <alignment horizontal="left" vertical="center"/>
    </xf>
    <xf numFmtId="0" fontId="117" fillId="0" borderId="0" xfId="0" applyFont="1" applyFill="1" applyBorder="1" applyAlignment="1">
      <alignment horizontal="center" vertical="center"/>
    </xf>
    <xf numFmtId="2" fontId="117" fillId="0" borderId="4" xfId="0" applyNumberFormat="1" applyFont="1" applyFill="1" applyBorder="1" applyAlignment="1">
      <alignment horizontal="center" vertical="center"/>
    </xf>
    <xf numFmtId="168" fontId="117" fillId="0" borderId="4" xfId="72" applyFont="1" applyFill="1" applyBorder="1" applyAlignment="1">
      <alignment horizontal="center" vertical="center"/>
    </xf>
    <xf numFmtId="2" fontId="117" fillId="0" borderId="0" xfId="0" applyNumberFormat="1" applyFont="1" applyFill="1" applyBorder="1" applyAlignment="1">
      <alignment horizontal="center" vertical="center"/>
    </xf>
    <xf numFmtId="1" fontId="125" fillId="0" borderId="4" xfId="0" applyNumberFormat="1" applyFont="1" applyFill="1" applyBorder="1" applyAlignment="1"/>
    <xf numFmtId="209" fontId="125" fillId="0" borderId="4" xfId="72" applyNumberFormat="1" applyFont="1" applyFill="1" applyBorder="1" applyAlignment="1"/>
    <xf numFmtId="0" fontId="117" fillId="9" borderId="0" xfId="0" applyFont="1" applyFill="1" applyAlignment="1"/>
    <xf numFmtId="49" fontId="122" fillId="9" borderId="4" xfId="0" applyNumberFormat="1" applyFont="1" applyFill="1" applyBorder="1" applyAlignment="1">
      <alignment horizontal="center" vertical="center" wrapText="1"/>
    </xf>
    <xf numFmtId="0" fontId="122" fillId="9" borderId="4" xfId="564" applyFont="1" applyFill="1" applyBorder="1" applyAlignment="1">
      <alignment horizontal="center" vertical="center" wrapText="1"/>
    </xf>
    <xf numFmtId="0" fontId="123" fillId="9" borderId="4" xfId="0" applyFont="1" applyFill="1" applyBorder="1" applyAlignment="1"/>
    <xf numFmtId="0" fontId="122" fillId="9" borderId="4" xfId="0" applyFont="1" applyFill="1" applyBorder="1" applyAlignment="1"/>
    <xf numFmtId="49" fontId="122" fillId="9" borderId="4" xfId="0" applyNumberFormat="1" applyFont="1" applyFill="1" applyBorder="1" applyAlignment="1">
      <alignment wrapText="1"/>
    </xf>
    <xf numFmtId="0" fontId="117" fillId="9" borderId="4" xfId="0" applyFont="1" applyFill="1" applyBorder="1" applyAlignment="1"/>
    <xf numFmtId="0" fontId="123" fillId="9" borderId="4" xfId="0" applyFont="1" applyFill="1" applyBorder="1" applyAlignment="1">
      <alignment wrapText="1"/>
    </xf>
    <xf numFmtId="43" fontId="123" fillId="9" borderId="4" xfId="564" applyNumberFormat="1" applyFont="1" applyFill="1" applyBorder="1" applyAlignment="1">
      <alignment horizontal="center" wrapText="1"/>
    </xf>
    <xf numFmtId="43" fontId="122" fillId="9" borderId="4" xfId="564" applyNumberFormat="1" applyFont="1" applyFill="1" applyBorder="1" applyAlignment="1">
      <alignment horizontal="center" wrapText="1"/>
    </xf>
    <xf numFmtId="0" fontId="113" fillId="9" borderId="140" xfId="0" applyFont="1" applyFill="1" applyBorder="1" applyAlignment="1">
      <alignment horizontal="center" vertical="center" wrapText="1"/>
    </xf>
    <xf numFmtId="0" fontId="113" fillId="9" borderId="137" xfId="0" applyFont="1" applyFill="1" applyBorder="1" applyAlignment="1">
      <alignment horizontal="center"/>
    </xf>
    <xf numFmtId="0" fontId="113" fillId="9" borderId="140" xfId="0" applyFont="1" applyFill="1" applyBorder="1" applyAlignment="1">
      <alignment horizontal="center"/>
    </xf>
    <xf numFmtId="0" fontId="113" fillId="9" borderId="140" xfId="0" applyFont="1" applyFill="1" applyBorder="1" applyAlignment="1">
      <alignment horizontal="center" wrapText="1"/>
    </xf>
    <xf numFmtId="0" fontId="113" fillId="9" borderId="140" xfId="0" applyFont="1" applyFill="1" applyBorder="1" applyAlignment="1">
      <alignment horizontal="center" vertical="top" wrapText="1"/>
    </xf>
    <xf numFmtId="0" fontId="113" fillId="9" borderId="140" xfId="0" applyFont="1" applyFill="1" applyBorder="1"/>
    <xf numFmtId="168" fontId="113" fillId="9" borderId="140" xfId="72" applyFont="1" applyFill="1" applyBorder="1" applyAlignment="1">
      <alignment vertical="center"/>
    </xf>
    <xf numFmtId="168" fontId="113" fillId="9" borderId="140" xfId="72" applyFont="1" applyFill="1" applyBorder="1" applyAlignment="1">
      <alignment vertical="center" wrapText="1"/>
    </xf>
    <xf numFmtId="0" fontId="115" fillId="9" borderId="140" xfId="0" applyFont="1" applyFill="1" applyBorder="1"/>
    <xf numFmtId="2" fontId="120" fillId="0" borderId="0" xfId="564" applyNumberFormat="1" applyFont="1" applyFill="1" applyAlignment="1"/>
    <xf numFmtId="2" fontId="125" fillId="0" borderId="0" xfId="0" applyNumberFormat="1" applyFont="1"/>
    <xf numFmtId="0" fontId="119" fillId="9" borderId="4" xfId="17" applyFont="1" applyFill="1" applyBorder="1" applyAlignment="1">
      <alignment horizontal="center" vertical="center" wrapText="1"/>
    </xf>
    <xf numFmtId="0" fontId="9" fillId="0" borderId="23" xfId="1" applyFont="1" applyBorder="1" applyAlignment="1">
      <alignment horizontal="center"/>
    </xf>
    <xf numFmtId="0" fontId="11" fillId="0" borderId="11" xfId="0" applyFont="1" applyBorder="1" applyAlignment="1">
      <alignment horizontal="center"/>
    </xf>
    <xf numFmtId="0" fontId="13" fillId="0" borderId="14" xfId="1" applyFont="1" applyFill="1" applyBorder="1" applyAlignment="1">
      <alignment horizontal="center"/>
    </xf>
    <xf numFmtId="0" fontId="13" fillId="0" borderId="0" xfId="1" applyFont="1" applyFill="1" applyAlignment="1">
      <alignment horizontal="center"/>
    </xf>
    <xf numFmtId="0" fontId="14" fillId="6" borderId="0" xfId="1" applyFont="1" applyFill="1" applyBorder="1" applyAlignment="1">
      <alignment horizontal="center" vertical="center" wrapText="1"/>
    </xf>
    <xf numFmtId="0" fontId="13" fillId="7" borderId="0" xfId="1" applyFont="1" applyFill="1" applyAlignment="1">
      <alignment horizontal="left"/>
    </xf>
    <xf numFmtId="0" fontId="9" fillId="0" borderId="0" xfId="1" applyFont="1" applyAlignment="1">
      <alignment horizontal="center"/>
    </xf>
    <xf numFmtId="0" fontId="119" fillId="4" borderId="4" xfId="0" applyFont="1" applyFill="1" applyBorder="1" applyAlignment="1">
      <alignment horizontal="left" vertical="center"/>
    </xf>
    <xf numFmtId="0" fontId="119" fillId="4" borderId="4" xfId="0" applyFont="1" applyFill="1" applyBorder="1" applyAlignment="1">
      <alignment horizontal="left" vertical="justify"/>
    </xf>
    <xf numFmtId="0" fontId="119" fillId="4" borderId="30" xfId="0" applyFont="1" applyFill="1" applyBorder="1" applyAlignment="1">
      <alignment horizontal="left" vertical="justify"/>
    </xf>
    <xf numFmtId="0" fontId="119" fillId="4" borderId="2" xfId="0" applyFont="1" applyFill="1" applyBorder="1" applyAlignment="1">
      <alignment horizontal="left" vertical="justify"/>
    </xf>
    <xf numFmtId="0" fontId="119" fillId="4" borderId="31" xfId="0" applyFont="1" applyFill="1" applyBorder="1" applyAlignment="1">
      <alignment horizontal="left" vertical="justify"/>
    </xf>
    <xf numFmtId="0" fontId="118" fillId="5" borderId="0" xfId="0" applyFont="1" applyFill="1" applyBorder="1" applyAlignment="1">
      <alignment horizontal="center" vertical="center" wrapText="1"/>
    </xf>
    <xf numFmtId="0" fontId="128" fillId="0" borderId="0" xfId="0" applyFont="1" applyFill="1" applyBorder="1" applyAlignment="1">
      <alignment vertical="center" wrapText="1"/>
    </xf>
    <xf numFmtId="0" fontId="125" fillId="0" borderId="0" xfId="0" applyFont="1" applyAlignment="1">
      <alignment horizontal="center" vertical="center" wrapText="1"/>
    </xf>
    <xf numFmtId="0" fontId="119" fillId="12" borderId="133" xfId="0" applyFont="1" applyFill="1" applyBorder="1" applyAlignment="1">
      <alignment horizontal="center" vertical="center" wrapText="1"/>
    </xf>
    <xf numFmtId="0" fontId="119" fillId="12" borderId="11" xfId="0" applyFont="1" applyFill="1" applyBorder="1" applyAlignment="1">
      <alignment horizontal="center" vertical="center" wrapText="1"/>
    </xf>
    <xf numFmtId="0" fontId="120" fillId="0" borderId="19" xfId="0" applyFont="1" applyBorder="1" applyAlignment="1">
      <alignment horizontal="center" vertical="center" wrapText="1"/>
    </xf>
    <xf numFmtId="0" fontId="127" fillId="0" borderId="0" xfId="0" applyFont="1" applyBorder="1" applyAlignment="1">
      <alignment horizontal="left" vertical="center" wrapText="1"/>
    </xf>
    <xf numFmtId="0" fontId="127" fillId="0" borderId="19" xfId="0" applyFont="1" applyBorder="1" applyAlignment="1">
      <alignment horizontal="left" vertical="center" wrapText="1"/>
    </xf>
    <xf numFmtId="0" fontId="119" fillId="0" borderId="150" xfId="0" applyFont="1" applyFill="1" applyBorder="1" applyAlignment="1">
      <alignment horizontal="center" vertical="center" wrapText="1"/>
    </xf>
    <xf numFmtId="0" fontId="119" fillId="0" borderId="151" xfId="0" applyFont="1" applyFill="1" applyBorder="1" applyAlignment="1">
      <alignment horizontal="center" vertical="center" wrapText="1"/>
    </xf>
    <xf numFmtId="0" fontId="119" fillId="0" borderId="15" xfId="0" applyFont="1" applyFill="1" applyBorder="1" applyAlignment="1">
      <alignment horizontal="center" vertical="center" wrapText="1"/>
    </xf>
    <xf numFmtId="0" fontId="119" fillId="0" borderId="27" xfId="0" applyFont="1" applyFill="1" applyBorder="1" applyAlignment="1">
      <alignment horizontal="center" vertical="center" wrapText="1"/>
    </xf>
    <xf numFmtId="0" fontId="120" fillId="0" borderId="133" xfId="0" applyFont="1" applyBorder="1" applyAlignment="1">
      <alignment horizontal="center" vertical="center" wrapText="1"/>
    </xf>
    <xf numFmtId="0" fontId="120" fillId="0" borderId="16" xfId="0" applyFont="1" applyBorder="1" applyAlignment="1">
      <alignment horizontal="center" vertical="center" wrapText="1"/>
    </xf>
    <xf numFmtId="0" fontId="120" fillId="0" borderId="11" xfId="0" applyFont="1" applyBorder="1" applyAlignment="1">
      <alignment horizontal="center" vertical="center" wrapText="1"/>
    </xf>
    <xf numFmtId="0" fontId="163" fillId="0" borderId="47" xfId="0" applyFont="1" applyFill="1" applyBorder="1" applyAlignment="1">
      <alignment horizontal="left" vertical="center" wrapText="1"/>
    </xf>
    <xf numFmtId="0" fontId="119" fillId="5" borderId="0" xfId="0" applyFont="1" applyFill="1" applyBorder="1" applyAlignment="1">
      <alignment horizontal="center"/>
    </xf>
    <xf numFmtId="0" fontId="128" fillId="0" borderId="0" xfId="0" applyFont="1" applyFill="1" applyBorder="1" applyAlignment="1">
      <alignment horizontal="left" vertical="center" wrapText="1"/>
    </xf>
    <xf numFmtId="0" fontId="125" fillId="0" borderId="0" xfId="0" applyFont="1" applyAlignment="1">
      <alignment horizontal="center"/>
    </xf>
    <xf numFmtId="0" fontId="119" fillId="0" borderId="4" xfId="0" applyFont="1" applyFill="1" applyBorder="1" applyAlignment="1">
      <alignment horizontal="center" vertical="center" wrapText="1"/>
    </xf>
    <xf numFmtId="0" fontId="120" fillId="0" borderId="19" xfId="0" applyFont="1" applyBorder="1" applyAlignment="1">
      <alignment horizontal="center"/>
    </xf>
    <xf numFmtId="0" fontId="119" fillId="0" borderId="0" xfId="0" applyFont="1" applyFill="1" applyBorder="1" applyAlignment="1">
      <alignment horizontal="center" vertical="center"/>
    </xf>
    <xf numFmtId="0" fontId="119" fillId="0" borderId="19" xfId="0" applyFont="1" applyFill="1" applyBorder="1" applyAlignment="1">
      <alignment horizontal="center" vertical="center"/>
    </xf>
    <xf numFmtId="0" fontId="125" fillId="0" borderId="168" xfId="0" applyFont="1" applyBorder="1" applyAlignment="1">
      <alignment horizontal="center" vertical="center" wrapText="1"/>
    </xf>
    <xf numFmtId="0" fontId="125" fillId="0" borderId="47" xfId="0" applyFont="1" applyBorder="1" applyAlignment="1">
      <alignment horizontal="center" vertical="center" wrapText="1"/>
    </xf>
    <xf numFmtId="0" fontId="125" fillId="0" borderId="169" xfId="0" applyFont="1" applyBorder="1" applyAlignment="1">
      <alignment horizontal="center" vertical="center" wrapText="1"/>
    </xf>
    <xf numFmtId="0" fontId="125" fillId="0" borderId="24" xfId="0" applyFont="1" applyBorder="1" applyAlignment="1">
      <alignment horizontal="center" vertical="center" wrapText="1"/>
    </xf>
    <xf numFmtId="0" fontId="125" fillId="0" borderId="0" xfId="0" applyFont="1" applyBorder="1" applyAlignment="1">
      <alignment horizontal="center" vertical="center" wrapText="1"/>
    </xf>
    <xf numFmtId="0" fontId="125" fillId="0" borderId="25" xfId="0" applyFont="1" applyBorder="1" applyAlignment="1">
      <alignment horizontal="center" vertical="center" wrapText="1"/>
    </xf>
    <xf numFmtId="0" fontId="125" fillId="0" borderId="15" xfId="0" applyFont="1" applyBorder="1" applyAlignment="1">
      <alignment horizontal="center" vertical="center" wrapText="1"/>
    </xf>
    <xf numFmtId="0" fontId="125" fillId="0" borderId="19" xfId="0" applyFont="1" applyBorder="1" applyAlignment="1">
      <alignment horizontal="center" vertical="center" wrapText="1"/>
    </xf>
    <xf numFmtId="0" fontId="125" fillId="0" borderId="27" xfId="0" applyFont="1" applyBorder="1" applyAlignment="1">
      <alignment horizontal="center" vertical="center" wrapText="1"/>
    </xf>
    <xf numFmtId="0" fontId="127" fillId="0" borderId="133" xfId="0" applyFont="1" applyFill="1" applyBorder="1" applyAlignment="1">
      <alignment horizontal="center" vertical="center"/>
    </xf>
    <xf numFmtId="0" fontId="127" fillId="0" borderId="16" xfId="0" applyFont="1" applyFill="1" applyBorder="1" applyAlignment="1">
      <alignment horizontal="center" vertical="center"/>
    </xf>
    <xf numFmtId="0" fontId="127" fillId="0" borderId="11" xfId="0" applyFont="1" applyFill="1" applyBorder="1" applyAlignment="1">
      <alignment horizontal="center" vertical="center"/>
    </xf>
    <xf numFmtId="0" fontId="129" fillId="0" borderId="0" xfId="0" applyFont="1" applyAlignment="1">
      <alignment horizontal="center"/>
    </xf>
    <xf numFmtId="0" fontId="130" fillId="0" borderId="19" xfId="0" applyFont="1" applyBorder="1" applyAlignment="1">
      <alignment horizontal="center"/>
    </xf>
    <xf numFmtId="0" fontId="130" fillId="0" borderId="133" xfId="0" applyFont="1" applyFill="1" applyBorder="1" applyAlignment="1">
      <alignment horizontal="center" vertical="center"/>
    </xf>
    <xf numFmtId="0" fontId="130" fillId="0" borderId="11" xfId="0" applyFont="1" applyFill="1" applyBorder="1" applyAlignment="1">
      <alignment horizontal="center" vertical="center"/>
    </xf>
    <xf numFmtId="0" fontId="127" fillId="2" borderId="133" xfId="0" applyFont="1" applyFill="1" applyBorder="1" applyAlignment="1">
      <alignment horizontal="center" vertical="center"/>
    </xf>
    <xf numFmtId="0" fontId="127" fillId="2" borderId="16" xfId="0" applyFont="1" applyFill="1" applyBorder="1" applyAlignment="1">
      <alignment horizontal="center" vertical="center"/>
    </xf>
    <xf numFmtId="0" fontId="127" fillId="2" borderId="11" xfId="0" applyFont="1" applyFill="1" applyBorder="1" applyAlignment="1">
      <alignment horizontal="center" vertical="center"/>
    </xf>
    <xf numFmtId="0" fontId="127" fillId="0" borderId="150" xfId="0" applyFont="1" applyFill="1" applyBorder="1" applyAlignment="1">
      <alignment horizontal="center" vertical="center" wrapText="1"/>
    </xf>
    <xf numFmtId="0" fontId="127" fillId="0" borderId="47" xfId="0" applyFont="1" applyFill="1" applyBorder="1" applyAlignment="1">
      <alignment horizontal="center" vertical="center" wrapText="1"/>
    </xf>
    <xf numFmtId="0" fontId="127" fillId="0" borderId="151" xfId="0" applyFont="1" applyFill="1" applyBorder="1" applyAlignment="1">
      <alignment horizontal="center" vertical="center" wrapText="1"/>
    </xf>
    <xf numFmtId="0" fontId="127" fillId="0" borderId="15" xfId="0" applyFont="1" applyFill="1" applyBorder="1" applyAlignment="1">
      <alignment horizontal="center" vertical="center" wrapText="1"/>
    </xf>
    <xf numFmtId="0" fontId="127" fillId="0" borderId="19" xfId="0" applyFont="1" applyFill="1" applyBorder="1" applyAlignment="1">
      <alignment horizontal="center" vertical="center" wrapText="1"/>
    </xf>
    <xf numFmtId="0" fontId="127" fillId="0" borderId="27" xfId="0" applyFont="1" applyFill="1" applyBorder="1" applyAlignment="1">
      <alignment horizontal="center" vertical="center" wrapText="1"/>
    </xf>
    <xf numFmtId="0" fontId="130" fillId="0" borderId="168" xfId="0" applyFont="1" applyFill="1" applyBorder="1" applyAlignment="1">
      <alignment horizontal="center" vertical="center" wrapText="1"/>
    </xf>
    <xf numFmtId="0" fontId="130" fillId="0" borderId="47" xfId="0" applyFont="1" applyFill="1" applyBorder="1" applyAlignment="1">
      <alignment horizontal="center" vertical="center" wrapText="1"/>
    </xf>
    <xf numFmtId="0" fontId="130" fillId="0" borderId="169" xfId="0" applyFont="1" applyFill="1" applyBorder="1" applyAlignment="1">
      <alignment horizontal="center" vertical="center" wrapText="1"/>
    </xf>
    <xf numFmtId="0" fontId="130" fillId="0" borderId="24" xfId="0" applyFont="1" applyFill="1" applyBorder="1" applyAlignment="1">
      <alignment horizontal="center" vertical="center" wrapText="1"/>
    </xf>
    <xf numFmtId="0" fontId="130" fillId="0" borderId="0" xfId="0" applyFont="1" applyFill="1" applyBorder="1" applyAlignment="1">
      <alignment horizontal="center" vertical="center" wrapText="1"/>
    </xf>
    <xf numFmtId="0" fontId="130" fillId="0" borderId="25" xfId="0" applyFont="1" applyFill="1" applyBorder="1" applyAlignment="1">
      <alignment horizontal="center" vertical="center" wrapText="1"/>
    </xf>
    <xf numFmtId="0" fontId="130" fillId="0" borderId="15" xfId="0" applyFont="1" applyFill="1" applyBorder="1" applyAlignment="1">
      <alignment horizontal="center" vertical="center" wrapText="1"/>
    </xf>
    <xf numFmtId="0" fontId="130" fillId="0" borderId="19" xfId="0" applyFont="1" applyFill="1" applyBorder="1" applyAlignment="1">
      <alignment horizontal="center" vertical="center" wrapText="1"/>
    </xf>
    <xf numFmtId="0" fontId="130" fillId="0" borderId="27" xfId="0" applyFont="1" applyFill="1" applyBorder="1" applyAlignment="1">
      <alignment horizontal="center" vertical="center" wrapText="1"/>
    </xf>
    <xf numFmtId="0" fontId="125" fillId="0" borderId="10" xfId="0" applyFont="1" applyFill="1" applyBorder="1" applyAlignment="1"/>
    <xf numFmtId="0" fontId="125" fillId="0" borderId="134" xfId="0" applyFont="1" applyFill="1" applyBorder="1" applyAlignment="1"/>
    <xf numFmtId="0" fontId="119" fillId="0" borderId="4" xfId="17" applyFont="1" applyFill="1" applyBorder="1" applyAlignment="1">
      <alignment horizontal="center" vertical="center" wrapText="1"/>
    </xf>
    <xf numFmtId="0" fontId="125" fillId="0" borderId="10" xfId="0" applyFont="1" applyFill="1" applyBorder="1" applyAlignment="1">
      <alignment wrapText="1"/>
    </xf>
    <xf numFmtId="0" fontId="125" fillId="0" borderId="134" xfId="0" applyFont="1" applyFill="1" applyBorder="1" applyAlignment="1">
      <alignment wrapText="1"/>
    </xf>
    <xf numFmtId="0" fontId="125" fillId="0" borderId="20" xfId="0" applyFont="1" applyFill="1" applyBorder="1" applyAlignment="1">
      <alignment wrapText="1"/>
    </xf>
    <xf numFmtId="0" fontId="125" fillId="0" borderId="10" xfId="0" applyFont="1" applyFill="1" applyBorder="1" applyAlignment="1">
      <alignment horizontal="left"/>
    </xf>
    <xf numFmtId="0" fontId="125" fillId="0" borderId="134" xfId="0" applyFont="1" applyFill="1" applyBorder="1" applyAlignment="1">
      <alignment horizontal="left"/>
    </xf>
    <xf numFmtId="0" fontId="119" fillId="0" borderId="133" xfId="17" applyFont="1" applyFill="1" applyBorder="1" applyAlignment="1">
      <alignment horizontal="center" vertical="center"/>
    </xf>
    <xf numFmtId="0" fontId="119" fillId="0" borderId="11" xfId="17" applyFont="1" applyFill="1" applyBorder="1" applyAlignment="1">
      <alignment horizontal="center" vertical="center"/>
    </xf>
    <xf numFmtId="0" fontId="119" fillId="0" borderId="10" xfId="17" applyFont="1" applyFill="1" applyBorder="1" applyAlignment="1">
      <alignment horizontal="center" vertical="center"/>
    </xf>
    <xf numFmtId="0" fontId="119" fillId="0" borderId="20" xfId="17" applyFont="1" applyFill="1" applyBorder="1" applyAlignment="1">
      <alignment horizontal="center" vertical="center"/>
    </xf>
    <xf numFmtId="0" fontId="126" fillId="0" borderId="10" xfId="0" applyFont="1" applyFill="1" applyBorder="1" applyAlignment="1">
      <alignment horizontal="center" vertical="center" wrapText="1"/>
    </xf>
    <xf numFmtId="0" fontId="126" fillId="0" borderId="134" xfId="0" applyFont="1" applyFill="1" applyBorder="1" applyAlignment="1">
      <alignment horizontal="center" vertical="center" wrapText="1"/>
    </xf>
    <xf numFmtId="0" fontId="126" fillId="0" borderId="20" xfId="0" applyFont="1" applyFill="1" applyBorder="1" applyAlignment="1">
      <alignment horizontal="center" vertical="center" wrapText="1"/>
    </xf>
    <xf numFmtId="0" fontId="124" fillId="0" borderId="0" xfId="0" applyFont="1" applyFill="1" applyBorder="1" applyAlignment="1">
      <alignment horizontal="left"/>
    </xf>
    <xf numFmtId="0" fontId="128" fillId="0" borderId="0" xfId="17" applyFont="1" applyFill="1" applyBorder="1" applyAlignment="1"/>
    <xf numFmtId="0" fontId="138" fillId="0" borderId="0" xfId="0" applyFont="1" applyFill="1" applyBorder="1" applyAlignment="1"/>
    <xf numFmtId="0" fontId="120" fillId="0" borderId="133" xfId="17" applyFont="1" applyFill="1" applyBorder="1" applyAlignment="1">
      <alignment horizontal="center" vertical="center"/>
    </xf>
    <xf numFmtId="0" fontId="120" fillId="0" borderId="11" xfId="17" applyFont="1" applyFill="1" applyBorder="1" applyAlignment="1">
      <alignment horizontal="center" vertical="center"/>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24" fillId="0" borderId="19" xfId="0" applyFont="1" applyFill="1" applyBorder="1" applyAlignment="1">
      <alignment horizontal="center"/>
    </xf>
    <xf numFmtId="0" fontId="121" fillId="0" borderId="0" xfId="17" applyFont="1" applyFill="1" applyBorder="1" applyAlignment="1"/>
    <xf numFmtId="0" fontId="132" fillId="0" borderId="0" xfId="0" applyFont="1" applyFill="1" applyBorder="1" applyAlignment="1"/>
    <xf numFmtId="0" fontId="123" fillId="0" borderId="4" xfId="17" applyFont="1" applyFill="1" applyBorder="1" applyAlignment="1">
      <alignment horizontal="center" vertical="center"/>
    </xf>
    <xf numFmtId="0" fontId="122" fillId="0" borderId="4" xfId="17" applyFont="1" applyFill="1" applyBorder="1" applyAlignment="1">
      <alignment horizontal="center" vertical="center" wrapText="1"/>
    </xf>
    <xf numFmtId="0" fontId="126" fillId="0" borderId="0" xfId="0" applyFont="1" applyBorder="1" applyAlignment="1">
      <alignment horizontal="center"/>
    </xf>
    <xf numFmtId="0" fontId="124" fillId="0" borderId="0" xfId="17" applyFont="1" applyFill="1" applyBorder="1" applyAlignment="1">
      <alignment horizontal="left" vertical="center"/>
    </xf>
    <xf numFmtId="0" fontId="119" fillId="0" borderId="19" xfId="17" applyFont="1" applyFill="1" applyBorder="1" applyAlignment="1">
      <alignment horizontal="center"/>
    </xf>
    <xf numFmtId="0" fontId="119" fillId="12" borderId="152" xfId="0" applyFont="1" applyFill="1" applyBorder="1" applyAlignment="1">
      <alignment horizontal="center" vertical="center" wrapText="1"/>
    </xf>
    <xf numFmtId="0" fontId="119" fillId="12" borderId="153" xfId="0" applyFont="1" applyFill="1" applyBorder="1" applyAlignment="1">
      <alignment horizontal="center" vertical="center" wrapText="1"/>
    </xf>
    <xf numFmtId="0" fontId="119" fillId="0" borderId="0" xfId="17" applyFont="1" applyFill="1" applyBorder="1" applyAlignment="1">
      <alignment horizontal="center" vertical="center" wrapText="1"/>
    </xf>
    <xf numFmtId="0" fontId="120" fillId="0" borderId="4" xfId="17" applyFont="1" applyFill="1" applyBorder="1" applyAlignment="1">
      <alignment horizontal="center" vertical="center"/>
    </xf>
    <xf numFmtId="168" fontId="125" fillId="0" borderId="133" xfId="72" applyFont="1" applyFill="1" applyBorder="1" applyAlignment="1">
      <alignment horizontal="center" vertical="center"/>
    </xf>
    <xf numFmtId="168" fontId="125" fillId="0" borderId="16" xfId="72" applyFont="1" applyFill="1" applyBorder="1" applyAlignment="1">
      <alignment horizontal="center" vertical="center"/>
    </xf>
    <xf numFmtId="0" fontId="125" fillId="9" borderId="4" xfId="0" applyFont="1" applyFill="1" applyBorder="1" applyAlignment="1">
      <alignment horizontal="left" vertical="center"/>
    </xf>
    <xf numFmtId="0" fontId="126" fillId="9" borderId="4" xfId="0" applyFont="1" applyFill="1" applyBorder="1" applyAlignment="1">
      <alignment horizontal="left" vertical="center"/>
    </xf>
    <xf numFmtId="0" fontId="126" fillId="9" borderId="4" xfId="0" applyFont="1" applyFill="1" applyBorder="1" applyAlignment="1">
      <alignment horizontal="left" vertical="center" wrapText="1"/>
    </xf>
    <xf numFmtId="0" fontId="126" fillId="0" borderId="4" xfId="0" applyFont="1" applyBorder="1" applyAlignment="1">
      <alignment horizontal="left" vertical="center"/>
    </xf>
    <xf numFmtId="0" fontId="126" fillId="9" borderId="4" xfId="0" applyFont="1" applyFill="1" applyBorder="1" applyAlignment="1">
      <alignment horizontal="center"/>
    </xf>
    <xf numFmtId="0" fontId="126" fillId="9" borderId="10" xfId="0" applyFont="1" applyFill="1" applyBorder="1" applyAlignment="1">
      <alignment horizontal="center"/>
    </xf>
    <xf numFmtId="0" fontId="126" fillId="9" borderId="134" xfId="0" applyFont="1" applyFill="1" applyBorder="1" applyAlignment="1">
      <alignment horizontal="center"/>
    </xf>
    <xf numFmtId="0" fontId="126" fillId="9" borderId="20" xfId="0" applyFont="1" applyFill="1" applyBorder="1" applyAlignment="1">
      <alignment horizontal="center"/>
    </xf>
    <xf numFmtId="0" fontId="126" fillId="0" borderId="4" xfId="0" applyFont="1" applyBorder="1" applyAlignment="1">
      <alignment horizontal="center"/>
    </xf>
    <xf numFmtId="0" fontId="126" fillId="0" borderId="4" xfId="0" applyFont="1" applyBorder="1" applyAlignment="1">
      <alignment horizontal="left" vertical="center" wrapText="1"/>
    </xf>
    <xf numFmtId="0" fontId="126" fillId="9" borderId="11" xfId="0" applyFont="1" applyFill="1" applyBorder="1" applyAlignment="1">
      <alignment horizontal="left" vertical="center"/>
    </xf>
    <xf numFmtId="0" fontId="126" fillId="9" borderId="133" xfId="0" applyFont="1" applyFill="1" applyBorder="1" applyAlignment="1">
      <alignment horizontal="left" vertical="center"/>
    </xf>
    <xf numFmtId="0" fontId="126" fillId="0" borderId="0" xfId="0" applyFont="1" applyBorder="1" applyAlignment="1">
      <alignment horizontal="left"/>
    </xf>
    <xf numFmtId="0" fontId="165" fillId="0" borderId="0" xfId="0" applyFont="1" applyBorder="1" applyAlignment="1">
      <alignment horizontal="left"/>
    </xf>
    <xf numFmtId="0" fontId="126" fillId="0" borderId="11" xfId="0" applyFont="1" applyBorder="1" applyAlignment="1">
      <alignment horizontal="center" vertical="center"/>
    </xf>
    <xf numFmtId="0" fontId="126" fillId="0" borderId="4" xfId="0" applyFont="1" applyBorder="1" applyAlignment="1">
      <alignment horizontal="center" vertical="center"/>
    </xf>
    <xf numFmtId="0" fontId="126" fillId="0" borderId="11" xfId="0" applyFont="1" applyBorder="1" applyAlignment="1">
      <alignment horizontal="center"/>
    </xf>
    <xf numFmtId="0" fontId="126" fillId="9" borderId="11" xfId="0" applyFont="1" applyFill="1" applyBorder="1" applyAlignment="1">
      <alignment horizontal="center"/>
    </xf>
    <xf numFmtId="0" fontId="126" fillId="9" borderId="11" xfId="0" applyFont="1" applyFill="1" applyBorder="1" applyAlignment="1">
      <alignment horizontal="center" vertical="center"/>
    </xf>
    <xf numFmtId="0" fontId="126" fillId="9" borderId="4" xfId="0" applyFont="1" applyFill="1" applyBorder="1" applyAlignment="1">
      <alignment horizontal="center" vertical="center"/>
    </xf>
    <xf numFmtId="0" fontId="119" fillId="9" borderId="10" xfId="17" applyFont="1" applyFill="1" applyBorder="1" applyAlignment="1">
      <alignment horizontal="center" vertical="center"/>
    </xf>
    <xf numFmtId="0" fontId="119" fillId="9" borderId="20" xfId="17" applyFont="1" applyFill="1" applyBorder="1" applyAlignment="1">
      <alignment horizontal="center" vertical="center"/>
    </xf>
    <xf numFmtId="0" fontId="126" fillId="9" borderId="10" xfId="0" applyFont="1" applyFill="1" applyBorder="1" applyAlignment="1">
      <alignment horizontal="center" vertical="center" wrapText="1"/>
    </xf>
    <xf numFmtId="0" fontId="126" fillId="9" borderId="134" xfId="0" applyFont="1" applyFill="1" applyBorder="1" applyAlignment="1">
      <alignment horizontal="center" vertical="center" wrapText="1"/>
    </xf>
    <xf numFmtId="0" fontId="126" fillId="9" borderId="20" xfId="0" applyFont="1" applyFill="1" applyBorder="1" applyAlignment="1">
      <alignment horizontal="center" vertical="center" wrapText="1"/>
    </xf>
    <xf numFmtId="0" fontId="119" fillId="9" borderId="4" xfId="17" applyFont="1" applyFill="1" applyBorder="1" applyAlignment="1">
      <alignment horizontal="center" vertical="center" wrapText="1"/>
    </xf>
    <xf numFmtId="0" fontId="125" fillId="0" borderId="4" xfId="0" applyFont="1" applyBorder="1" applyAlignment="1">
      <alignment horizontal="left" vertical="center"/>
    </xf>
    <xf numFmtId="0" fontId="120" fillId="0" borderId="4" xfId="564" applyFont="1" applyFill="1" applyBorder="1" applyAlignment="1">
      <alignment horizontal="center" wrapText="1"/>
    </xf>
    <xf numFmtId="0" fontId="120" fillId="0" borderId="4" xfId="564" applyFont="1" applyFill="1" applyBorder="1" applyAlignment="1">
      <alignment horizontal="center"/>
    </xf>
    <xf numFmtId="0" fontId="127" fillId="0" borderId="0" xfId="17" applyFont="1" applyFill="1" applyBorder="1" applyAlignment="1">
      <alignment vertical="center"/>
    </xf>
    <xf numFmtId="0" fontId="130" fillId="0" borderId="0" xfId="0" applyFont="1" applyFill="1" applyBorder="1" applyAlignment="1">
      <alignment vertical="center"/>
    </xf>
    <xf numFmtId="0" fontId="120" fillId="0" borderId="4" xfId="564" applyFont="1" applyFill="1" applyBorder="1" applyAlignment="1">
      <alignment horizontal="center" vertical="center" wrapText="1"/>
    </xf>
    <xf numFmtId="0" fontId="119" fillId="0" borderId="10" xfId="17" applyFont="1" applyFill="1" applyBorder="1" applyAlignment="1">
      <alignment horizontal="center" vertical="center" wrapText="1"/>
    </xf>
    <xf numFmtId="0" fontId="119" fillId="0" borderId="20" xfId="17" applyFont="1" applyFill="1" applyBorder="1" applyAlignment="1">
      <alignment horizontal="center" vertical="center" wrapText="1"/>
    </xf>
    <xf numFmtId="0" fontId="120" fillId="0" borderId="19" xfId="17" applyFont="1" applyFill="1" applyBorder="1" applyAlignment="1">
      <alignment horizontal="center"/>
    </xf>
    <xf numFmtId="0" fontId="119" fillId="0" borderId="19" xfId="17" applyFont="1" applyFill="1" applyBorder="1" applyAlignment="1">
      <alignment horizontal="left" vertical="center"/>
    </xf>
    <xf numFmtId="0" fontId="119" fillId="0" borderId="0" xfId="564" applyFont="1" applyFill="1" applyBorder="1" applyAlignment="1">
      <alignment horizontal="left" vertical="center"/>
    </xf>
    <xf numFmtId="0" fontId="10" fillId="0" borderId="4" xfId="0" applyFont="1" applyFill="1" applyBorder="1" applyAlignment="1">
      <alignment horizontal="center" vertical="center" wrapText="1"/>
    </xf>
    <xf numFmtId="0" fontId="126" fillId="0" borderId="0" xfId="0" applyFont="1" applyFill="1" applyAlignment="1">
      <alignment horizontal="center" vertical="center"/>
    </xf>
    <xf numFmtId="0" fontId="126" fillId="0" borderId="0" xfId="0" applyFont="1" applyFill="1" applyAlignment="1">
      <alignment horizontal="left" vertical="center"/>
    </xf>
    <xf numFmtId="0" fontId="126" fillId="0" borderId="19" xfId="0" applyFont="1" applyFill="1" applyBorder="1" applyAlignment="1">
      <alignment horizontal="left" vertical="center"/>
    </xf>
    <xf numFmtId="0" fontId="126" fillId="0" borderId="0" xfId="0" applyFont="1" applyFill="1" applyBorder="1" applyAlignment="1">
      <alignment horizontal="left" vertical="center"/>
    </xf>
    <xf numFmtId="0" fontId="126" fillId="0" borderId="133" xfId="0" applyFont="1" applyFill="1" applyBorder="1" applyAlignment="1">
      <alignment horizontal="center" vertical="center"/>
    </xf>
    <xf numFmtId="0" fontId="126" fillId="0" borderId="16" xfId="0" applyFont="1" applyFill="1" applyBorder="1" applyAlignment="1">
      <alignment horizontal="center" vertical="center"/>
    </xf>
    <xf numFmtId="0" fontId="126" fillId="0" borderId="11" xfId="0" applyFont="1" applyFill="1" applyBorder="1" applyAlignment="1">
      <alignment horizontal="center" vertical="center"/>
    </xf>
    <xf numFmtId="0" fontId="126" fillId="0" borderId="133" xfId="0" applyFont="1" applyFill="1" applyBorder="1" applyAlignment="1">
      <alignment horizontal="left" vertical="center" wrapText="1"/>
    </xf>
    <xf numFmtId="0" fontId="126" fillId="0" borderId="16" xfId="0" applyFont="1" applyFill="1" applyBorder="1" applyAlignment="1">
      <alignment horizontal="left" vertical="center" wrapText="1"/>
    </xf>
    <xf numFmtId="0" fontId="126" fillId="0" borderId="11" xfId="0" applyFont="1" applyFill="1" applyBorder="1" applyAlignment="1">
      <alignment horizontal="left" vertical="center" wrapText="1"/>
    </xf>
    <xf numFmtId="0" fontId="126" fillId="0" borderId="133" xfId="0" applyFont="1" applyFill="1" applyBorder="1" applyAlignment="1">
      <alignment horizontal="center" vertical="center" wrapText="1"/>
    </xf>
    <xf numFmtId="0" fontId="126" fillId="0" borderId="16" xfId="0" applyFont="1" applyFill="1" applyBorder="1" applyAlignment="1">
      <alignment horizontal="center" vertical="center" wrapText="1"/>
    </xf>
    <xf numFmtId="0" fontId="126" fillId="0" borderId="11" xfId="0" applyFont="1" applyFill="1" applyBorder="1" applyAlignment="1">
      <alignment horizontal="center" vertical="center" wrapText="1"/>
    </xf>
    <xf numFmtId="0" fontId="117" fillId="0" borderId="144" xfId="0" applyFont="1" applyBorder="1" applyAlignment="1">
      <alignment wrapText="1"/>
    </xf>
    <xf numFmtId="0" fontId="117" fillId="0" borderId="135" xfId="0" applyFont="1" applyBorder="1" applyAlignment="1">
      <alignment horizontal="center" vertical="center" wrapText="1"/>
    </xf>
    <xf numFmtId="0" fontId="117" fillId="0" borderId="136" xfId="0" applyFont="1" applyBorder="1" applyAlignment="1">
      <alignment horizontal="center" vertical="center" wrapText="1"/>
    </xf>
    <xf numFmtId="0" fontId="117" fillId="0" borderId="137" xfId="0" applyFont="1" applyBorder="1" applyAlignment="1">
      <alignment horizontal="center" vertical="center" wrapText="1"/>
    </xf>
    <xf numFmtId="0" fontId="117" fillId="0" borderId="141" xfId="0" applyFont="1" applyBorder="1" applyAlignment="1">
      <alignment horizontal="center" vertical="center" wrapText="1"/>
    </xf>
    <xf numFmtId="0" fontId="117" fillId="0" borderId="138" xfId="0" applyFont="1" applyBorder="1" applyAlignment="1">
      <alignment horizontal="center" vertical="center" wrapText="1"/>
    </xf>
    <xf numFmtId="0" fontId="117" fillId="0" borderId="14" xfId="0" applyFont="1" applyBorder="1" applyAlignment="1">
      <alignment horizontal="center" vertical="center" wrapText="1"/>
    </xf>
    <xf numFmtId="0" fontId="117" fillId="0" borderId="140" xfId="0" applyFont="1" applyBorder="1" applyAlignment="1">
      <alignment horizontal="center" vertical="center" wrapText="1"/>
    </xf>
    <xf numFmtId="0" fontId="117" fillId="0" borderId="143" xfId="0" applyFont="1" applyBorder="1" applyAlignment="1">
      <alignment horizontal="center" vertical="center" wrapText="1"/>
    </xf>
    <xf numFmtId="0" fontId="117" fillId="0" borderId="142" xfId="0" applyFont="1" applyBorder="1" applyAlignment="1">
      <alignment horizontal="center" vertical="center" wrapText="1"/>
    </xf>
    <xf numFmtId="0" fontId="117" fillId="0" borderId="144" xfId="0" applyFont="1" applyBorder="1" applyAlignment="1">
      <alignment horizontal="center" vertical="center" wrapText="1"/>
    </xf>
    <xf numFmtId="0" fontId="117" fillId="0" borderId="0" xfId="0" applyFont="1" applyBorder="1" applyAlignment="1">
      <alignment horizontal="center" vertical="center" wrapText="1"/>
    </xf>
    <xf numFmtId="0" fontId="117" fillId="0" borderId="139" xfId="0" applyFont="1" applyBorder="1" applyAlignment="1">
      <alignment horizontal="center" vertical="center" wrapText="1"/>
    </xf>
    <xf numFmtId="0" fontId="117" fillId="0" borderId="168" xfId="0" applyFont="1" applyBorder="1" applyAlignment="1">
      <alignment horizontal="center" vertical="center" wrapText="1"/>
    </xf>
    <xf numFmtId="0" fontId="117" fillId="0" borderId="47" xfId="0" applyFont="1" applyBorder="1" applyAlignment="1">
      <alignment horizontal="center" vertical="center" wrapText="1"/>
    </xf>
    <xf numFmtId="0" fontId="117" fillId="0" borderId="169" xfId="0" applyFont="1" applyBorder="1" applyAlignment="1">
      <alignment horizontal="center" vertical="center" wrapText="1"/>
    </xf>
    <xf numFmtId="0" fontId="117" fillId="0" borderId="15" xfId="0" applyFont="1" applyBorder="1" applyAlignment="1">
      <alignment horizontal="center" vertical="center" wrapText="1"/>
    </xf>
    <xf numFmtId="0" fontId="117" fillId="0" borderId="19" xfId="0" applyFont="1" applyBorder="1" applyAlignment="1">
      <alignment horizontal="center" vertical="center" wrapText="1"/>
    </xf>
    <xf numFmtId="0" fontId="117" fillId="0" borderId="27" xfId="0" applyFont="1" applyBorder="1" applyAlignment="1">
      <alignment horizontal="center" vertical="center" wrapText="1"/>
    </xf>
    <xf numFmtId="0" fontId="114" fillId="0" borderId="0" xfId="0" applyFont="1" applyAlignment="1">
      <alignment horizontal="right"/>
    </xf>
    <xf numFmtId="0" fontId="131" fillId="0" borderId="14" xfId="0" applyFont="1" applyBorder="1" applyAlignment="1">
      <alignment horizontal="left"/>
    </xf>
    <xf numFmtId="0" fontId="117" fillId="0" borderId="14" xfId="0" applyFont="1" applyBorder="1" applyAlignment="1">
      <alignment horizontal="center" vertical="center"/>
    </xf>
    <xf numFmtId="0" fontId="117" fillId="0" borderId="0" xfId="0" applyFont="1" applyAlignment="1">
      <alignment horizontal="left" wrapText="1"/>
    </xf>
    <xf numFmtId="0" fontId="131" fillId="0" borderId="19" xfId="0" applyFont="1" applyBorder="1" applyAlignment="1">
      <alignment horizontal="left"/>
    </xf>
    <xf numFmtId="0" fontId="123" fillId="0" borderId="47" xfId="56" applyFont="1" applyFill="1" applyBorder="1" applyAlignment="1">
      <alignment horizontal="left" wrapText="1"/>
    </xf>
    <xf numFmtId="0" fontId="128" fillId="0" borderId="0" xfId="0" applyFont="1" applyFill="1" applyBorder="1" applyAlignment="1">
      <alignment horizontal="left"/>
    </xf>
    <xf numFmtId="0" fontId="117" fillId="0" borderId="19" xfId="0" applyFont="1" applyBorder="1" applyAlignment="1">
      <alignment horizontal="center"/>
    </xf>
    <xf numFmtId="0" fontId="122" fillId="0" borderId="0" xfId="17" applyFont="1" applyFill="1" applyBorder="1" applyAlignment="1">
      <alignment horizontal="center"/>
    </xf>
    <xf numFmtId="0" fontId="122" fillId="0" borderId="133"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22" fillId="9" borderId="4" xfId="17" applyFont="1" applyFill="1" applyBorder="1" applyAlignment="1">
      <alignment horizontal="center" vertical="center" wrapText="1"/>
    </xf>
    <xf numFmtId="0" fontId="122" fillId="0" borderId="0" xfId="17" applyFont="1" applyFill="1" applyBorder="1" applyAlignment="1">
      <alignment horizontal="center" vertical="center" wrapText="1"/>
    </xf>
    <xf numFmtId="0" fontId="122" fillId="0" borderId="19" xfId="17" applyFont="1" applyFill="1" applyBorder="1" applyAlignment="1">
      <alignment horizontal="center" vertical="center" wrapText="1"/>
    </xf>
    <xf numFmtId="0" fontId="114" fillId="0" borderId="10" xfId="0" applyFont="1" applyBorder="1" applyAlignment="1">
      <alignment horizontal="center" vertical="center" wrapText="1"/>
    </xf>
    <xf numFmtId="0" fontId="114" fillId="0" borderId="20" xfId="0" applyFont="1" applyBorder="1" applyAlignment="1">
      <alignment horizontal="center" vertical="center" wrapText="1"/>
    </xf>
    <xf numFmtId="0" fontId="123" fillId="0" borderId="0" xfId="56" applyFont="1" applyAlignment="1">
      <alignment horizontal="left" wrapText="1"/>
    </xf>
    <xf numFmtId="0" fontId="114" fillId="0" borderId="0" xfId="0" applyFont="1" applyAlignment="1">
      <alignment horizontal="left" vertical="center" wrapText="1"/>
    </xf>
    <xf numFmtId="0" fontId="122" fillId="0" borderId="4" xfId="0" applyFont="1" applyFill="1" applyBorder="1" applyAlignment="1">
      <alignment horizontal="center" vertical="center" wrapText="1"/>
    </xf>
    <xf numFmtId="0" fontId="122" fillId="5" borderId="0" xfId="17" applyFont="1" applyFill="1" applyBorder="1" applyAlignment="1">
      <alignment horizontal="right"/>
    </xf>
    <xf numFmtId="0" fontId="122" fillId="0" borderId="10" xfId="0" applyFont="1" applyBorder="1" applyAlignment="1">
      <alignment horizontal="justify" vertical="center" wrapText="1"/>
    </xf>
    <xf numFmtId="0" fontId="122" fillId="0" borderId="134" xfId="0" applyFont="1" applyBorder="1" applyAlignment="1">
      <alignment horizontal="justify" vertical="center" wrapText="1"/>
    </xf>
    <xf numFmtId="0" fontId="122" fillId="0" borderId="20" xfId="0" applyFont="1" applyBorder="1" applyAlignment="1">
      <alignment horizontal="justify" vertical="center" wrapText="1"/>
    </xf>
    <xf numFmtId="0" fontId="122" fillId="0" borderId="154" xfId="0" applyFont="1" applyBorder="1" applyAlignment="1">
      <alignment horizontal="justify" vertical="center" wrapText="1"/>
    </xf>
    <xf numFmtId="0" fontId="122" fillId="0" borderId="155" xfId="0" applyFont="1" applyBorder="1" applyAlignment="1">
      <alignment horizontal="justify" vertical="center" wrapText="1"/>
    </xf>
    <xf numFmtId="0" fontId="122" fillId="0" borderId="156" xfId="0" applyFont="1" applyBorder="1" applyAlignment="1">
      <alignment horizontal="justify" vertical="center" wrapText="1"/>
    </xf>
    <xf numFmtId="0" fontId="121" fillId="0" borderId="10" xfId="0" applyFont="1" applyBorder="1" applyAlignment="1">
      <alignment horizontal="justify" vertical="center" wrapText="1"/>
    </xf>
    <xf numFmtId="0" fontId="121" fillId="0" borderId="134" xfId="0" applyFont="1" applyBorder="1" applyAlignment="1">
      <alignment horizontal="justify" vertical="center" wrapText="1"/>
    </xf>
    <xf numFmtId="0" fontId="121" fillId="0" borderId="20" xfId="0" applyFont="1" applyBorder="1" applyAlignment="1">
      <alignment horizontal="justify" vertical="center" wrapText="1"/>
    </xf>
    <xf numFmtId="0" fontId="122" fillId="0" borderId="13" xfId="0" applyFont="1" applyBorder="1" applyAlignment="1">
      <alignment horizontal="justify" vertical="center" wrapText="1"/>
    </xf>
    <xf numFmtId="0" fontId="122" fillId="0" borderId="157" xfId="0" applyFont="1" applyBorder="1" applyAlignment="1">
      <alignment horizontal="justify" vertical="center" wrapText="1"/>
    </xf>
    <xf numFmtId="0" fontId="122" fillId="0" borderId="158" xfId="0" applyFont="1" applyBorder="1" applyAlignment="1">
      <alignment horizontal="justify" vertical="center" wrapText="1"/>
    </xf>
    <xf numFmtId="0" fontId="123" fillId="0" borderId="168" xfId="0" applyFont="1" applyBorder="1" applyAlignment="1">
      <alignment horizontal="center" vertical="center" wrapText="1"/>
    </xf>
    <xf numFmtId="0" fontId="123" fillId="0" borderId="47" xfId="0" applyFont="1" applyBorder="1" applyAlignment="1">
      <alignment horizontal="center" vertical="center" wrapText="1"/>
    </xf>
    <xf numFmtId="0" fontId="123" fillId="0" borderId="169" xfId="0" applyFont="1" applyBorder="1" applyAlignment="1">
      <alignment horizontal="center" vertical="center" wrapText="1"/>
    </xf>
    <xf numFmtId="0" fontId="123" fillId="0" borderId="15" xfId="0" applyFont="1" applyBorder="1" applyAlignment="1">
      <alignment horizontal="center" vertical="center" wrapText="1"/>
    </xf>
    <xf numFmtId="0" fontId="123" fillId="0" borderId="19" xfId="0" applyFont="1" applyBorder="1" applyAlignment="1">
      <alignment horizontal="center" vertical="center" wrapText="1"/>
    </xf>
    <xf numFmtId="0" fontId="123" fillId="0" borderId="27" xfId="0" applyFont="1" applyBorder="1" applyAlignment="1">
      <alignment horizontal="center" vertical="center" wrapText="1"/>
    </xf>
    <xf numFmtId="0" fontId="123" fillId="0" borderId="24" xfId="0" applyFont="1" applyBorder="1" applyAlignment="1">
      <alignment horizontal="center" vertical="center" wrapText="1"/>
    </xf>
    <xf numFmtId="0" fontId="123" fillId="0" borderId="0" xfId="0" applyFont="1" applyBorder="1" applyAlignment="1">
      <alignment horizontal="center" vertical="center" wrapText="1"/>
    </xf>
    <xf numFmtId="0" fontId="123" fillId="0" borderId="25" xfId="0" applyFont="1" applyBorder="1" applyAlignment="1">
      <alignment horizontal="center" vertical="center" wrapText="1"/>
    </xf>
    <xf numFmtId="0" fontId="117" fillId="13" borderId="10" xfId="0" applyFont="1" applyFill="1" applyBorder="1" applyAlignment="1"/>
    <xf numFmtId="0" fontId="117" fillId="13" borderId="134" xfId="0" applyFont="1" applyFill="1" applyBorder="1" applyAlignment="1"/>
    <xf numFmtId="0" fontId="117" fillId="0" borderId="3" xfId="0" applyFont="1" applyBorder="1" applyAlignment="1"/>
    <xf numFmtId="0" fontId="117" fillId="0" borderId="20" xfId="0" applyFont="1" applyBorder="1" applyAlignment="1"/>
    <xf numFmtId="0" fontId="117" fillId="0" borderId="0" xfId="0" applyFont="1" applyAlignment="1">
      <alignment horizontal="center"/>
    </xf>
    <xf numFmtId="0" fontId="117" fillId="13" borderId="10" xfId="0" applyFont="1" applyFill="1" applyBorder="1" applyAlignment="1">
      <alignment horizontal="left"/>
    </xf>
    <xf numFmtId="0" fontId="117" fillId="13" borderId="134" xfId="0" applyFont="1" applyFill="1" applyBorder="1" applyAlignment="1">
      <alignment horizontal="left"/>
    </xf>
    <xf numFmtId="0" fontId="117" fillId="0" borderId="3" xfId="0" applyFont="1" applyBorder="1" applyAlignment="1">
      <alignment horizontal="left"/>
    </xf>
    <xf numFmtId="0" fontId="117" fillId="0" borderId="20" xfId="0" applyFont="1" applyBorder="1" applyAlignment="1">
      <alignment horizontal="left"/>
    </xf>
    <xf numFmtId="2" fontId="0" fillId="0" borderId="4" xfId="0" applyNumberFormat="1" applyFill="1" applyBorder="1" applyAlignment="1">
      <alignment horizontal="center" vertical="center" wrapText="1"/>
    </xf>
    <xf numFmtId="43" fontId="0" fillId="0" borderId="4" xfId="4201" applyFont="1" applyFill="1" applyBorder="1" applyAlignment="1">
      <alignment horizontal="center" vertical="center" wrapText="1"/>
    </xf>
    <xf numFmtId="0" fontId="0" fillId="0" borderId="4" xfId="0" applyFill="1" applyBorder="1" applyAlignment="1">
      <alignment horizontal="center" vertical="center" wrapText="1"/>
    </xf>
    <xf numFmtId="43" fontId="0" fillId="0" borderId="4" xfId="0" applyNumberFormat="1" applyFill="1" applyBorder="1" applyAlignment="1">
      <alignment horizontal="center" vertical="center" wrapText="1"/>
    </xf>
    <xf numFmtId="212" fontId="0" fillId="0" borderId="4" xfId="0" applyNumberFormat="1" applyFill="1" applyBorder="1" applyAlignment="1">
      <alignment horizontal="center" vertical="center" wrapText="1"/>
    </xf>
    <xf numFmtId="0" fontId="123" fillId="0" borderId="19" xfId="17" applyFont="1" applyFill="1" applyBorder="1" applyAlignment="1">
      <alignment horizontal="center"/>
    </xf>
    <xf numFmtId="0" fontId="122" fillId="5" borderId="0" xfId="17" applyFont="1" applyFill="1" applyBorder="1" applyAlignment="1">
      <alignment horizontal="center"/>
    </xf>
    <xf numFmtId="0" fontId="117" fillId="0" borderId="0" xfId="0" applyFont="1" applyAlignment="1"/>
    <xf numFmtId="0" fontId="121" fillId="5" borderId="0" xfId="17" applyFont="1" applyFill="1" applyBorder="1" applyAlignment="1">
      <alignment horizontal="left"/>
    </xf>
    <xf numFmtId="0" fontId="132" fillId="0" borderId="0" xfId="0" applyFont="1" applyBorder="1" applyAlignment="1">
      <alignment horizontal="left"/>
    </xf>
    <xf numFmtId="0" fontId="123" fillId="0" borderId="0" xfId="13" applyFont="1" applyBorder="1" applyAlignment="1">
      <alignment horizontal="justify" wrapText="1"/>
    </xf>
    <xf numFmtId="0" fontId="123" fillId="0" borderId="0" xfId="13" applyFont="1" applyAlignment="1">
      <alignment wrapText="1"/>
    </xf>
    <xf numFmtId="0" fontId="123" fillId="0" borderId="0" xfId="13" quotePrefix="1" applyFont="1" applyBorder="1" applyAlignment="1">
      <alignment horizontal="justify"/>
    </xf>
    <xf numFmtId="0" fontId="123" fillId="0" borderId="0" xfId="13" applyFont="1" applyAlignment="1">
      <alignment horizontal="justify"/>
    </xf>
    <xf numFmtId="0" fontId="122" fillId="0" borderId="0" xfId="13" applyFont="1" applyBorder="1" applyAlignment="1">
      <alignment horizontal="left" vertical="center"/>
    </xf>
    <xf numFmtId="0" fontId="123" fillId="0" borderId="168" xfId="13" applyFont="1" applyBorder="1" applyAlignment="1">
      <alignment horizontal="center" vertical="center" wrapText="1"/>
    </xf>
    <xf numFmtId="0" fontId="123" fillId="0" borderId="47" xfId="13" applyFont="1" applyBorder="1" applyAlignment="1">
      <alignment horizontal="center" vertical="center" wrapText="1"/>
    </xf>
    <xf numFmtId="0" fontId="123" fillId="0" borderId="169" xfId="13" applyFont="1" applyBorder="1" applyAlignment="1">
      <alignment horizontal="center" vertical="center" wrapText="1"/>
    </xf>
    <xf numFmtId="0" fontId="123" fillId="0" borderId="24" xfId="13" applyFont="1" applyBorder="1" applyAlignment="1">
      <alignment horizontal="center" vertical="center" wrapText="1"/>
    </xf>
    <xf numFmtId="0" fontId="123" fillId="0" borderId="0" xfId="13" applyFont="1" applyBorder="1" applyAlignment="1">
      <alignment horizontal="center" vertical="center" wrapText="1"/>
    </xf>
    <xf numFmtId="0" fontId="123" fillId="0" borderId="25" xfId="13" applyFont="1" applyBorder="1" applyAlignment="1">
      <alignment horizontal="center" vertical="center" wrapText="1"/>
    </xf>
    <xf numFmtId="0" fontId="123" fillId="0" borderId="15" xfId="13" applyFont="1" applyBorder="1" applyAlignment="1">
      <alignment horizontal="center" vertical="center" wrapText="1"/>
    </xf>
    <xf numFmtId="0" fontId="123" fillId="0" borderId="19" xfId="13" applyFont="1" applyBorder="1" applyAlignment="1">
      <alignment horizontal="center" vertical="center" wrapText="1"/>
    </xf>
    <xf numFmtId="0" fontId="123" fillId="0" borderId="27" xfId="13" applyFont="1" applyBorder="1" applyAlignment="1">
      <alignment horizontal="center" vertical="center" wrapText="1"/>
    </xf>
    <xf numFmtId="0" fontId="119" fillId="0" borderId="133" xfId="564" applyFont="1" applyFill="1" applyBorder="1" applyAlignment="1">
      <alignment horizontal="center" vertical="center" wrapText="1"/>
    </xf>
    <xf numFmtId="0" fontId="119" fillId="0" borderId="11" xfId="564" applyFont="1" applyFill="1" applyBorder="1" applyAlignment="1">
      <alignment horizontal="center" vertical="center" wrapText="1"/>
    </xf>
    <xf numFmtId="0" fontId="124" fillId="0" borderId="0" xfId="0" applyFont="1" applyFill="1" applyBorder="1" applyAlignment="1">
      <alignment horizontal="left" vertical="center"/>
    </xf>
    <xf numFmtId="0" fontId="120" fillId="0" borderId="19" xfId="564" applyFont="1" applyFill="1" applyBorder="1" applyAlignment="1">
      <alignment horizontal="center"/>
    </xf>
    <xf numFmtId="0" fontId="119" fillId="0" borderId="150" xfId="564" applyFont="1" applyFill="1" applyBorder="1" applyAlignment="1">
      <alignment horizontal="center" vertical="center" wrapText="1"/>
    </xf>
    <xf numFmtId="0" fontId="119" fillId="0" borderId="151" xfId="564" applyFont="1" applyFill="1" applyBorder="1" applyAlignment="1">
      <alignment horizontal="center" vertical="center" wrapText="1"/>
    </xf>
    <xf numFmtId="0" fontId="119" fillId="0" borderId="15" xfId="564" applyFont="1" applyFill="1" applyBorder="1" applyAlignment="1">
      <alignment horizontal="center" vertical="center" wrapText="1"/>
    </xf>
    <xf numFmtId="0" fontId="119" fillId="0" borderId="27" xfId="564" applyFont="1" applyFill="1" applyBorder="1" applyAlignment="1">
      <alignment horizontal="center" vertical="center" wrapText="1"/>
    </xf>
    <xf numFmtId="0" fontId="124" fillId="0" borderId="0" xfId="17" applyFont="1" applyFill="1" applyBorder="1" applyAlignment="1">
      <alignment horizontal="center" vertical="center"/>
    </xf>
    <xf numFmtId="0" fontId="119" fillId="5" borderId="0" xfId="17" applyFont="1" applyFill="1" applyBorder="1" applyAlignment="1">
      <alignment horizontal="center"/>
    </xf>
    <xf numFmtId="0" fontId="114" fillId="0" borderId="4" xfId="0" applyFont="1" applyBorder="1" applyAlignment="1">
      <alignment horizontal="center" vertical="center" wrapText="1"/>
    </xf>
    <xf numFmtId="0" fontId="122" fillId="5" borderId="0" xfId="17" applyFont="1" applyFill="1" applyBorder="1" applyAlignment="1">
      <alignment horizontal="center" vertical="center"/>
    </xf>
    <xf numFmtId="0" fontId="114" fillId="0" borderId="19" xfId="0" applyFont="1" applyBorder="1" applyAlignment="1">
      <alignment horizontal="left" vertical="center"/>
    </xf>
    <xf numFmtId="0" fontId="114" fillId="0" borderId="133" xfId="0" applyFont="1" applyBorder="1" applyAlignment="1">
      <alignment horizontal="center" vertical="center"/>
    </xf>
    <xf numFmtId="0" fontId="114" fillId="0" borderId="11" xfId="0" applyFont="1" applyBorder="1" applyAlignment="1">
      <alignment horizontal="center" vertical="center"/>
    </xf>
    <xf numFmtId="0" fontId="121" fillId="9" borderId="19" xfId="17" applyFont="1" applyFill="1" applyBorder="1" applyAlignment="1">
      <alignment horizontal="left" vertical="center"/>
    </xf>
    <xf numFmtId="0" fontId="119" fillId="5" borderId="0" xfId="17" applyFont="1" applyFill="1" applyBorder="1" applyAlignment="1">
      <alignment horizontal="center" vertical="center"/>
    </xf>
    <xf numFmtId="0" fontId="122" fillId="9" borderId="133" xfId="17" applyFont="1" applyFill="1" applyBorder="1" applyAlignment="1">
      <alignment horizontal="center" vertical="center" wrapText="1"/>
    </xf>
    <xf numFmtId="0" fontId="122" fillId="9" borderId="11" xfId="17" applyFont="1" applyFill="1" applyBorder="1" applyAlignment="1">
      <alignment horizontal="center" vertical="center" wrapText="1"/>
    </xf>
    <xf numFmtId="0" fontId="128" fillId="9" borderId="0" xfId="17" applyFont="1" applyFill="1" applyBorder="1" applyAlignment="1">
      <alignment vertical="center"/>
    </xf>
    <xf numFmtId="0" fontId="129" fillId="9" borderId="0" xfId="0" applyFont="1" applyFill="1" applyBorder="1" applyAlignment="1">
      <alignment vertical="center"/>
    </xf>
    <xf numFmtId="0" fontId="123" fillId="9" borderId="4" xfId="564" applyFont="1" applyFill="1" applyBorder="1" applyAlignment="1">
      <alignment horizontal="center" vertical="center" wrapText="1"/>
    </xf>
    <xf numFmtId="0" fontId="123" fillId="9" borderId="4" xfId="564" applyFont="1" applyFill="1" applyBorder="1" applyAlignment="1">
      <alignment horizontal="center" vertical="center"/>
    </xf>
    <xf numFmtId="0" fontId="122" fillId="9" borderId="4" xfId="17" applyFont="1" applyFill="1" applyBorder="1" applyAlignment="1">
      <alignment horizontal="center" vertical="center"/>
    </xf>
    <xf numFmtId="0" fontId="114" fillId="9" borderId="133" xfId="0" applyFont="1" applyFill="1" applyBorder="1" applyAlignment="1">
      <alignment horizontal="center" vertical="center" wrapText="1"/>
    </xf>
    <xf numFmtId="0" fontId="114" fillId="9" borderId="11" xfId="0" applyFont="1" applyFill="1" applyBorder="1" applyAlignment="1">
      <alignment horizontal="center" vertical="center" wrapText="1"/>
    </xf>
    <xf numFmtId="0" fontId="117" fillId="0" borderId="134" xfId="0" applyFont="1" applyBorder="1" applyAlignment="1"/>
    <xf numFmtId="0" fontId="117" fillId="13" borderId="10" xfId="0" applyFont="1" applyFill="1" applyBorder="1" applyAlignment="1">
      <alignment wrapText="1"/>
    </xf>
    <xf numFmtId="0" fontId="117" fillId="0" borderId="134" xfId="0" applyFont="1" applyBorder="1" applyAlignment="1">
      <alignment wrapText="1"/>
    </xf>
    <xf numFmtId="0" fontId="126" fillId="0" borderId="0" xfId="0" applyFont="1" applyAlignment="1">
      <alignment horizontal="center"/>
    </xf>
    <xf numFmtId="0" fontId="124" fillId="0" borderId="0" xfId="17" applyFont="1" applyFill="1" applyBorder="1" applyAlignment="1">
      <alignment vertical="center"/>
    </xf>
    <xf numFmtId="0" fontId="125" fillId="0" borderId="0" xfId="0" applyFont="1" applyBorder="1" applyAlignment="1">
      <alignment vertical="center"/>
    </xf>
    <xf numFmtId="0" fontId="125" fillId="0" borderId="133" xfId="0" applyFont="1" applyBorder="1" applyAlignment="1">
      <alignment horizontal="center" vertical="center"/>
    </xf>
    <xf numFmtId="0" fontId="125" fillId="0" borderId="11" xfId="0" applyFont="1" applyBorder="1" applyAlignment="1">
      <alignment horizontal="center" vertical="center"/>
    </xf>
    <xf numFmtId="0" fontId="120" fillId="0" borderId="4" xfId="564" applyFont="1" applyFill="1" applyBorder="1" applyAlignment="1">
      <alignment horizontal="center" vertical="center"/>
    </xf>
    <xf numFmtId="0" fontId="119" fillId="0" borderId="0" xfId="17" applyFont="1" applyFill="1" applyBorder="1" applyAlignment="1">
      <alignment horizontal="left" vertical="center" wrapText="1"/>
    </xf>
    <xf numFmtId="0" fontId="119" fillId="0" borderId="19" xfId="17" applyFont="1" applyFill="1" applyBorder="1" applyAlignment="1">
      <alignment horizontal="left" vertical="center" wrapText="1"/>
    </xf>
    <xf numFmtId="0" fontId="119" fillId="9" borderId="0" xfId="17" applyFont="1" applyFill="1" applyBorder="1" applyAlignment="1">
      <alignment horizontal="left" vertical="center" wrapText="1"/>
    </xf>
    <xf numFmtId="0" fontId="119" fillId="9" borderId="0" xfId="17" applyFont="1" applyFill="1" applyBorder="1" applyAlignment="1">
      <alignment horizontal="center" vertical="center"/>
    </xf>
    <xf numFmtId="0" fontId="119" fillId="9" borderId="10" xfId="17" applyFont="1" applyFill="1" applyBorder="1" applyAlignment="1">
      <alignment horizontal="center" vertical="center" wrapText="1"/>
    </xf>
    <xf numFmtId="0" fontId="119" fillId="9" borderId="20" xfId="17" applyFont="1" applyFill="1" applyBorder="1" applyAlignment="1">
      <alignment horizontal="center" vertical="center" wrapText="1"/>
    </xf>
    <xf numFmtId="0" fontId="119" fillId="9" borderId="4" xfId="564" applyFont="1" applyFill="1" applyBorder="1" applyAlignment="1">
      <alignment horizontal="center" vertical="center" wrapText="1"/>
    </xf>
    <xf numFmtId="0" fontId="126" fillId="9" borderId="133" xfId="0" applyFont="1" applyFill="1" applyBorder="1" applyAlignment="1">
      <alignment horizontal="center" vertical="center"/>
    </xf>
    <xf numFmtId="0" fontId="143" fillId="0" borderId="0" xfId="0" applyFont="1" applyBorder="1" applyAlignment="1">
      <alignment horizontal="left"/>
    </xf>
    <xf numFmtId="0" fontId="9" fillId="0" borderId="19" xfId="564" applyFont="1" applyFill="1" applyBorder="1" applyAlignment="1">
      <alignment horizontal="center"/>
    </xf>
    <xf numFmtId="0" fontId="115" fillId="9" borderId="143" xfId="0" applyFont="1" applyFill="1" applyBorder="1" applyAlignment="1">
      <alignment horizontal="center" vertical="center" wrapText="1"/>
    </xf>
    <xf numFmtId="0" fontId="115" fillId="9" borderId="141" xfId="0" applyFont="1" applyFill="1" applyBorder="1" applyAlignment="1">
      <alignment horizontal="center" vertical="center" wrapText="1"/>
    </xf>
    <xf numFmtId="0" fontId="115" fillId="9" borderId="138" xfId="0" applyFont="1" applyFill="1" applyBorder="1" applyAlignment="1">
      <alignment horizontal="center" vertical="center" wrapText="1"/>
    </xf>
    <xf numFmtId="0" fontId="115" fillId="9" borderId="142" xfId="0" applyFont="1" applyFill="1" applyBorder="1" applyAlignment="1">
      <alignment horizontal="center" vertical="center" wrapText="1"/>
    </xf>
    <xf numFmtId="0" fontId="115" fillId="9" borderId="14" xfId="0" applyFont="1" applyFill="1" applyBorder="1" applyAlignment="1">
      <alignment horizontal="center" vertical="center" wrapText="1"/>
    </xf>
    <xf numFmtId="0" fontId="115" fillId="9" borderId="140" xfId="0" applyFont="1" applyFill="1" applyBorder="1" applyAlignment="1">
      <alignment horizontal="center" vertical="center" wrapText="1"/>
    </xf>
    <xf numFmtId="0" fontId="115" fillId="9" borderId="135" xfId="0" applyFont="1" applyFill="1" applyBorder="1" applyAlignment="1">
      <alignment horizontal="center" vertical="center"/>
    </xf>
    <xf numFmtId="0" fontId="115" fillId="9" borderId="136" xfId="0" applyFont="1" applyFill="1" applyBorder="1" applyAlignment="1">
      <alignment horizontal="center" vertical="center"/>
    </xf>
    <xf numFmtId="0" fontId="115" fillId="9" borderId="137" xfId="0" applyFont="1" applyFill="1" applyBorder="1" applyAlignment="1">
      <alignment horizontal="center" vertical="center"/>
    </xf>
    <xf numFmtId="0" fontId="122" fillId="0" borderId="15" xfId="0" applyFont="1" applyFill="1" applyBorder="1" applyAlignment="1"/>
    <xf numFmtId="0" fontId="117" fillId="0" borderId="19" xfId="0" applyFont="1" applyBorder="1" applyAlignment="1"/>
    <xf numFmtId="0" fontId="117" fillId="0" borderId="27" xfId="0" applyFont="1" applyBorder="1" applyAlignment="1"/>
    <xf numFmtId="0" fontId="129" fillId="0" borderId="0" xfId="0" applyFont="1" applyBorder="1" applyAlignment="1"/>
    <xf numFmtId="0" fontId="114" fillId="0" borderId="0" xfId="0" applyFont="1" applyAlignment="1">
      <alignment horizontal="center"/>
    </xf>
    <xf numFmtId="0" fontId="122" fillId="5" borderId="0" xfId="17" applyFont="1" applyFill="1" applyBorder="1" applyAlignment="1">
      <alignment horizontal="left"/>
    </xf>
    <xf numFmtId="0" fontId="122" fillId="0" borderId="150" xfId="0" applyFont="1" applyFill="1" applyBorder="1" applyAlignment="1">
      <alignment horizontal="center"/>
    </xf>
    <xf numFmtId="0" fontId="122" fillId="0" borderId="47" xfId="0" applyFont="1" applyFill="1" applyBorder="1" applyAlignment="1">
      <alignment horizontal="center"/>
    </xf>
    <xf numFmtId="0" fontId="122" fillId="0" borderId="151" xfId="0" applyFont="1" applyFill="1" applyBorder="1" applyAlignment="1">
      <alignment horizontal="center"/>
    </xf>
    <xf numFmtId="0" fontId="122" fillId="0" borderId="15" xfId="0" applyFont="1" applyFill="1" applyBorder="1" applyAlignment="1">
      <alignment horizontal="center"/>
    </xf>
    <xf numFmtId="0" fontId="122" fillId="0" borderId="19" xfId="0" applyFont="1" applyFill="1" applyBorder="1" applyAlignment="1">
      <alignment horizontal="center"/>
    </xf>
    <xf numFmtId="0" fontId="122" fillId="0" borderId="27" xfId="0" applyFont="1" applyFill="1" applyBorder="1" applyAlignment="1">
      <alignment horizontal="center"/>
    </xf>
    <xf numFmtId="0" fontId="117" fillId="0" borderId="47" xfId="0" applyFont="1" applyBorder="1" applyAlignment="1">
      <alignment horizontal="left" vertical="center"/>
    </xf>
    <xf numFmtId="0" fontId="122" fillId="0" borderId="19" xfId="17" applyFont="1" applyFill="1" applyBorder="1" applyAlignment="1">
      <alignment horizontal="justify" vertical="center"/>
    </xf>
    <xf numFmtId="0" fontId="123" fillId="0" borderId="19" xfId="0" applyFont="1" applyFill="1" applyBorder="1" applyAlignment="1">
      <alignment horizontal="justify" vertical="center"/>
    </xf>
    <xf numFmtId="0" fontId="128" fillId="0" borderId="0" xfId="17" applyFont="1" applyFill="1" applyBorder="1" applyAlignment="1">
      <alignment horizontal="justify" wrapText="1"/>
    </xf>
    <xf numFmtId="0" fontId="129" fillId="0" borderId="0" xfId="0" applyFont="1" applyFill="1" applyBorder="1" applyAlignment="1">
      <alignment horizontal="justify" wrapText="1"/>
    </xf>
    <xf numFmtId="0" fontId="122" fillId="0" borderId="10" xfId="17" applyFont="1" applyFill="1" applyBorder="1" applyAlignment="1">
      <alignment horizontal="center" vertical="center"/>
    </xf>
    <xf numFmtId="0" fontId="122" fillId="0" borderId="20" xfId="17" applyFont="1" applyFill="1" applyBorder="1" applyAlignment="1">
      <alignment horizontal="center" vertical="center"/>
    </xf>
    <xf numFmtId="0" fontId="122" fillId="0" borderId="4" xfId="564" applyFont="1" applyFill="1" applyBorder="1" applyAlignment="1">
      <alignment horizontal="center" vertical="center" wrapText="1"/>
    </xf>
    <xf numFmtId="0" fontId="122" fillId="0" borderId="133" xfId="564" applyFont="1" applyFill="1" applyBorder="1" applyAlignment="1">
      <alignment horizontal="center" vertical="center" wrapText="1"/>
    </xf>
    <xf numFmtId="0" fontId="122" fillId="0" borderId="11" xfId="564" applyFont="1" applyFill="1" applyBorder="1" applyAlignment="1">
      <alignment horizontal="center" vertical="center" wrapText="1"/>
    </xf>
    <xf numFmtId="0" fontId="117" fillId="0" borderId="134" xfId="0" applyFont="1" applyFill="1" applyBorder="1" applyAlignment="1">
      <alignment horizontal="center" vertical="center"/>
    </xf>
    <xf numFmtId="0" fontId="117" fillId="0" borderId="20" xfId="0" applyFont="1" applyFill="1" applyBorder="1" applyAlignment="1">
      <alignment horizontal="center" vertical="center"/>
    </xf>
    <xf numFmtId="49" fontId="122" fillId="0" borderId="10" xfId="564" applyNumberFormat="1" applyFont="1" applyFill="1" applyBorder="1" applyAlignment="1">
      <alignment horizontal="center" vertical="center"/>
    </xf>
    <xf numFmtId="49" fontId="122" fillId="0" borderId="20" xfId="564" applyNumberFormat="1" applyFont="1" applyFill="1" applyBorder="1" applyAlignment="1">
      <alignment horizontal="center" vertical="center"/>
    </xf>
    <xf numFmtId="0" fontId="119" fillId="0" borderId="4" xfId="564" applyFont="1" applyFill="1" applyBorder="1" applyAlignment="1">
      <alignment horizontal="center" vertical="center"/>
    </xf>
    <xf numFmtId="0" fontId="114" fillId="0" borderId="0" xfId="0" applyFont="1" applyFill="1" applyAlignment="1">
      <alignment horizontal="center" vertical="center"/>
    </xf>
    <xf numFmtId="0" fontId="128" fillId="0" borderId="0" xfId="0" applyFont="1" applyFill="1" applyBorder="1" applyAlignment="1">
      <alignment horizontal="left" vertical="center"/>
    </xf>
    <xf numFmtId="0" fontId="114" fillId="0" borderId="19" xfId="0" applyFont="1" applyFill="1" applyBorder="1" applyAlignment="1">
      <alignment horizontal="left" vertical="center"/>
    </xf>
    <xf numFmtId="0" fontId="117" fillId="0" borderId="19" xfId="0" applyFont="1" applyFill="1" applyBorder="1" applyAlignment="1">
      <alignment vertical="center" wrapText="1"/>
    </xf>
    <xf numFmtId="0" fontId="117" fillId="0" borderId="27" xfId="0" applyFont="1" applyFill="1" applyBorder="1" applyAlignment="1">
      <alignment vertical="center" wrapText="1"/>
    </xf>
    <xf numFmtId="0" fontId="117" fillId="0" borderId="168" xfId="0" applyFont="1" applyFill="1" applyBorder="1" applyAlignment="1">
      <alignment horizontal="center" vertical="center"/>
    </xf>
    <xf numFmtId="0" fontId="117" fillId="0" borderId="47" xfId="0" applyFont="1" applyFill="1" applyBorder="1" applyAlignment="1">
      <alignment horizontal="center" vertical="center"/>
    </xf>
    <xf numFmtId="0" fontId="117" fillId="0" borderId="169" xfId="0" applyFont="1" applyFill="1" applyBorder="1" applyAlignment="1">
      <alignment horizontal="center" vertical="center"/>
    </xf>
    <xf numFmtId="0" fontId="117" fillId="0" borderId="24" xfId="0" applyFont="1" applyFill="1" applyBorder="1" applyAlignment="1">
      <alignment horizontal="center" vertical="center"/>
    </xf>
    <xf numFmtId="0" fontId="117" fillId="0" borderId="0" xfId="0" applyFont="1" applyFill="1" applyBorder="1" applyAlignment="1">
      <alignment horizontal="center" vertical="center"/>
    </xf>
    <xf numFmtId="0" fontId="117" fillId="0" borderId="25" xfId="0" applyFont="1" applyFill="1" applyBorder="1" applyAlignment="1">
      <alignment horizontal="center" vertical="center"/>
    </xf>
    <xf numFmtId="0" fontId="117" fillId="0" borderId="15" xfId="0" applyFont="1" applyFill="1" applyBorder="1" applyAlignment="1">
      <alignment horizontal="center" vertical="center"/>
    </xf>
    <xf numFmtId="0" fontId="117" fillId="0" borderId="19" xfId="0" applyFont="1" applyFill="1" applyBorder="1" applyAlignment="1">
      <alignment horizontal="center" vertical="center"/>
    </xf>
    <xf numFmtId="0" fontId="117" fillId="0" borderId="27" xfId="0" applyFont="1" applyFill="1" applyBorder="1" applyAlignment="1">
      <alignment horizontal="center" vertical="center"/>
    </xf>
    <xf numFmtId="0" fontId="117" fillId="0" borderId="10" xfId="0" applyFont="1" applyFill="1" applyBorder="1" applyAlignment="1">
      <alignment horizontal="center" vertical="center"/>
    </xf>
    <xf numFmtId="0" fontId="121" fillId="0" borderId="0" xfId="0" applyFont="1" applyFill="1" applyBorder="1" applyAlignment="1">
      <alignment horizontal="left"/>
    </xf>
    <xf numFmtId="0" fontId="121" fillId="0" borderId="0" xfId="17" applyFont="1" applyFill="1" applyBorder="1" applyAlignment="1">
      <alignment horizontal="left"/>
    </xf>
    <xf numFmtId="2" fontId="122" fillId="0" borderId="0" xfId="17" applyNumberFormat="1" applyFont="1" applyFill="1" applyBorder="1" applyAlignment="1">
      <alignment horizontal="center"/>
    </xf>
    <xf numFmtId="2" fontId="123" fillId="0" borderId="19" xfId="17" applyNumberFormat="1" applyFont="1" applyFill="1" applyBorder="1" applyAlignment="1">
      <alignment horizontal="center"/>
    </xf>
    <xf numFmtId="2" fontId="122" fillId="0" borderId="10" xfId="0" applyNumberFormat="1" applyFont="1" applyFill="1" applyBorder="1" applyAlignment="1">
      <alignment horizontal="center" vertical="center" wrapText="1"/>
    </xf>
    <xf numFmtId="2" fontId="122" fillId="0" borderId="134" xfId="0" applyNumberFormat="1" applyFont="1" applyFill="1" applyBorder="1" applyAlignment="1">
      <alignment horizontal="center" vertical="center" wrapText="1"/>
    </xf>
    <xf numFmtId="2" fontId="122" fillId="0" borderId="20" xfId="0" applyNumberFormat="1" applyFont="1" applyFill="1" applyBorder="1" applyAlignment="1">
      <alignment horizontal="center" vertical="center" wrapText="1"/>
    </xf>
    <xf numFmtId="2" fontId="122" fillId="0" borderId="4" xfId="0" applyNumberFormat="1" applyFont="1" applyFill="1" applyBorder="1" applyAlignment="1">
      <alignment horizontal="center" vertical="center" wrapText="1"/>
    </xf>
    <xf numFmtId="0" fontId="122" fillId="0" borderId="168" xfId="0" applyFont="1" applyFill="1" applyBorder="1" applyAlignment="1">
      <alignment horizontal="center" wrapText="1"/>
    </xf>
    <xf numFmtId="0" fontId="122" fillId="0" borderId="47" xfId="0" applyFont="1" applyFill="1" applyBorder="1" applyAlignment="1">
      <alignment horizontal="center" wrapText="1"/>
    </xf>
    <xf numFmtId="0" fontId="122" fillId="0" borderId="169" xfId="0" applyFont="1" applyFill="1" applyBorder="1" applyAlignment="1">
      <alignment horizontal="center" wrapText="1"/>
    </xf>
    <xf numFmtId="0" fontId="122" fillId="0" borderId="24" xfId="0" applyFont="1" applyFill="1" applyBorder="1" applyAlignment="1">
      <alignment horizontal="center" wrapText="1"/>
    </xf>
    <xf numFmtId="0" fontId="122" fillId="0" borderId="0" xfId="0" applyFont="1" applyFill="1" applyBorder="1" applyAlignment="1">
      <alignment horizontal="center" wrapText="1"/>
    </xf>
    <xf numFmtId="0" fontId="122" fillId="0" borderId="25" xfId="0" applyFont="1" applyFill="1" applyBorder="1" applyAlignment="1">
      <alignment horizontal="center" wrapText="1"/>
    </xf>
    <xf numFmtId="0" fontId="122" fillId="0" borderId="15" xfId="0" applyFont="1" applyFill="1" applyBorder="1" applyAlignment="1">
      <alignment horizontal="center" wrapText="1"/>
    </xf>
    <xf numFmtId="0" fontId="122" fillId="0" borderId="19" xfId="0" applyFont="1" applyFill="1" applyBorder="1" applyAlignment="1">
      <alignment horizontal="center" wrapText="1"/>
    </xf>
    <xf numFmtId="0" fontId="122" fillId="0" borderId="27" xfId="0" applyFont="1" applyFill="1" applyBorder="1" applyAlignment="1">
      <alignment horizontal="center" wrapText="1"/>
    </xf>
    <xf numFmtId="2" fontId="122" fillId="0" borderId="0" xfId="564" applyNumberFormat="1" applyFont="1" applyFill="1" applyBorder="1" applyAlignment="1">
      <alignment horizontal="center"/>
    </xf>
    <xf numFmtId="2" fontId="123" fillId="0" borderId="0" xfId="0" applyNumberFormat="1" applyFont="1" applyFill="1" applyAlignment="1"/>
    <xf numFmtId="2" fontId="123" fillId="0" borderId="10" xfId="0" applyNumberFormat="1" applyFont="1" applyFill="1" applyBorder="1" applyAlignment="1"/>
    <xf numFmtId="2" fontId="123" fillId="0" borderId="134" xfId="0" applyNumberFormat="1" applyFont="1" applyFill="1" applyBorder="1" applyAlignment="1"/>
    <xf numFmtId="2" fontId="123" fillId="0" borderId="20" xfId="0" applyNumberFormat="1" applyFont="1" applyFill="1" applyBorder="1" applyAlignment="1"/>
    <xf numFmtId="2" fontId="123" fillId="0" borderId="15" xfId="0" applyNumberFormat="1" applyFont="1" applyFill="1" applyBorder="1" applyAlignment="1">
      <alignment wrapText="1"/>
    </xf>
    <xf numFmtId="2" fontId="123" fillId="0" borderId="19" xfId="0" applyNumberFormat="1" applyFont="1" applyFill="1" applyBorder="1" applyAlignment="1">
      <alignment wrapText="1"/>
    </xf>
    <xf numFmtId="2" fontId="123" fillId="0" borderId="27" xfId="0" applyNumberFormat="1" applyFont="1" applyFill="1" applyBorder="1" applyAlignment="1">
      <alignment wrapText="1"/>
    </xf>
    <xf numFmtId="0" fontId="122" fillId="0" borderId="145" xfId="0" applyFont="1" applyFill="1" applyBorder="1" applyAlignment="1">
      <alignment horizontal="left" wrapText="1"/>
    </xf>
    <xf numFmtId="0" fontId="122" fillId="0" borderId="0" xfId="0" applyFont="1" applyFill="1" applyBorder="1" applyAlignment="1">
      <alignment horizontal="left" wrapText="1"/>
    </xf>
    <xf numFmtId="0" fontId="10" fillId="9" borderId="135" xfId="0" applyFont="1" applyFill="1" applyBorder="1" applyAlignment="1">
      <alignment horizontal="center" wrapText="1"/>
    </xf>
    <xf numFmtId="0" fontId="10" fillId="9" borderId="147" xfId="0" applyFont="1" applyFill="1" applyBorder="1" applyAlignment="1">
      <alignment horizontal="center" wrapText="1"/>
    </xf>
    <xf numFmtId="0" fontId="10" fillId="9" borderId="135" xfId="0" applyFont="1" applyFill="1" applyBorder="1" applyAlignment="1">
      <alignment horizontal="center"/>
    </xf>
    <xf numFmtId="0" fontId="10" fillId="9" borderId="147" xfId="0" applyFont="1" applyFill="1" applyBorder="1" applyAlignment="1">
      <alignment horizontal="center"/>
    </xf>
    <xf numFmtId="0" fontId="10" fillId="9" borderId="135" xfId="0" applyFont="1" applyFill="1" applyBorder="1" applyAlignment="1">
      <alignment horizontal="center" vertical="center" wrapText="1"/>
    </xf>
    <xf numFmtId="0" fontId="10" fillId="9" borderId="147" xfId="0" applyFont="1" applyFill="1" applyBorder="1" applyAlignment="1">
      <alignment horizontal="center" vertical="center" wrapText="1"/>
    </xf>
    <xf numFmtId="2" fontId="122" fillId="9" borderId="0" xfId="564" applyNumberFormat="1" applyFont="1" applyFill="1" applyBorder="1" applyAlignment="1">
      <alignment horizontal="center"/>
    </xf>
    <xf numFmtId="2" fontId="123" fillId="9" borderId="0" xfId="0" applyNumberFormat="1" applyFont="1" applyFill="1" applyAlignment="1"/>
    <xf numFmtId="0" fontId="122" fillId="9" borderId="10" xfId="17" applyFont="1" applyFill="1" applyBorder="1" applyAlignment="1">
      <alignment horizontal="center" vertical="center" wrapText="1"/>
    </xf>
    <xf numFmtId="0" fontId="122" fillId="9" borderId="20" xfId="17" applyFont="1" applyFill="1" applyBorder="1" applyAlignment="1">
      <alignment horizontal="center" vertical="center" wrapText="1"/>
    </xf>
    <xf numFmtId="0" fontId="114" fillId="0" borderId="4" xfId="0" applyFont="1" applyFill="1" applyBorder="1" applyAlignment="1">
      <alignment horizontal="center" vertical="center"/>
    </xf>
    <xf numFmtId="0" fontId="128" fillId="0" borderId="0" xfId="0" applyFont="1" applyFill="1" applyBorder="1" applyAlignment="1"/>
    <xf numFmtId="0" fontId="138" fillId="0" borderId="0" xfId="0" applyFont="1" applyBorder="1" applyAlignment="1"/>
    <xf numFmtId="0" fontId="122" fillId="0" borderId="133" xfId="17" applyFont="1" applyFill="1" applyBorder="1" applyAlignment="1">
      <alignment horizontal="center" vertical="center"/>
    </xf>
    <xf numFmtId="0" fontId="122" fillId="0" borderId="11" xfId="17" applyFont="1" applyFill="1" applyBorder="1" applyAlignment="1">
      <alignment horizontal="center" vertical="center"/>
    </xf>
    <xf numFmtId="49" fontId="122" fillId="0" borderId="10" xfId="0" applyNumberFormat="1" applyFont="1" applyFill="1" applyBorder="1" applyAlignment="1">
      <alignment horizontal="center" wrapText="1"/>
    </xf>
    <xf numFmtId="49" fontId="122" fillId="0" borderId="134" xfId="0" applyNumberFormat="1" applyFont="1" applyFill="1" applyBorder="1" applyAlignment="1">
      <alignment horizontal="center" wrapText="1"/>
    </xf>
    <xf numFmtId="49" fontId="122" fillId="0" borderId="20" xfId="0" applyNumberFormat="1" applyFont="1" applyFill="1" applyBorder="1" applyAlignment="1">
      <alignment horizontal="center" wrapText="1"/>
    </xf>
    <xf numFmtId="0" fontId="114" fillId="0" borderId="4" xfId="0" applyFont="1" applyBorder="1" applyAlignment="1">
      <alignment horizontal="center" wrapText="1"/>
    </xf>
    <xf numFmtId="0" fontId="114" fillId="9" borderId="4" xfId="0" applyFont="1" applyFill="1" applyBorder="1" applyAlignment="1">
      <alignment horizontal="center" wrapText="1"/>
    </xf>
    <xf numFmtId="0" fontId="122" fillId="9" borderId="133" xfId="17" applyFont="1" applyFill="1" applyBorder="1" applyAlignment="1">
      <alignment horizontal="center" vertical="center"/>
    </xf>
    <xf numFmtId="0" fontId="122" fillId="9" borderId="11" xfId="17" applyFont="1" applyFill="1" applyBorder="1" applyAlignment="1">
      <alignment horizontal="center" vertical="center"/>
    </xf>
    <xf numFmtId="0" fontId="114" fillId="9" borderId="4" xfId="0" applyFont="1" applyFill="1" applyBorder="1" applyAlignment="1">
      <alignment horizontal="center" vertical="center" wrapText="1"/>
    </xf>
    <xf numFmtId="0" fontId="114" fillId="9" borderId="10" xfId="0" applyFont="1" applyFill="1" applyBorder="1" applyAlignment="1">
      <alignment horizontal="center" vertical="center" wrapText="1"/>
    </xf>
    <xf numFmtId="0" fontId="114" fillId="9" borderId="20" xfId="0" applyFont="1" applyFill="1" applyBorder="1" applyAlignment="1">
      <alignment horizontal="center" vertical="center" wrapText="1"/>
    </xf>
    <xf numFmtId="0" fontId="117" fillId="0" borderId="4" xfId="0" applyFont="1" applyBorder="1" applyAlignment="1">
      <alignment horizontal="center"/>
    </xf>
    <xf numFmtId="0" fontId="117" fillId="0" borderId="47" xfId="0" applyFont="1" applyBorder="1" applyAlignment="1">
      <alignment horizontal="left" vertical="center" wrapText="1"/>
    </xf>
    <xf numFmtId="0" fontId="123" fillId="0" borderId="135" xfId="564" applyFont="1" applyBorder="1" applyAlignment="1">
      <alignment horizontal="center" vertical="justify" wrapText="1"/>
    </xf>
    <xf numFmtId="0" fontId="123" fillId="0" borderId="136" xfId="564" applyFont="1" applyBorder="1" applyAlignment="1">
      <alignment horizontal="center" vertical="justify" wrapText="1"/>
    </xf>
    <xf numFmtId="0" fontId="123" fillId="0" borderId="137" xfId="564" applyFont="1" applyBorder="1" applyAlignment="1">
      <alignment horizontal="center" vertical="justify" wrapText="1"/>
    </xf>
    <xf numFmtId="0" fontId="117" fillId="13" borderId="15" xfId="0" applyFont="1" applyFill="1" applyBorder="1" applyAlignment="1">
      <alignment wrapText="1"/>
    </xf>
    <xf numFmtId="0" fontId="117" fillId="0" borderId="19" xfId="0" applyFont="1" applyBorder="1" applyAlignment="1">
      <alignment wrapText="1"/>
    </xf>
    <xf numFmtId="0" fontId="117" fillId="0" borderId="27" xfId="0" applyFont="1" applyBorder="1" applyAlignment="1">
      <alignment wrapText="1"/>
    </xf>
    <xf numFmtId="0" fontId="114" fillId="0" borderId="133" xfId="0" applyFont="1" applyBorder="1" applyAlignment="1">
      <alignment horizontal="center" vertical="center" wrapText="1"/>
    </xf>
    <xf numFmtId="0" fontId="114" fillId="0" borderId="16"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16" xfId="0" applyFont="1" applyBorder="1" applyAlignment="1">
      <alignment horizontal="center" vertical="center"/>
    </xf>
    <xf numFmtId="0" fontId="114" fillId="0" borderId="4" xfId="0" applyFont="1" applyBorder="1" applyAlignment="1">
      <alignment horizontal="center" vertical="center"/>
    </xf>
    <xf numFmtId="0" fontId="0" fillId="65" borderId="159" xfId="0" applyFill="1" applyBorder="1" applyAlignment="1">
      <alignment horizontal="left" vertical="top" wrapText="1"/>
    </xf>
    <xf numFmtId="0" fontId="0" fillId="65" borderId="163" xfId="0" applyFill="1" applyBorder="1" applyAlignment="1">
      <alignment horizontal="left" vertical="top" wrapText="1"/>
    </xf>
    <xf numFmtId="0" fontId="145" fillId="65" borderId="159" xfId="0" applyFont="1" applyFill="1" applyBorder="1" applyAlignment="1">
      <alignment horizontal="left" wrapText="1"/>
    </xf>
    <xf numFmtId="0" fontId="145" fillId="65" borderId="163" xfId="0" applyFont="1" applyFill="1" applyBorder="1" applyAlignment="1">
      <alignment horizontal="left" wrapText="1"/>
    </xf>
    <xf numFmtId="0" fontId="145" fillId="65" borderId="160" xfId="0" applyFont="1" applyFill="1" applyBorder="1" applyAlignment="1">
      <alignment horizontal="center" vertical="top" wrapText="1"/>
    </xf>
    <xf numFmtId="0" fontId="145" fillId="65" borderId="161" xfId="0" applyFont="1" applyFill="1" applyBorder="1" applyAlignment="1">
      <alignment horizontal="center" vertical="top" wrapText="1"/>
    </xf>
    <xf numFmtId="0" fontId="145" fillId="65" borderId="162" xfId="0" applyFont="1" applyFill="1" applyBorder="1" applyAlignment="1">
      <alignment horizontal="center" vertical="top" wrapText="1"/>
    </xf>
    <xf numFmtId="0" fontId="0" fillId="65" borderId="160" xfId="0" applyFill="1" applyBorder="1" applyAlignment="1">
      <alignment horizontal="center" vertical="top" wrapText="1"/>
    </xf>
    <xf numFmtId="0" fontId="0" fillId="65" borderId="162" xfId="0" applyFill="1" applyBorder="1" applyAlignment="1">
      <alignment horizontal="center" vertical="top" wrapText="1"/>
    </xf>
    <xf numFmtId="0" fontId="0" fillId="65" borderId="161" xfId="0" applyFill="1" applyBorder="1" applyAlignment="1">
      <alignment horizontal="center" vertical="top" wrapText="1"/>
    </xf>
    <xf numFmtId="2" fontId="146" fillId="0" borderId="160" xfId="0" applyNumberFormat="1" applyFont="1" applyFill="1" applyBorder="1" applyAlignment="1">
      <alignment horizontal="center" vertical="top" shrinkToFit="1"/>
    </xf>
    <xf numFmtId="2" fontId="146" fillId="0" borderId="162" xfId="0" applyNumberFormat="1" applyFont="1" applyFill="1" applyBorder="1" applyAlignment="1">
      <alignment horizontal="center" vertical="top" shrinkToFit="1"/>
    </xf>
    <xf numFmtId="2" fontId="146" fillId="0" borderId="161" xfId="0" applyNumberFormat="1" applyFont="1" applyFill="1" applyBorder="1" applyAlignment="1">
      <alignment horizontal="center" vertical="top" shrinkToFit="1"/>
    </xf>
    <xf numFmtId="172" fontId="146" fillId="0" borderId="160" xfId="0" applyNumberFormat="1" applyFont="1" applyFill="1" applyBorder="1" applyAlignment="1">
      <alignment horizontal="center" vertical="center" shrinkToFit="1"/>
    </xf>
    <xf numFmtId="172" fontId="146" fillId="0" borderId="162" xfId="0" applyNumberFormat="1" applyFont="1" applyFill="1" applyBorder="1" applyAlignment="1">
      <alignment horizontal="center" vertical="center" shrinkToFit="1"/>
    </xf>
    <xf numFmtId="2" fontId="146" fillId="0" borderId="160" xfId="0" applyNumberFormat="1" applyFont="1" applyFill="1" applyBorder="1" applyAlignment="1">
      <alignment horizontal="center" vertical="center" shrinkToFit="1"/>
    </xf>
    <xf numFmtId="2" fontId="146" fillId="0" borderId="162" xfId="0" applyNumberFormat="1" applyFont="1" applyFill="1" applyBorder="1" applyAlignment="1">
      <alignment horizontal="center" vertical="center" shrinkToFit="1"/>
    </xf>
    <xf numFmtId="2" fontId="146" fillId="0" borderId="161" xfId="0" applyNumberFormat="1" applyFont="1" applyFill="1" applyBorder="1" applyAlignment="1">
      <alignment horizontal="center" vertical="center" shrinkToFit="1"/>
    </xf>
    <xf numFmtId="2" fontId="147" fillId="0" borderId="160" xfId="0" applyNumberFormat="1" applyFont="1" applyFill="1" applyBorder="1" applyAlignment="1">
      <alignment horizontal="center" vertical="center" shrinkToFit="1"/>
    </xf>
    <xf numFmtId="2" fontId="147" fillId="0" borderId="162" xfId="0" applyNumberFormat="1" applyFont="1" applyFill="1" applyBorder="1" applyAlignment="1">
      <alignment horizontal="center" vertical="center" shrinkToFit="1"/>
    </xf>
    <xf numFmtId="0" fontId="145" fillId="0" borderId="160" xfId="0" applyFont="1" applyFill="1" applyBorder="1" applyAlignment="1">
      <alignment horizontal="center" vertical="top" wrapText="1"/>
    </xf>
    <xf numFmtId="0" fontId="145" fillId="0" borderId="162" xfId="0" applyFont="1" applyFill="1" applyBorder="1" applyAlignment="1">
      <alignment horizontal="center" vertical="top" wrapText="1"/>
    </xf>
    <xf numFmtId="0" fontId="145" fillId="0" borderId="161" xfId="0" applyFont="1" applyFill="1" applyBorder="1" applyAlignment="1">
      <alignment horizontal="center" vertical="top" wrapText="1"/>
    </xf>
    <xf numFmtId="2" fontId="147" fillId="0" borderId="160" xfId="0" applyNumberFormat="1" applyFont="1" applyFill="1" applyBorder="1" applyAlignment="1">
      <alignment horizontal="center" vertical="top" shrinkToFit="1"/>
    </xf>
    <xf numFmtId="2" fontId="147" fillId="0" borderId="162" xfId="0" applyNumberFormat="1" applyFont="1" applyFill="1" applyBorder="1" applyAlignment="1">
      <alignment horizontal="center" vertical="top" shrinkToFit="1"/>
    </xf>
    <xf numFmtId="2" fontId="147" fillId="0" borderId="161" xfId="0" applyNumberFormat="1" applyFont="1" applyFill="1" applyBorder="1" applyAlignment="1">
      <alignment horizontal="center" vertical="top" shrinkToFit="1"/>
    </xf>
    <xf numFmtId="10" fontId="147" fillId="0" borderId="160" xfId="0" applyNumberFormat="1" applyFont="1" applyFill="1" applyBorder="1" applyAlignment="1">
      <alignment horizontal="center" vertical="top" shrinkToFit="1"/>
    </xf>
    <xf numFmtId="10" fontId="147" fillId="0" borderId="162" xfId="0" applyNumberFormat="1" applyFont="1" applyFill="1" applyBorder="1" applyAlignment="1">
      <alignment horizontal="center" vertical="top" shrinkToFit="1"/>
    </xf>
    <xf numFmtId="175" fontId="147" fillId="0" borderId="160" xfId="0" applyNumberFormat="1" applyFont="1" applyFill="1" applyBorder="1" applyAlignment="1">
      <alignment horizontal="center" vertical="top" shrinkToFit="1"/>
    </xf>
    <xf numFmtId="175" fontId="147" fillId="0" borderId="162" xfId="0" applyNumberFormat="1" applyFont="1" applyFill="1" applyBorder="1" applyAlignment="1">
      <alignment horizontal="center" vertical="top" shrinkToFit="1"/>
    </xf>
    <xf numFmtId="175" fontId="147" fillId="0" borderId="161" xfId="0" applyNumberFormat="1" applyFont="1" applyFill="1" applyBorder="1" applyAlignment="1">
      <alignment horizontal="center" vertical="top" shrinkToFit="1"/>
    </xf>
    <xf numFmtId="0" fontId="145" fillId="0" borderId="160" xfId="0" applyFont="1" applyFill="1" applyBorder="1" applyAlignment="1">
      <alignment horizontal="center" vertical="center" wrapText="1"/>
    </xf>
    <xf numFmtId="0" fontId="145" fillId="0" borderId="162" xfId="0" applyFont="1" applyFill="1" applyBorder="1" applyAlignment="1">
      <alignment horizontal="center" vertical="center" wrapText="1"/>
    </xf>
    <xf numFmtId="1" fontId="147" fillId="0" borderId="160" xfId="0" applyNumberFormat="1" applyFont="1" applyFill="1" applyBorder="1" applyAlignment="1">
      <alignment horizontal="center" vertical="center" shrinkToFit="1"/>
    </xf>
    <xf numFmtId="1" fontId="147" fillId="0" borderId="162" xfId="0" applyNumberFormat="1" applyFont="1" applyFill="1" applyBorder="1" applyAlignment="1">
      <alignment horizontal="center" vertical="center" shrinkToFit="1"/>
    </xf>
    <xf numFmtId="1" fontId="147" fillId="0" borderId="161" xfId="0" applyNumberFormat="1" applyFont="1" applyFill="1" applyBorder="1" applyAlignment="1">
      <alignment horizontal="center" vertical="center" shrinkToFit="1"/>
    </xf>
    <xf numFmtId="2" fontId="147" fillId="0" borderId="161" xfId="0" applyNumberFormat="1" applyFont="1" applyFill="1" applyBorder="1" applyAlignment="1">
      <alignment horizontal="center" vertical="center" shrinkToFit="1"/>
    </xf>
    <xf numFmtId="0" fontId="120" fillId="0" borderId="0" xfId="564" applyFont="1" applyFill="1" applyBorder="1" applyAlignment="1">
      <alignment horizontal="center"/>
    </xf>
    <xf numFmtId="0" fontId="125" fillId="0" borderId="0" xfId="0" applyFont="1" applyAlignment="1"/>
    <xf numFmtId="0" fontId="127" fillId="0" borderId="0" xfId="0" applyFont="1" applyFill="1" applyBorder="1" applyAlignment="1">
      <alignment horizontal="left" vertical="center"/>
    </xf>
    <xf numFmtId="0" fontId="114" fillId="0" borderId="150" xfId="0" applyFont="1" applyBorder="1" applyAlignment="1">
      <alignment horizontal="center" vertical="center"/>
    </xf>
    <xf numFmtId="0" fontId="114" fillId="0" borderId="47" xfId="0" applyFont="1" applyBorder="1" applyAlignment="1">
      <alignment horizontal="center" vertical="center"/>
    </xf>
    <xf numFmtId="0" fontId="114" fillId="0" borderId="151" xfId="0" applyFont="1" applyBorder="1" applyAlignment="1">
      <alignment horizontal="center" vertical="center"/>
    </xf>
    <xf numFmtId="0" fontId="114" fillId="0" borderId="24" xfId="0" applyFont="1" applyBorder="1" applyAlignment="1">
      <alignment horizontal="center" vertical="center"/>
    </xf>
    <xf numFmtId="0" fontId="114" fillId="0" borderId="0" xfId="0" applyFont="1" applyBorder="1" applyAlignment="1">
      <alignment horizontal="center" vertical="center"/>
    </xf>
    <xf numFmtId="0" fontId="114" fillId="0" borderId="25" xfId="0" applyFont="1" applyBorder="1" applyAlignment="1">
      <alignment horizontal="center" vertical="center"/>
    </xf>
    <xf numFmtId="0" fontId="114" fillId="0" borderId="15" xfId="0" applyFont="1" applyBorder="1" applyAlignment="1">
      <alignment horizontal="center" vertical="center"/>
    </xf>
    <xf numFmtId="0" fontId="114" fillId="0" borderId="19" xfId="0" applyFont="1" applyBorder="1" applyAlignment="1">
      <alignment horizontal="center" vertical="center"/>
    </xf>
    <xf numFmtId="0" fontId="114" fillId="0" borderId="27" xfId="0" applyFont="1" applyBorder="1" applyAlignment="1">
      <alignment horizontal="center" vertical="center"/>
    </xf>
    <xf numFmtId="0" fontId="117" fillId="0" borderId="4" xfId="0" applyFont="1" applyBorder="1" applyAlignment="1">
      <alignment horizontal="center" vertical="center"/>
    </xf>
    <xf numFmtId="0" fontId="117" fillId="0" borderId="4" xfId="0" applyFont="1" applyBorder="1" applyAlignment="1">
      <alignment horizontal="center" vertical="center" wrapText="1"/>
    </xf>
    <xf numFmtId="0" fontId="124" fillId="0" borderId="0" xfId="0" applyFont="1" applyFill="1" applyBorder="1" applyAlignment="1"/>
    <xf numFmtId="0" fontId="119" fillId="0" borderId="19" xfId="0" applyFont="1" applyFill="1" applyBorder="1" applyAlignment="1">
      <alignment horizontal="center"/>
    </xf>
    <xf numFmtId="0" fontId="119" fillId="0" borderId="0" xfId="17" applyFont="1" applyFill="1" applyBorder="1" applyAlignment="1">
      <alignment horizontal="left" vertical="center"/>
    </xf>
    <xf numFmtId="0" fontId="126" fillId="0" borderId="4" xfId="0" applyFont="1" applyFill="1" applyBorder="1" applyAlignment="1">
      <alignment horizontal="center" vertical="center" wrapText="1"/>
    </xf>
    <xf numFmtId="0" fontId="117" fillId="13" borderId="4" xfId="0" applyFont="1" applyFill="1" applyBorder="1" applyAlignment="1">
      <alignment horizontal="center"/>
    </xf>
    <xf numFmtId="0" fontId="117" fillId="13" borderId="47" xfId="0" applyFont="1" applyFill="1" applyBorder="1" applyAlignment="1"/>
    <xf numFmtId="0" fontId="117" fillId="0" borderId="134" xfId="0" applyFont="1" applyBorder="1" applyAlignment="1">
      <alignment horizontal="left"/>
    </xf>
    <xf numFmtId="0" fontId="122" fillId="0" borderId="4" xfId="17" applyFont="1" applyFill="1" applyBorder="1" applyAlignment="1">
      <alignment horizontal="center" vertical="center"/>
    </xf>
    <xf numFmtId="0" fontId="117" fillId="0" borderId="0" xfId="0" applyFont="1" applyAlignment="1">
      <alignment horizontal="justify" wrapText="1"/>
    </xf>
    <xf numFmtId="0" fontId="114" fillId="0" borderId="133" xfId="0" applyFont="1" applyBorder="1" applyAlignment="1">
      <alignment horizontal="center"/>
    </xf>
    <xf numFmtId="0" fontId="114" fillId="0" borderId="16" xfId="0" applyFont="1" applyBorder="1" applyAlignment="1">
      <alignment horizontal="center"/>
    </xf>
    <xf numFmtId="0" fontId="123" fillId="0" borderId="0" xfId="564" applyFont="1" applyFill="1" applyBorder="1" applyAlignment="1">
      <alignment horizontal="center"/>
    </xf>
    <xf numFmtId="0" fontId="126" fillId="0" borderId="133" xfId="0" applyFont="1" applyBorder="1" applyAlignment="1">
      <alignment horizontal="center" vertical="center"/>
    </xf>
    <xf numFmtId="0" fontId="126" fillId="0" borderId="16" xfId="0" applyFont="1" applyBorder="1" applyAlignment="1">
      <alignment horizontal="center" vertical="center"/>
    </xf>
    <xf numFmtId="0" fontId="119" fillId="0" borderId="4" xfId="0" applyFont="1" applyFill="1" applyBorder="1" applyAlignment="1">
      <alignment horizontal="center"/>
    </xf>
    <xf numFmtId="0" fontId="119" fillId="0" borderId="4" xfId="0" applyFont="1" applyFill="1" applyBorder="1" applyAlignment="1">
      <alignment horizontal="center" wrapText="1"/>
    </xf>
    <xf numFmtId="0" fontId="125" fillId="0" borderId="145" xfId="0" applyFont="1" applyBorder="1" applyAlignment="1">
      <alignment wrapText="1"/>
    </xf>
    <xf numFmtId="0" fontId="124" fillId="5" borderId="0" xfId="17" applyFont="1" applyFill="1" applyBorder="1" applyAlignment="1">
      <alignment horizontal="left"/>
    </xf>
    <xf numFmtId="0" fontId="125" fillId="0" borderId="150" xfId="0" applyFont="1" applyFill="1" applyBorder="1" applyAlignment="1">
      <alignment horizontal="left"/>
    </xf>
    <xf numFmtId="0" fontId="125" fillId="0" borderId="47" xfId="0" applyFont="1" applyFill="1" applyBorder="1" applyAlignment="1">
      <alignment horizontal="left"/>
    </xf>
    <xf numFmtId="168" fontId="125" fillId="0" borderId="168" xfId="72" applyFont="1" applyBorder="1" applyAlignment="1">
      <alignment horizontal="center" vertical="center"/>
    </xf>
    <xf numFmtId="168" fontId="125" fillId="0" borderId="47" xfId="72" applyFont="1" applyBorder="1" applyAlignment="1">
      <alignment horizontal="center" vertical="center"/>
    </xf>
    <xf numFmtId="168" fontId="125" fillId="0" borderId="169" xfId="72" applyFont="1" applyBorder="1" applyAlignment="1">
      <alignment horizontal="center" vertical="center"/>
    </xf>
    <xf numFmtId="168" fontId="125" fillId="0" borderId="24" xfId="72" applyFont="1" applyBorder="1" applyAlignment="1">
      <alignment horizontal="center" vertical="center"/>
    </xf>
    <xf numFmtId="168" fontId="125" fillId="0" borderId="0" xfId="72" applyFont="1" applyBorder="1" applyAlignment="1">
      <alignment horizontal="center" vertical="center"/>
    </xf>
    <xf numFmtId="168" fontId="125" fillId="0" borderId="25" xfId="72" applyFont="1" applyBorder="1" applyAlignment="1">
      <alignment horizontal="center" vertical="center"/>
    </xf>
    <xf numFmtId="168" fontId="125" fillId="0" borderId="15" xfId="72" applyFont="1" applyBorder="1" applyAlignment="1">
      <alignment horizontal="center" vertical="center"/>
    </xf>
    <xf numFmtId="168" fontId="125" fillId="0" borderId="19" xfId="72" applyFont="1" applyBorder="1" applyAlignment="1">
      <alignment horizontal="center" vertical="center"/>
    </xf>
    <xf numFmtId="168" fontId="125" fillId="0" borderId="27" xfId="72" applyFont="1" applyBorder="1" applyAlignment="1">
      <alignment horizontal="center" vertical="center"/>
    </xf>
    <xf numFmtId="168" fontId="120" fillId="0" borderId="168" xfId="72" applyFont="1" applyFill="1" applyBorder="1" applyAlignment="1">
      <alignment horizontal="center" vertical="center"/>
    </xf>
    <xf numFmtId="168" fontId="120" fillId="0" borderId="47" xfId="72" applyFont="1" applyFill="1" applyBorder="1" applyAlignment="1">
      <alignment horizontal="center" vertical="center"/>
    </xf>
    <xf numFmtId="168" fontId="120" fillId="0" borderId="169" xfId="72" applyFont="1" applyFill="1" applyBorder="1" applyAlignment="1">
      <alignment horizontal="center" vertical="center"/>
    </xf>
    <xf numFmtId="168" fontId="120" fillId="0" borderId="24" xfId="72" applyFont="1" applyFill="1" applyBorder="1" applyAlignment="1">
      <alignment horizontal="center" vertical="center"/>
    </xf>
    <xf numFmtId="168" fontId="120" fillId="0" borderId="0" xfId="72" applyFont="1" applyFill="1" applyBorder="1" applyAlignment="1">
      <alignment horizontal="center" vertical="center"/>
    </xf>
    <xf numFmtId="168" fontId="120" fillId="0" borderId="25" xfId="72" applyFont="1" applyFill="1" applyBorder="1" applyAlignment="1">
      <alignment horizontal="center" vertical="center"/>
    </xf>
    <xf numFmtId="168" fontId="120" fillId="0" borderId="15" xfId="72" applyFont="1" applyFill="1" applyBorder="1" applyAlignment="1">
      <alignment horizontal="center" vertical="center"/>
    </xf>
    <xf numFmtId="168" fontId="120" fillId="0" borderId="19" xfId="72" applyFont="1" applyFill="1" applyBorder="1" applyAlignment="1">
      <alignment horizontal="center" vertical="center"/>
    </xf>
    <xf numFmtId="168" fontId="120" fillId="0" borderId="27" xfId="72" applyFont="1" applyFill="1" applyBorder="1" applyAlignment="1">
      <alignment horizontal="center" vertical="center"/>
    </xf>
    <xf numFmtId="0" fontId="178" fillId="0" borderId="0" xfId="0" applyFont="1" applyFill="1" applyBorder="1" applyAlignment="1">
      <alignment vertical="center"/>
    </xf>
    <xf numFmtId="0" fontId="122" fillId="0" borderId="4" xfId="0" applyFont="1" applyFill="1" applyBorder="1" applyAlignment="1">
      <alignment horizontal="center" wrapText="1"/>
    </xf>
    <xf numFmtId="0" fontId="123" fillId="0" borderId="10" xfId="0" applyFont="1" applyFill="1" applyBorder="1" applyAlignment="1">
      <alignment wrapText="1"/>
    </xf>
    <xf numFmtId="0" fontId="123" fillId="0" borderId="134" xfId="0" applyFont="1" applyFill="1" applyBorder="1" applyAlignment="1">
      <alignment wrapText="1"/>
    </xf>
    <xf numFmtId="0" fontId="123" fillId="0" borderId="20" xfId="0" applyFont="1" applyFill="1" applyBorder="1" applyAlignment="1">
      <alignment wrapText="1"/>
    </xf>
    <xf numFmtId="0" fontId="123" fillId="0" borderId="10" xfId="0" applyFont="1" applyFill="1" applyBorder="1" applyAlignment="1"/>
    <xf numFmtId="0" fontId="123" fillId="0" borderId="134" xfId="0" applyFont="1" applyFill="1" applyBorder="1" applyAlignment="1"/>
    <xf numFmtId="0" fontId="123" fillId="0" borderId="20" xfId="0" applyFont="1" applyFill="1" applyBorder="1" applyAlignment="1"/>
    <xf numFmtId="0" fontId="120" fillId="0" borderId="19" xfId="0" applyFont="1" applyFill="1" applyBorder="1" applyAlignment="1">
      <alignment horizontal="center"/>
    </xf>
    <xf numFmtId="0" fontId="119" fillId="0" borderId="4" xfId="0" applyFont="1" applyFill="1" applyBorder="1" applyAlignment="1">
      <alignment horizontal="center" vertical="center"/>
    </xf>
    <xf numFmtId="0" fontId="124" fillId="0" borderId="0" xfId="17" applyFont="1" applyFill="1" applyBorder="1" applyAlignment="1">
      <alignment horizontal="left"/>
    </xf>
    <xf numFmtId="0" fontId="197" fillId="0" borderId="30" xfId="0" applyFont="1" applyBorder="1" applyAlignment="1">
      <alignment horizontal="justify" vertical="center" wrapText="1"/>
    </xf>
    <xf numFmtId="0" fontId="197" fillId="0" borderId="2" xfId="0" applyFont="1" applyBorder="1" applyAlignment="1">
      <alignment horizontal="justify" vertical="center" wrapText="1"/>
    </xf>
    <xf numFmtId="0" fontId="197" fillId="0" borderId="31" xfId="0" applyFont="1" applyBorder="1" applyAlignment="1">
      <alignment horizontal="justify" vertical="center" wrapText="1"/>
    </xf>
    <xf numFmtId="0" fontId="125" fillId="0" borderId="19" xfId="0" applyFont="1" applyBorder="1" applyAlignment="1">
      <alignment horizontal="center"/>
    </xf>
    <xf numFmtId="0" fontId="119" fillId="0" borderId="133" xfId="0" applyFont="1" applyFill="1" applyBorder="1" applyAlignment="1">
      <alignment horizontal="center"/>
    </xf>
    <xf numFmtId="0" fontId="119" fillId="0" borderId="11" xfId="0" applyFont="1" applyFill="1" applyBorder="1" applyAlignment="1">
      <alignment horizontal="center"/>
    </xf>
    <xf numFmtId="0" fontId="119" fillId="0" borderId="133" xfId="0" applyFont="1" applyFill="1" applyBorder="1" applyAlignment="1">
      <alignment horizontal="center" wrapText="1"/>
    </xf>
    <xf numFmtId="0" fontId="119" fillId="0" borderId="11" xfId="0" applyFont="1" applyFill="1" applyBorder="1" applyAlignment="1">
      <alignment horizontal="center" wrapText="1"/>
    </xf>
    <xf numFmtId="0" fontId="119" fillId="0" borderId="150" xfId="0" applyFont="1" applyFill="1" applyBorder="1" applyAlignment="1">
      <alignment horizontal="center"/>
    </xf>
    <xf numFmtId="0" fontId="119" fillId="0" borderId="151" xfId="0" applyFont="1" applyFill="1" applyBorder="1" applyAlignment="1">
      <alignment horizontal="center"/>
    </xf>
    <xf numFmtId="0" fontId="119" fillId="0" borderId="15" xfId="0" applyFont="1" applyFill="1" applyBorder="1" applyAlignment="1">
      <alignment horizontal="center"/>
    </xf>
    <xf numFmtId="0" fontId="119" fillId="0" borderId="27" xfId="0" applyFont="1" applyFill="1" applyBorder="1" applyAlignment="1">
      <alignment horizontal="center"/>
    </xf>
    <xf numFmtId="0" fontId="120" fillId="0" borderId="0" xfId="0" applyFont="1" applyFill="1" applyAlignment="1">
      <alignment horizontal="left" wrapText="1"/>
    </xf>
    <xf numFmtId="0" fontId="120" fillId="0" borderId="168" xfId="0" applyFont="1" applyFill="1" applyBorder="1" applyAlignment="1">
      <alignment horizontal="center" vertical="center"/>
    </xf>
    <xf numFmtId="0" fontId="120" fillId="0" borderId="118" xfId="0" applyFont="1" applyFill="1" applyBorder="1" applyAlignment="1">
      <alignment horizontal="center" vertical="center"/>
    </xf>
    <xf numFmtId="0" fontId="120" fillId="0" borderId="169" xfId="0" applyFont="1" applyFill="1" applyBorder="1" applyAlignment="1">
      <alignment horizontal="center" vertical="center"/>
    </xf>
    <xf numFmtId="0" fontId="120" fillId="0" borderId="24" xfId="0" applyFont="1" applyFill="1" applyBorder="1" applyAlignment="1">
      <alignment horizontal="center" vertical="center"/>
    </xf>
    <xf numFmtId="0" fontId="120" fillId="0" borderId="0" xfId="0" applyFont="1" applyFill="1" applyBorder="1" applyAlignment="1">
      <alignment horizontal="center" vertical="center"/>
    </xf>
    <xf numFmtId="0" fontId="120" fillId="0" borderId="25" xfId="0" applyFont="1" applyFill="1" applyBorder="1" applyAlignment="1">
      <alignment horizontal="center" vertical="center"/>
    </xf>
    <xf numFmtId="0" fontId="120" fillId="0" borderId="15" xfId="0" applyFont="1" applyFill="1" applyBorder="1" applyAlignment="1">
      <alignment horizontal="center" vertical="center"/>
    </xf>
    <xf numFmtId="0" fontId="120" fillId="0" borderId="19" xfId="0" applyFont="1" applyFill="1" applyBorder="1" applyAlignment="1">
      <alignment horizontal="center" vertical="center"/>
    </xf>
    <xf numFmtId="0" fontId="120" fillId="0" borderId="27" xfId="0" applyFont="1" applyFill="1" applyBorder="1" applyAlignment="1">
      <alignment horizontal="center" vertical="center"/>
    </xf>
    <xf numFmtId="0" fontId="125" fillId="13" borderId="10" xfId="0" applyFont="1" applyFill="1" applyBorder="1" applyAlignment="1">
      <alignment wrapText="1"/>
    </xf>
    <xf numFmtId="0" fontId="125" fillId="0" borderId="134" xfId="0" applyFont="1" applyBorder="1" applyAlignment="1">
      <alignment wrapText="1"/>
    </xf>
    <xf numFmtId="0" fontId="125" fillId="0" borderId="20" xfId="0" applyFont="1" applyBorder="1" applyAlignment="1">
      <alignment wrapText="1"/>
    </xf>
    <xf numFmtId="0" fontId="125" fillId="13" borderId="10" xfId="0" applyFont="1" applyFill="1" applyBorder="1" applyAlignment="1"/>
    <xf numFmtId="0" fontId="125" fillId="0" borderId="134" xfId="0" applyFont="1" applyBorder="1" applyAlignment="1"/>
    <xf numFmtId="0" fontId="125" fillId="0" borderId="20" xfId="0" applyFont="1" applyBorder="1" applyAlignment="1"/>
    <xf numFmtId="178" fontId="119" fillId="0" borderId="150" xfId="0" applyNumberFormat="1" applyFont="1" applyFill="1" applyBorder="1" applyAlignment="1">
      <alignment horizontal="center" vertical="center"/>
    </xf>
    <xf numFmtId="178" fontId="119" fillId="0" borderId="151" xfId="0" applyNumberFormat="1" applyFont="1" applyFill="1" applyBorder="1" applyAlignment="1">
      <alignment horizontal="center" vertical="center"/>
    </xf>
    <xf numFmtId="178" fontId="119" fillId="0" borderId="24" xfId="0" applyNumberFormat="1" applyFont="1" applyFill="1" applyBorder="1" applyAlignment="1">
      <alignment horizontal="center" vertical="center"/>
    </xf>
    <xf numFmtId="178" fontId="119" fillId="0" borderId="25" xfId="0" applyNumberFormat="1" applyFont="1" applyFill="1" applyBorder="1" applyAlignment="1">
      <alignment horizontal="center" vertical="center"/>
    </xf>
    <xf numFmtId="178" fontId="119" fillId="0" borderId="15" xfId="0" applyNumberFormat="1" applyFont="1" applyFill="1" applyBorder="1" applyAlignment="1">
      <alignment horizontal="center" vertical="center"/>
    </xf>
    <xf numFmtId="178" fontId="119" fillId="0" borderId="27" xfId="0" applyNumberFormat="1" applyFont="1" applyFill="1" applyBorder="1" applyAlignment="1">
      <alignment horizontal="center" vertical="center"/>
    </xf>
    <xf numFmtId="0" fontId="125" fillId="0" borderId="135" xfId="0" applyFont="1" applyBorder="1" applyAlignment="1">
      <alignment vertical="top"/>
    </xf>
    <xf numFmtId="0" fontId="125" fillId="0" borderId="136" xfId="0" applyFont="1" applyBorder="1" applyAlignment="1">
      <alignment vertical="top"/>
    </xf>
    <xf numFmtId="0" fontId="125" fillId="0" borderId="137" xfId="0" applyFont="1" applyBorder="1" applyAlignment="1">
      <alignment vertical="top"/>
    </xf>
    <xf numFmtId="0" fontId="125" fillId="0" borderId="4" xfId="0" applyFont="1" applyBorder="1" applyAlignment="1">
      <alignment horizontal="center" vertical="top"/>
    </xf>
    <xf numFmtId="43" fontId="125" fillId="0" borderId="168" xfId="0" applyNumberFormat="1" applyFont="1" applyBorder="1" applyAlignment="1">
      <alignment horizontal="center" vertical="center" wrapText="1"/>
    </xf>
    <xf numFmtId="43" fontId="125" fillId="0" borderId="169" xfId="0" applyNumberFormat="1" applyFont="1" applyBorder="1" applyAlignment="1">
      <alignment horizontal="center" vertical="center" wrapText="1"/>
    </xf>
    <xf numFmtId="43" fontId="125" fillId="0" borderId="24" xfId="0" applyNumberFormat="1" applyFont="1" applyBorder="1" applyAlignment="1">
      <alignment horizontal="center" vertical="center" wrapText="1"/>
    </xf>
    <xf numFmtId="43" fontId="125" fillId="0" borderId="25" xfId="0" applyNumberFormat="1" applyFont="1" applyBorder="1" applyAlignment="1">
      <alignment horizontal="center" vertical="center" wrapText="1"/>
    </xf>
    <xf numFmtId="43" fontId="125" fillId="0" borderId="15" xfId="0" applyNumberFormat="1" applyFont="1" applyBorder="1" applyAlignment="1">
      <alignment horizontal="center" vertical="center" wrapText="1"/>
    </xf>
    <xf numFmtId="43" fontId="125" fillId="0" borderId="27" xfId="0" applyNumberFormat="1" applyFont="1" applyBorder="1" applyAlignment="1">
      <alignment horizontal="center" vertical="center" wrapText="1"/>
    </xf>
    <xf numFmtId="0" fontId="122" fillId="9" borderId="4" xfId="17" applyFont="1" applyFill="1" applyBorder="1" applyAlignment="1">
      <alignment horizontal="center"/>
    </xf>
    <xf numFmtId="0" fontId="179" fillId="0" borderId="0" xfId="0" applyFont="1" applyBorder="1" applyAlignment="1"/>
    <xf numFmtId="0" fontId="123" fillId="0" borderId="4" xfId="17" applyFont="1" applyFill="1" applyBorder="1" applyAlignment="1">
      <alignment horizontal="center"/>
    </xf>
    <xf numFmtId="0" fontId="123" fillId="9" borderId="168" xfId="17" applyFont="1" applyFill="1" applyBorder="1" applyAlignment="1">
      <alignment horizontal="center" vertical="center"/>
    </xf>
    <xf numFmtId="0" fontId="123" fillId="9" borderId="47" xfId="17" applyFont="1" applyFill="1" applyBorder="1" applyAlignment="1">
      <alignment horizontal="center" vertical="center"/>
    </xf>
    <xf numFmtId="0" fontId="123" fillId="9" borderId="169" xfId="17" applyFont="1" applyFill="1" applyBorder="1" applyAlignment="1">
      <alignment horizontal="center" vertical="center"/>
    </xf>
    <xf numFmtId="0" fontId="123" fillId="9" borderId="24" xfId="17" applyFont="1" applyFill="1" applyBorder="1" applyAlignment="1">
      <alignment horizontal="center" vertical="center"/>
    </xf>
    <xf numFmtId="0" fontId="123" fillId="9" borderId="0" xfId="17" applyFont="1" applyFill="1" applyBorder="1" applyAlignment="1">
      <alignment horizontal="center" vertical="center"/>
    </xf>
    <xf numFmtId="0" fontId="123" fillId="9" borderId="25" xfId="17" applyFont="1" applyFill="1" applyBorder="1" applyAlignment="1">
      <alignment horizontal="center" vertical="center"/>
    </xf>
    <xf numFmtId="0" fontId="123" fillId="9" borderId="15" xfId="17" applyFont="1" applyFill="1" applyBorder="1" applyAlignment="1">
      <alignment horizontal="center" vertical="center"/>
    </xf>
    <xf numFmtId="0" fontId="123" fillId="9" borderId="19" xfId="17" applyFont="1" applyFill="1" applyBorder="1" applyAlignment="1">
      <alignment horizontal="center" vertical="center"/>
    </xf>
    <xf numFmtId="0" fontId="123" fillId="9" borderId="27" xfId="17" applyFont="1" applyFill="1" applyBorder="1" applyAlignment="1">
      <alignment horizontal="center" vertical="center"/>
    </xf>
    <xf numFmtId="0" fontId="153" fillId="0" borderId="0" xfId="0" applyFont="1" applyAlignment="1">
      <alignment horizontal="center"/>
    </xf>
    <xf numFmtId="177" fontId="155" fillId="0" borderId="168" xfId="0" applyNumberFormat="1" applyFont="1" applyBorder="1" applyAlignment="1">
      <alignment horizontal="center" vertical="center"/>
    </xf>
    <xf numFmtId="177" fontId="155" fillId="0" borderId="47" xfId="0" applyNumberFormat="1" applyFont="1" applyBorder="1" applyAlignment="1">
      <alignment horizontal="center" vertical="center"/>
    </xf>
    <xf numFmtId="177" fontId="155" fillId="0" borderId="169" xfId="0" applyNumberFormat="1" applyFont="1" applyBorder="1" applyAlignment="1">
      <alignment horizontal="center" vertical="center"/>
    </xf>
    <xf numFmtId="177" fontId="155" fillId="0" borderId="24" xfId="0" applyNumberFormat="1" applyFont="1" applyBorder="1" applyAlignment="1">
      <alignment horizontal="center" vertical="center"/>
    </xf>
    <xf numFmtId="177" fontId="155" fillId="0" borderId="0" xfId="0" applyNumberFormat="1" applyFont="1" applyBorder="1" applyAlignment="1">
      <alignment horizontal="center" vertical="center"/>
    </xf>
    <xf numFmtId="177" fontId="155" fillId="0" borderId="25" xfId="0" applyNumberFormat="1" applyFont="1" applyBorder="1" applyAlignment="1">
      <alignment horizontal="center" vertical="center"/>
    </xf>
    <xf numFmtId="177" fontId="155" fillId="0" borderId="15" xfId="0" applyNumberFormat="1" applyFont="1" applyBorder="1" applyAlignment="1">
      <alignment horizontal="center" vertical="center"/>
    </xf>
    <xf numFmtId="177" fontId="155" fillId="0" borderId="19" xfId="0" applyNumberFormat="1" applyFont="1" applyBorder="1" applyAlignment="1">
      <alignment horizontal="center" vertical="center"/>
    </xf>
    <xf numFmtId="177" fontId="155" fillId="0" borderId="27" xfId="0" applyNumberFormat="1" applyFont="1" applyBorder="1" applyAlignment="1">
      <alignment horizontal="center" vertical="center"/>
    </xf>
    <xf numFmtId="0" fontId="153" fillId="0" borderId="133" xfId="0" applyFont="1" applyBorder="1" applyAlignment="1">
      <alignment horizontal="center" vertical="center"/>
    </xf>
    <xf numFmtId="0" fontId="153" fillId="0" borderId="11" xfId="0" applyFont="1" applyBorder="1" applyAlignment="1">
      <alignment horizontal="center" vertical="center"/>
    </xf>
    <xf numFmtId="0" fontId="0" fillId="0" borderId="143" xfId="0" applyFont="1" applyFill="1" applyBorder="1" applyAlignment="1">
      <alignment horizontal="left"/>
    </xf>
    <xf numFmtId="0" fontId="0" fillId="0" borderId="141" xfId="0" applyFont="1" applyFill="1" applyBorder="1" applyAlignment="1">
      <alignment horizontal="left"/>
    </xf>
    <xf numFmtId="0" fontId="177" fillId="0" borderId="30" xfId="0" applyFont="1" applyFill="1" applyBorder="1" applyAlignment="1">
      <alignment horizontal="left" wrapText="1"/>
    </xf>
    <xf numFmtId="0" fontId="177" fillId="0" borderId="2" xfId="0" applyFont="1" applyFill="1" applyBorder="1" applyAlignment="1">
      <alignment horizontal="left" wrapText="1"/>
    </xf>
    <xf numFmtId="0" fontId="177" fillId="0" borderId="31" xfId="0" applyFont="1" applyFill="1" applyBorder="1" applyAlignment="1">
      <alignment horizontal="left" wrapText="1"/>
    </xf>
    <xf numFmtId="0" fontId="159" fillId="0" borderId="135" xfId="0" applyFont="1" applyBorder="1" applyAlignment="1">
      <alignment horizontal="center" vertical="center" wrapText="1"/>
    </xf>
    <xf numFmtId="0" fontId="159" fillId="0" borderId="136" xfId="0" applyFont="1" applyBorder="1" applyAlignment="1">
      <alignment horizontal="center" vertical="center" wrapText="1"/>
    </xf>
    <xf numFmtId="0" fontId="159" fillId="0" borderId="141" xfId="0" applyFont="1" applyBorder="1" applyAlignment="1">
      <alignment horizontal="center" vertical="center" wrapText="1"/>
    </xf>
    <xf numFmtId="0" fontId="159" fillId="0" borderId="0" xfId="0" applyFont="1" applyBorder="1" applyAlignment="1">
      <alignment horizontal="center" vertical="center" wrapText="1"/>
    </xf>
    <xf numFmtId="0" fontId="159" fillId="0" borderId="30" xfId="0" applyFont="1" applyBorder="1" applyAlignment="1">
      <alignment vertical="center" wrapText="1"/>
    </xf>
    <xf numFmtId="0" fontId="159" fillId="0" borderId="2" xfId="0" applyFont="1" applyBorder="1" applyAlignment="1">
      <alignment vertical="center" wrapText="1"/>
    </xf>
    <xf numFmtId="0" fontId="159" fillId="0" borderId="31" xfId="0" applyFont="1" applyBorder="1" applyAlignment="1">
      <alignment vertical="center" wrapText="1"/>
    </xf>
    <xf numFmtId="0" fontId="159" fillId="0" borderId="137" xfId="0" applyFont="1" applyBorder="1" applyAlignment="1">
      <alignment horizontal="center" vertical="center" wrapText="1"/>
    </xf>
    <xf numFmtId="0" fontId="159" fillId="0" borderId="30" xfId="0" applyFont="1" applyBorder="1" applyAlignment="1">
      <alignment horizontal="center" vertical="center" wrapText="1"/>
    </xf>
    <xf numFmtId="0" fontId="159" fillId="0" borderId="2" xfId="0" applyFont="1" applyBorder="1" applyAlignment="1">
      <alignment horizontal="center" vertical="center" wrapText="1"/>
    </xf>
    <xf numFmtId="0" fontId="159" fillId="0" borderId="31" xfId="0" applyFont="1" applyBorder="1" applyAlignment="1">
      <alignment horizontal="center" vertical="center" wrapText="1"/>
    </xf>
    <xf numFmtId="0" fontId="175" fillId="0" borderId="30" xfId="0" applyFont="1" applyBorder="1" applyAlignment="1">
      <alignment horizontal="center" vertical="center" wrapText="1"/>
    </xf>
    <xf numFmtId="0" fontId="175" fillId="0" borderId="2" xfId="0" applyFont="1" applyBorder="1" applyAlignment="1">
      <alignment horizontal="center" vertical="center" wrapText="1"/>
    </xf>
    <xf numFmtId="0" fontId="175" fillId="0" borderId="31" xfId="0" applyFont="1" applyBorder="1" applyAlignment="1">
      <alignment horizontal="center" vertical="center" wrapText="1"/>
    </xf>
    <xf numFmtId="0" fontId="159" fillId="0" borderId="30" xfId="0" applyFont="1" applyBorder="1" applyAlignment="1">
      <alignment horizontal="left" vertical="center" wrapText="1"/>
    </xf>
    <xf numFmtId="0" fontId="159" fillId="0" borderId="2" xfId="0" applyFont="1" applyBorder="1" applyAlignment="1">
      <alignment horizontal="left" vertical="center" wrapText="1"/>
    </xf>
    <xf numFmtId="0" fontId="159" fillId="0" borderId="31" xfId="0" applyFont="1" applyBorder="1" applyAlignment="1">
      <alignment horizontal="left" vertical="center" wrapText="1"/>
    </xf>
    <xf numFmtId="0" fontId="159" fillId="0" borderId="143" xfId="0" applyFont="1" applyBorder="1" applyAlignment="1">
      <alignment horizontal="left" vertical="center" wrapText="1"/>
    </xf>
    <xf numFmtId="0" fontId="159" fillId="0" borderId="141" xfId="0" applyFont="1" applyBorder="1" applyAlignment="1">
      <alignment horizontal="left" vertical="center" wrapText="1"/>
    </xf>
    <xf numFmtId="0" fontId="159" fillId="0" borderId="138" xfId="0" applyFont="1" applyBorder="1" applyAlignment="1">
      <alignment horizontal="left" vertical="center" wrapText="1"/>
    </xf>
    <xf numFmtId="0" fontId="159" fillId="0" borderId="142" xfId="0" applyFont="1" applyBorder="1" applyAlignment="1">
      <alignment horizontal="left" vertical="center" wrapText="1"/>
    </xf>
    <xf numFmtId="0" fontId="159" fillId="0" borderId="14" xfId="0" applyFont="1" applyBorder="1" applyAlignment="1">
      <alignment horizontal="left" vertical="center" wrapText="1"/>
    </xf>
    <xf numFmtId="0" fontId="159" fillId="0" borderId="140" xfId="0" applyFont="1" applyBorder="1" applyAlignment="1">
      <alignment horizontal="left" vertical="center" wrapText="1"/>
    </xf>
    <xf numFmtId="0" fontId="0" fillId="0" borderId="30" xfId="0" applyFont="1" applyFill="1" applyBorder="1" applyAlignment="1">
      <alignment horizontal="left"/>
    </xf>
    <xf numFmtId="0" fontId="0" fillId="0" borderId="2" xfId="0" applyFont="1" applyFill="1" applyBorder="1" applyAlignment="1">
      <alignment horizontal="left"/>
    </xf>
    <xf numFmtId="0" fontId="0" fillId="0" borderId="31" xfId="0" applyFont="1" applyFill="1" applyBorder="1" applyAlignment="1">
      <alignment horizontal="left"/>
    </xf>
    <xf numFmtId="0" fontId="153" fillId="0" borderId="0" xfId="503" applyFont="1" applyBorder="1" applyAlignment="1">
      <alignment horizontal="center" vertical="top"/>
    </xf>
    <xf numFmtId="0" fontId="154" fillId="0" borderId="10" xfId="0" applyFont="1" applyBorder="1" applyAlignment="1">
      <alignment horizontal="center" wrapText="1"/>
    </xf>
    <xf numFmtId="0" fontId="154" fillId="0" borderId="134" xfId="0" applyFont="1" applyBorder="1" applyAlignment="1">
      <alignment horizontal="center" wrapText="1"/>
    </xf>
    <xf numFmtId="0" fontId="154" fillId="0" borderId="20" xfId="0" applyFont="1" applyBorder="1" applyAlignment="1">
      <alignment horizontal="center" wrapText="1"/>
    </xf>
    <xf numFmtId="0" fontId="0" fillId="0" borderId="4" xfId="0" applyBorder="1" applyAlignment="1">
      <alignment horizontal="center" vertical="center" wrapText="1"/>
    </xf>
    <xf numFmtId="0" fontId="153" fillId="0" borderId="0" xfId="0" applyFont="1" applyAlignment="1">
      <alignment horizontal="center" wrapText="1"/>
    </xf>
    <xf numFmtId="0" fontId="153" fillId="0" borderId="0" xfId="0" applyFont="1" applyAlignment="1">
      <alignment wrapText="1"/>
    </xf>
    <xf numFmtId="0" fontId="148" fillId="0" borderId="4" xfId="0" applyFont="1" applyBorder="1" applyAlignment="1">
      <alignment horizontal="center" vertical="center" wrapText="1"/>
    </xf>
    <xf numFmtId="0" fontId="153" fillId="0" borderId="0" xfId="503" applyFont="1" applyFill="1" applyBorder="1" applyAlignment="1">
      <alignment horizontal="center" vertical="top"/>
    </xf>
    <xf numFmtId="0" fontId="153" fillId="0" borderId="0" xfId="0" applyFont="1" applyFill="1" applyAlignment="1">
      <alignment horizontal="center" vertical="center"/>
    </xf>
    <xf numFmtId="0" fontId="153" fillId="0" borderId="0" xfId="0" applyFont="1" applyFill="1" applyAlignment="1">
      <alignment vertical="center"/>
    </xf>
    <xf numFmtId="0" fontId="153" fillId="0" borderId="0" xfId="0" applyFont="1" applyFill="1" applyAlignment="1">
      <alignment horizontal="left" vertical="center"/>
    </xf>
    <xf numFmtId="0" fontId="153" fillId="0" borderId="0" xfId="0" applyFont="1" applyFill="1" applyAlignment="1">
      <alignment horizontal="right" vertical="center" wrapText="1"/>
    </xf>
    <xf numFmtId="0" fontId="153" fillId="0" borderId="10" xfId="0" applyFont="1" applyFill="1" applyBorder="1" applyAlignment="1">
      <alignment horizontal="center" vertical="center"/>
    </xf>
    <xf numFmtId="0" fontId="153" fillId="0" borderId="134" xfId="0" applyFont="1" applyFill="1" applyBorder="1" applyAlignment="1">
      <alignment horizontal="center" vertical="center"/>
    </xf>
    <xf numFmtId="0" fontId="153" fillId="0" borderId="20" xfId="0" applyFont="1" applyFill="1" applyBorder="1" applyAlignment="1">
      <alignment horizontal="center" vertical="center"/>
    </xf>
    <xf numFmtId="0" fontId="117" fillId="0" borderId="0" xfId="503" applyFont="1" applyBorder="1" applyAlignment="1">
      <alignment horizontal="center" vertical="center"/>
    </xf>
    <xf numFmtId="0" fontId="117" fillId="0" borderId="0" xfId="0" applyFont="1" applyBorder="1" applyAlignment="1">
      <alignment horizontal="center" vertical="center"/>
    </xf>
    <xf numFmtId="0" fontId="117" fillId="0" borderId="0" xfId="0" applyFont="1" applyBorder="1" applyAlignment="1">
      <alignment horizontal="left" vertical="center"/>
    </xf>
    <xf numFmtId="0" fontId="117" fillId="0" borderId="10" xfId="0" applyFont="1" applyBorder="1" applyAlignment="1">
      <alignment horizontal="left" vertical="center"/>
    </xf>
    <xf numFmtId="0" fontId="117" fillId="0" borderId="134" xfId="0" applyFont="1" applyBorder="1" applyAlignment="1">
      <alignment horizontal="left" vertical="center"/>
    </xf>
    <xf numFmtId="0" fontId="117" fillId="0" borderId="20" xfId="0" applyFont="1" applyBorder="1" applyAlignment="1">
      <alignment horizontal="left" vertical="center"/>
    </xf>
    <xf numFmtId="0" fontId="123" fillId="0" borderId="10" xfId="0" applyFont="1" applyBorder="1" applyAlignment="1">
      <alignment horizontal="left" vertical="center"/>
    </xf>
    <xf numFmtId="0" fontId="123" fillId="0" borderId="134" xfId="0" applyFont="1" applyBorder="1" applyAlignment="1">
      <alignment horizontal="left" vertical="center"/>
    </xf>
    <xf numFmtId="0" fontId="123" fillId="0" borderId="20" xfId="0" applyFont="1" applyBorder="1" applyAlignment="1">
      <alignment horizontal="left" vertical="center"/>
    </xf>
    <xf numFmtId="0" fontId="123" fillId="0" borderId="10" xfId="0" applyFont="1" applyBorder="1" applyAlignment="1">
      <alignment horizontal="left" vertical="center" wrapText="1"/>
    </xf>
    <xf numFmtId="0" fontId="123" fillId="0" borderId="134" xfId="0" applyFont="1" applyBorder="1" applyAlignment="1">
      <alignment horizontal="left" vertical="center" wrapText="1"/>
    </xf>
    <xf numFmtId="0" fontId="123" fillId="0" borderId="20" xfId="0" applyFont="1" applyBorder="1" applyAlignment="1">
      <alignment horizontal="left" vertical="center" wrapText="1"/>
    </xf>
    <xf numFmtId="0" fontId="155" fillId="0" borderId="0" xfId="0" applyFont="1" applyAlignment="1">
      <alignment horizontal="center"/>
    </xf>
    <xf numFmtId="0" fontId="155" fillId="0" borderId="0" xfId="0" applyFont="1" applyAlignment="1"/>
    <xf numFmtId="0" fontId="155" fillId="0" borderId="0" xfId="0" applyFont="1" applyAlignment="1">
      <alignment horizontal="left" vertical="top"/>
    </xf>
    <xf numFmtId="0" fontId="155" fillId="0" borderId="10" xfId="0" applyFont="1" applyBorder="1" applyAlignment="1">
      <alignment horizontal="center"/>
    </xf>
    <xf numFmtId="0" fontId="155" fillId="0" borderId="20" xfId="0" applyFont="1" applyBorder="1" applyAlignment="1">
      <alignment horizontal="center"/>
    </xf>
    <xf numFmtId="0" fontId="151" fillId="0" borderId="0" xfId="0" applyFont="1" applyBorder="1" applyAlignment="1">
      <alignment horizontal="left"/>
    </xf>
    <xf numFmtId="0" fontId="151" fillId="9" borderId="0" xfId="0" applyFont="1" applyFill="1" applyBorder="1" applyAlignment="1">
      <alignment horizontal="left"/>
    </xf>
    <xf numFmtId="0" fontId="151" fillId="9" borderId="0" xfId="0" applyFont="1" applyFill="1" applyBorder="1" applyAlignment="1">
      <alignment horizontal="left" vertical="top"/>
    </xf>
    <xf numFmtId="0" fontId="152" fillId="0" borderId="4" xfId="0" applyFont="1" applyBorder="1" applyAlignment="1">
      <alignment horizontal="center" vertical="center" wrapText="1"/>
    </xf>
    <xf numFmtId="0" fontId="152" fillId="9" borderId="4" xfId="0" applyFont="1" applyFill="1" applyBorder="1" applyAlignment="1">
      <alignment horizontal="center" vertical="center" wrapText="1"/>
    </xf>
    <xf numFmtId="0" fontId="152" fillId="9" borderId="4" xfId="0" applyFont="1" applyFill="1" applyBorder="1" applyAlignment="1">
      <alignment vertical="center"/>
    </xf>
    <xf numFmtId="0" fontId="152" fillId="9" borderId="10" xfId="0" applyFont="1" applyFill="1" applyBorder="1" applyAlignment="1">
      <alignment horizontal="center"/>
    </xf>
    <xf numFmtId="0" fontId="152" fillId="9" borderId="134" xfId="0" applyFont="1" applyFill="1" applyBorder="1" applyAlignment="1">
      <alignment horizontal="center"/>
    </xf>
    <xf numFmtId="0" fontId="152" fillId="9" borderId="20" xfId="0" applyFont="1" applyFill="1" applyBorder="1" applyAlignment="1">
      <alignment horizontal="center"/>
    </xf>
    <xf numFmtId="0" fontId="152" fillId="9" borderId="4" xfId="0" applyFont="1" applyFill="1" applyBorder="1" applyAlignment="1">
      <alignment horizontal="center"/>
    </xf>
    <xf numFmtId="0" fontId="154" fillId="0" borderId="4" xfId="0" applyFont="1" applyBorder="1" applyAlignment="1">
      <alignment horizontal="center" vertical="center"/>
    </xf>
    <xf numFmtId="0" fontId="153" fillId="0" borderId="0" xfId="0" applyFont="1" applyAlignment="1">
      <alignment horizontal="left" vertical="top"/>
    </xf>
    <xf numFmtId="0" fontId="153" fillId="0" borderId="0" xfId="0" applyFont="1" applyAlignment="1">
      <alignment horizontal="left"/>
    </xf>
    <xf numFmtId="0" fontId="150" fillId="0" borderId="4" xfId="0" applyFont="1" applyBorder="1" applyAlignment="1">
      <alignment horizontal="center"/>
    </xf>
    <xf numFmtId="0" fontId="153" fillId="0" borderId="0" xfId="503" applyFont="1" applyAlignment="1">
      <alignment horizontal="center"/>
    </xf>
    <xf numFmtId="0" fontId="156" fillId="0" borderId="0" xfId="503" applyFont="1" applyAlignment="1">
      <alignment horizontal="left" vertical="top"/>
    </xf>
    <xf numFmtId="0" fontId="150" fillId="0" borderId="10" xfId="503" applyFont="1" applyBorder="1" applyAlignment="1">
      <alignment horizontal="left" vertical="center" wrapText="1"/>
    </xf>
    <xf numFmtId="0" fontId="150" fillId="0" borderId="134" xfId="503" applyFont="1" applyBorder="1" applyAlignment="1">
      <alignment horizontal="left" vertical="center" wrapText="1"/>
    </xf>
    <xf numFmtId="0" fontId="150" fillId="0" borderId="20" xfId="503" applyFont="1" applyBorder="1" applyAlignment="1">
      <alignment horizontal="left" vertical="center" wrapText="1"/>
    </xf>
    <xf numFmtId="0" fontId="183" fillId="0" borderId="4" xfId="0" applyFont="1" applyBorder="1" applyAlignment="1">
      <alignment horizontal="center" vertical="center"/>
    </xf>
    <xf numFmtId="0" fontId="183" fillId="9" borderId="4" xfId="0" applyFont="1" applyFill="1" applyBorder="1" applyAlignment="1">
      <alignment horizontal="center" vertical="center"/>
    </xf>
    <xf numFmtId="0" fontId="183" fillId="0" borderId="4" xfId="0" applyFont="1" applyBorder="1" applyAlignment="1">
      <alignment horizontal="center" vertical="center" wrapText="1"/>
    </xf>
    <xf numFmtId="0" fontId="184" fillId="0" borderId="4" xfId="0" applyFont="1" applyBorder="1" applyAlignment="1">
      <alignment horizontal="center" vertical="center" wrapText="1"/>
    </xf>
    <xf numFmtId="0" fontId="0" fillId="0" borderId="0" xfId="0" applyAlignment="1">
      <alignment horizontal="center"/>
    </xf>
    <xf numFmtId="0" fontId="156" fillId="0" borderId="0" xfId="0" applyFont="1" applyAlignment="1">
      <alignment horizontal="center"/>
    </xf>
    <xf numFmtId="0" fontId="153" fillId="0" borderId="133" xfId="0" applyFont="1" applyBorder="1" applyAlignment="1">
      <alignment horizontal="center" vertical="top"/>
    </xf>
    <xf numFmtId="0" fontId="153" fillId="0" borderId="16" xfId="0" applyFont="1" applyBorder="1" applyAlignment="1">
      <alignment horizontal="center" vertical="top"/>
    </xf>
    <xf numFmtId="0" fontId="153" fillId="0" borderId="11" xfId="0" applyFont="1" applyBorder="1" applyAlignment="1">
      <alignment horizontal="center" vertical="top"/>
    </xf>
    <xf numFmtId="0" fontId="153" fillId="0" borderId="133" xfId="0" applyFont="1" applyBorder="1" applyAlignment="1">
      <alignment horizontal="center" vertical="top" wrapText="1"/>
    </xf>
    <xf numFmtId="0" fontId="153" fillId="0" borderId="16" xfId="0" applyFont="1" applyBorder="1" applyAlignment="1">
      <alignment horizontal="center" vertical="top" wrapText="1"/>
    </xf>
    <xf numFmtId="0" fontId="153" fillId="0" borderId="11" xfId="0" applyFont="1" applyBorder="1" applyAlignment="1">
      <alignment horizontal="center" vertical="top" wrapText="1"/>
    </xf>
    <xf numFmtId="0" fontId="153" fillId="0" borderId="4" xfId="0" applyFont="1" applyBorder="1" applyAlignment="1">
      <alignment horizontal="center"/>
    </xf>
    <xf numFmtId="0" fontId="153" fillId="0" borderId="10" xfId="0" applyFont="1" applyBorder="1" applyAlignment="1">
      <alignment horizontal="center"/>
    </xf>
    <xf numFmtId="0" fontId="153" fillId="0" borderId="134" xfId="0" applyFont="1" applyBorder="1" applyAlignment="1">
      <alignment horizontal="center"/>
    </xf>
    <xf numFmtId="0" fontId="153" fillId="0" borderId="20" xfId="0" applyFont="1" applyBorder="1" applyAlignment="1">
      <alignment horizontal="center"/>
    </xf>
    <xf numFmtId="0" fontId="153" fillId="0" borderId="4" xfId="0" applyFont="1" applyBorder="1" applyAlignment="1">
      <alignment horizontal="center" vertical="top" textRotation="180" wrapText="1"/>
    </xf>
    <xf numFmtId="0" fontId="153" fillId="0" borderId="16" xfId="0" applyFont="1" applyBorder="1" applyAlignment="1">
      <alignment horizontal="center" vertical="top" textRotation="180" wrapText="1"/>
    </xf>
    <xf numFmtId="0" fontId="153" fillId="0" borderId="11" xfId="0" applyFont="1" applyBorder="1" applyAlignment="1">
      <alignment horizontal="center" vertical="top" textRotation="180" wrapText="1"/>
    </xf>
    <xf numFmtId="0" fontId="153" fillId="0" borderId="133" xfId="0" applyFont="1" applyBorder="1" applyAlignment="1">
      <alignment horizontal="center" vertical="top" textRotation="180" wrapText="1"/>
    </xf>
    <xf numFmtId="0" fontId="153" fillId="9" borderId="133" xfId="0" applyFont="1" applyFill="1" applyBorder="1" applyAlignment="1">
      <alignment horizontal="center" vertical="center" wrapText="1"/>
    </xf>
    <xf numFmtId="0" fontId="153" fillId="9" borderId="16" xfId="0" applyFont="1" applyFill="1" applyBorder="1" applyAlignment="1">
      <alignment horizontal="center" vertical="center" wrapText="1"/>
    </xf>
    <xf numFmtId="0" fontId="153" fillId="9" borderId="11" xfId="0" applyFont="1" applyFill="1" applyBorder="1" applyAlignment="1">
      <alignment horizontal="center" vertical="center" wrapText="1"/>
    </xf>
    <xf numFmtId="0" fontId="150" fillId="9" borderId="4" xfId="0" applyFont="1" applyFill="1" applyBorder="1" applyAlignment="1">
      <alignment horizontal="center" vertical="center" textRotation="180" wrapText="1"/>
    </xf>
    <xf numFmtId="0" fontId="153" fillId="0" borderId="0" xfId="0" applyFont="1" applyAlignment="1"/>
    <xf numFmtId="0" fontId="150" fillId="9" borderId="4" xfId="0" applyFont="1" applyFill="1" applyBorder="1" applyAlignment="1">
      <alignment horizontal="center" vertical="center" wrapText="1"/>
    </xf>
    <xf numFmtId="0" fontId="12" fillId="0" borderId="0" xfId="0" applyFont="1" applyBorder="1" applyAlignment="1">
      <alignment horizontal="left"/>
    </xf>
    <xf numFmtId="0" fontId="9" fillId="0" borderId="10" xfId="0" applyFont="1" applyBorder="1" applyAlignment="1">
      <alignment horizontal="center" vertical="center"/>
    </xf>
    <xf numFmtId="0" fontId="9" fillId="0" borderId="134" xfId="0" applyFont="1" applyBorder="1" applyAlignment="1">
      <alignment horizontal="center" vertical="center"/>
    </xf>
    <xf numFmtId="46" fontId="117" fillId="0" borderId="4" xfId="0" quotePrefix="1" applyNumberFormat="1" applyFont="1" applyBorder="1" applyAlignment="1">
      <alignment horizontal="center"/>
    </xf>
    <xf numFmtId="174" fontId="133" fillId="0" borderId="4" xfId="72" applyNumberFormat="1" applyFont="1" applyFill="1" applyBorder="1" applyAlignment="1">
      <alignment horizontal="right"/>
    </xf>
    <xf numFmtId="2" fontId="133" fillId="0" borderId="4" xfId="0" applyNumberFormat="1" applyFont="1" applyFill="1" applyBorder="1" applyAlignment="1">
      <alignment horizontal="right"/>
    </xf>
    <xf numFmtId="2" fontId="133" fillId="0" borderId="4" xfId="72" applyNumberFormat="1" applyFont="1" applyFill="1" applyBorder="1" applyAlignment="1">
      <alignment horizontal="right"/>
    </xf>
    <xf numFmtId="10" fontId="125" fillId="9" borderId="4" xfId="0" applyNumberFormat="1" applyFont="1" applyFill="1" applyBorder="1" applyAlignment="1">
      <alignment vertical="center" wrapText="1"/>
    </xf>
    <xf numFmtId="10" fontId="125" fillId="9" borderId="4" xfId="0" applyNumberFormat="1" applyFont="1" applyFill="1" applyBorder="1" applyAlignment="1"/>
    <xf numFmtId="43" fontId="125" fillId="9" borderId="133" xfId="0" applyNumberFormat="1" applyFont="1" applyFill="1" applyBorder="1" applyAlignment="1">
      <alignment vertical="center" wrapText="1"/>
    </xf>
    <xf numFmtId="0" fontId="125" fillId="9" borderId="0" xfId="0" applyFont="1" applyFill="1" applyAlignment="1"/>
    <xf numFmtId="0" fontId="124" fillId="9" borderId="0" xfId="17" applyFont="1" applyFill="1" applyBorder="1" applyAlignment="1">
      <alignment vertical="center"/>
    </xf>
    <xf numFmtId="0" fontId="124" fillId="9" borderId="0" xfId="17" applyFont="1" applyFill="1" applyBorder="1" applyAlignment="1"/>
    <xf numFmtId="0" fontId="119" fillId="9" borderId="0" xfId="17" applyFont="1" applyFill="1" applyBorder="1" applyAlignment="1"/>
    <xf numFmtId="0" fontId="119" fillId="9" borderId="0" xfId="17" applyFont="1" applyFill="1" applyBorder="1" applyAlignment="1">
      <alignment horizontal="center"/>
    </xf>
    <xf numFmtId="0" fontId="119" fillId="9" borderId="0" xfId="0" applyFont="1" applyFill="1" applyAlignment="1">
      <alignment horizontal="center"/>
    </xf>
    <xf numFmtId="0" fontId="126" fillId="9" borderId="4" xfId="0" applyFont="1" applyFill="1" applyBorder="1" applyAlignment="1">
      <alignment horizontal="center" vertical="center" wrapText="1"/>
    </xf>
    <xf numFmtId="0" fontId="125" fillId="9" borderId="0" xfId="0" applyFont="1" applyFill="1" applyAlignment="1">
      <alignment horizontal="center" vertical="center"/>
    </xf>
    <xf numFmtId="0" fontId="125" fillId="9" borderId="4" xfId="0" applyFont="1" applyFill="1" applyBorder="1" applyAlignment="1">
      <alignment wrapText="1"/>
    </xf>
    <xf numFmtId="0" fontId="125" fillId="9" borderId="4" xfId="0" applyFont="1" applyFill="1" applyBorder="1" applyAlignment="1">
      <alignment vertical="top" wrapText="1"/>
    </xf>
    <xf numFmtId="2" fontId="125" fillId="9" borderId="4" xfId="0" applyNumberFormat="1" applyFont="1" applyFill="1" applyBorder="1" applyAlignment="1">
      <alignment wrapText="1"/>
    </xf>
    <xf numFmtId="10" fontId="125" fillId="9" borderId="4" xfId="58" applyNumberFormat="1" applyFont="1" applyFill="1" applyBorder="1" applyAlignment="1"/>
    <xf numFmtId="43" fontId="125" fillId="9" borderId="4" xfId="885" applyFont="1" applyFill="1" applyBorder="1" applyAlignment="1">
      <alignment wrapText="1"/>
    </xf>
    <xf numFmtId="2" fontId="125" fillId="9" borderId="4" xfId="0" applyNumberFormat="1" applyFont="1" applyFill="1" applyBorder="1"/>
    <xf numFmtId="168" fontId="125" fillId="9" borderId="4" xfId="72" applyFont="1" applyFill="1" applyBorder="1"/>
    <xf numFmtId="10" fontId="125" fillId="9" borderId="4" xfId="58" applyNumberFormat="1" applyFont="1" applyFill="1" applyBorder="1"/>
    <xf numFmtId="2" fontId="126" fillId="9" borderId="4" xfId="0" applyNumberFormat="1" applyFont="1" applyFill="1" applyBorder="1"/>
    <xf numFmtId="0" fontId="126" fillId="9" borderId="4" xfId="0" applyFont="1" applyFill="1" applyBorder="1" applyAlignment="1"/>
    <xf numFmtId="208" fontId="125" fillId="9" borderId="4" xfId="72" applyNumberFormat="1" applyFont="1" applyFill="1" applyBorder="1"/>
    <xf numFmtId="208" fontId="125" fillId="9" borderId="4" xfId="72" applyNumberFormat="1" applyFont="1" applyFill="1" applyBorder="1" applyAlignment="1"/>
    <xf numFmtId="174" fontId="125" fillId="9" borderId="4" xfId="72" applyNumberFormat="1" applyFont="1" applyFill="1" applyBorder="1" applyAlignment="1"/>
    <xf numFmtId="174" fontId="125" fillId="9" borderId="0" xfId="0" applyNumberFormat="1" applyFont="1" applyFill="1" applyAlignment="1"/>
    <xf numFmtId="1" fontId="126" fillId="9" borderId="4" xfId="0" applyNumberFormat="1" applyFont="1" applyFill="1" applyBorder="1"/>
    <xf numFmtId="1" fontId="125" fillId="9" borderId="4" xfId="72" applyNumberFormat="1" applyFont="1" applyFill="1" applyBorder="1"/>
    <xf numFmtId="1" fontId="126" fillId="9" borderId="4" xfId="72" applyNumberFormat="1" applyFont="1" applyFill="1" applyBorder="1"/>
    <xf numFmtId="1" fontId="125" fillId="9" borderId="4" xfId="72" applyNumberFormat="1" applyFont="1" applyFill="1" applyBorder="1" applyAlignment="1"/>
    <xf numFmtId="209" fontId="125" fillId="9" borderId="4" xfId="72" applyNumberFormat="1" applyFont="1" applyFill="1" applyBorder="1"/>
    <xf numFmtId="0" fontId="125" fillId="9" borderId="4" xfId="0" applyFont="1" applyFill="1" applyBorder="1" applyAlignment="1">
      <alignment horizontal="center" vertical="top"/>
    </xf>
    <xf numFmtId="43" fontId="125" fillId="9" borderId="4" xfId="0" applyNumberFormat="1" applyFont="1" applyFill="1" applyBorder="1"/>
    <xf numFmtId="43" fontId="125" fillId="9" borderId="4" xfId="885" applyFont="1" applyFill="1" applyBorder="1"/>
    <xf numFmtId="0" fontId="126" fillId="9" borderId="0" xfId="0" applyFont="1" applyFill="1"/>
    <xf numFmtId="43" fontId="125" fillId="9" borderId="0" xfId="0" applyNumberFormat="1" applyFont="1" applyFill="1" applyAlignment="1"/>
    <xf numFmtId="0" fontId="125" fillId="9" borderId="0" xfId="0" applyFont="1" applyFill="1" applyAlignment="1">
      <alignment horizontal="justify"/>
    </xf>
    <xf numFmtId="0" fontId="125" fillId="9" borderId="0" xfId="0" applyFont="1" applyFill="1" applyAlignment="1">
      <alignment horizontal="left" wrapText="1"/>
    </xf>
    <xf numFmtId="0" fontId="125" fillId="9" borderId="0" xfId="0" applyFont="1" applyFill="1" applyAlignment="1">
      <alignment horizontal="left"/>
    </xf>
    <xf numFmtId="0" fontId="120" fillId="9" borderId="0" xfId="564" applyFont="1" applyFill="1" applyBorder="1" applyAlignment="1">
      <alignment horizontal="center"/>
    </xf>
    <xf numFmtId="0" fontId="125" fillId="9" borderId="0" xfId="0" applyFont="1" applyFill="1" applyAlignment="1"/>
    <xf numFmtId="10" fontId="123" fillId="9" borderId="0" xfId="58" applyNumberFormat="1" applyFont="1" applyFill="1" applyBorder="1" applyAlignment="1">
      <alignment vertical="center"/>
    </xf>
  </cellXfs>
  <cellStyles count="4206">
    <cellStyle name="." xfId="81"/>
    <cellStyle name="??" xfId="82"/>
    <cellStyle name="?? [0.00]_PRODUCT DETAIL Q1" xfId="83"/>
    <cellStyle name="?? [0]" xfId="84"/>
    <cellStyle name="???? [0.00]_PRODUCT DETAIL Q1" xfId="85"/>
    <cellStyle name="????_PRODUCT DETAIL Q1" xfId="86"/>
    <cellStyle name="???[0]_ÿÿÿÿÿ" xfId="87"/>
    <cellStyle name="???_95" xfId="88"/>
    <cellStyle name="??_(????)??????" xfId="89"/>
    <cellStyle name="_asia pacific Global P  Ls (3)" xfId="90"/>
    <cellStyle name="_China - Segementwise P&amp;L July'07" xfId="91"/>
    <cellStyle name="_China asia pacific Global P - June07" xfId="92"/>
    <cellStyle name="_Format - Top15 Products" xfId="93"/>
    <cellStyle name="_G_CSF schedule_Sept'08" xfId="94"/>
    <cellStyle name="_G_CSF schedule_Sept'08_RLL_SEBI_One pager_Mar 2010" xfId="95"/>
    <cellStyle name="_G_CSF schedule_Sept'08_RLL_SEBI_One pager_Mar 2010_RLL Standalone results 10 August 2010 - Final" xfId="96"/>
    <cellStyle name="_G_CSF schedule_Sept'08_SEBI_Standalone_Sep 30 2009 (4)" xfId="97"/>
    <cellStyle name="_G_CSF schedule_Sept'08_SEBI_Standalone_Sep 30 2009 (4)_RLL Standalone results 10 August 2010 - Final" xfId="98"/>
    <cellStyle name="_Malaysia - Top Products WC - QIII QIV'07" xfId="99"/>
    <cellStyle name="_Malaysia - Top Products WC - QIII QIV'07_RLL Standalone results 10 August 2010 - Final" xfId="100"/>
    <cellStyle name="_Myanmar - Top 15 &amp; new products QIII QIV'07" xfId="101"/>
    <cellStyle name="_Myanmar - Top 15 &amp; new products QIII QIV'07_RLL Standalone results 10 August 2010 - Final" xfId="102"/>
    <cellStyle name="_QII Formats_07" xfId="103"/>
    <cellStyle name="_QII Formats_07_RLL Standalone results 10 August 2010 - Final" xfId="104"/>
    <cellStyle name="_Tax on fixed assets_1-12'08" xfId="105"/>
    <cellStyle name="_Tax on Fixed Assets_1-9'08" xfId="106"/>
    <cellStyle name="_Thailand - Top 15 &amp; new products QIII QIV'07" xfId="107"/>
    <cellStyle name="_Thailand - Top 15 &amp; new products QIII QIV'07_RLL Standalone results 10 August 2010 - Final" xfId="108"/>
    <cellStyle name="_Ukraine -Products &amp; WC LE Q3_Q4" xfId="109"/>
    <cellStyle name="_Ukraine -Products &amp; WC LE Q3_Q4_RLL Standalone results 10 August 2010 - Final" xfId="110"/>
    <cellStyle name="_Vietnam - Top Products &amp; WC - QIII QIV'07" xfId="111"/>
    <cellStyle name="_Vietnam - Top Products &amp; WC - QIII QIV'07_RLL Standalone results 10 August 2010 - Final" xfId="112"/>
    <cellStyle name="_Working Capital Prj" xfId="113"/>
    <cellStyle name="_Working Capital Prj_RLL Standalone results 10 August 2010 - Final" xfId="114"/>
    <cellStyle name="_Workingfile01" xfId="115"/>
    <cellStyle name="_Workingfile01_RLL Standalone results 10 August 2010 - Final" xfId="116"/>
    <cellStyle name="+27.577+36" xfId="117"/>
    <cellStyle name="=C:\WINNT\SYSTEM32\COMMAND.COM" xfId="118"/>
    <cellStyle name="1" xfId="119"/>
    <cellStyle name="2" xfId="120"/>
    <cellStyle name="20% - Accent1 2" xfId="340"/>
    <cellStyle name="20% - Accent2 2" xfId="341"/>
    <cellStyle name="20% - Accent3 2" xfId="342"/>
    <cellStyle name="20% - Accent4 2" xfId="343"/>
    <cellStyle name="20% - Accent5 2" xfId="344"/>
    <cellStyle name="20% - Accent6 2" xfId="345"/>
    <cellStyle name="3" xfId="121"/>
    <cellStyle name="4" xfId="122"/>
    <cellStyle name="40% - Accent1 2" xfId="346"/>
    <cellStyle name="40% - Accent2 2" xfId="347"/>
    <cellStyle name="40% - Accent3 2" xfId="348"/>
    <cellStyle name="40% - Accent4 2" xfId="349"/>
    <cellStyle name="40% - Accent5 2" xfId="350"/>
    <cellStyle name="40% - Accent6 2" xfId="351"/>
    <cellStyle name="60% - Accent1 2" xfId="352"/>
    <cellStyle name="60% - Accent2 2" xfId="353"/>
    <cellStyle name="60% - Accent3 2" xfId="354"/>
    <cellStyle name="60% - Accent4 2" xfId="355"/>
    <cellStyle name="60% - Accent5 2" xfId="356"/>
    <cellStyle name="60% - Accent6 2" xfId="357"/>
    <cellStyle name="Accent1 2" xfId="358"/>
    <cellStyle name="Accent2 2" xfId="359"/>
    <cellStyle name="Accent3 2" xfId="360"/>
    <cellStyle name="Accent4 2" xfId="361"/>
    <cellStyle name="Accent5 2" xfId="362"/>
    <cellStyle name="Accent6 2" xfId="363"/>
    <cellStyle name="ÅëÈ­ [0]_¿ì¹°Åë" xfId="123"/>
    <cellStyle name="AeE­ [0]_INQUIRY ¿µ¾÷AßAø " xfId="124"/>
    <cellStyle name="ÅëÈ­_¿ì¹°Åë" xfId="125"/>
    <cellStyle name="AeE­_INQUIRY ¿µ¾÷AßAø " xfId="126"/>
    <cellStyle name="ÄÞ¸¶ [0]_¿ì¹°Åë" xfId="127"/>
    <cellStyle name="AÞ¸¶ [0]_INQUIRY ¿?¾÷AßAø " xfId="128"/>
    <cellStyle name="ÄÞ¸¶_¿ì¹°Åë" xfId="129"/>
    <cellStyle name="AÞ¸¶_INQUIRY ¿?¾÷AßAø " xfId="130"/>
    <cellStyle name="Bad 2" xfId="364"/>
    <cellStyle name="Body" xfId="2"/>
    <cellStyle name="Border" xfId="131"/>
    <cellStyle name="Border 2" xfId="971"/>
    <cellStyle name="Border 3" xfId="1106"/>
    <cellStyle name="Border 3 2" xfId="2993"/>
    <cellStyle name="Border 4" xfId="1184"/>
    <cellStyle name="Border 4 2" xfId="3039"/>
    <cellStyle name="Border 5" xfId="1148"/>
    <cellStyle name="Border 5 2" xfId="3017"/>
    <cellStyle name="Border 6" xfId="447"/>
    <cellStyle name="Border 6 2" xfId="2777"/>
    <cellStyle name="Border 7" xfId="1869"/>
    <cellStyle name="Border 7 2" xfId="3529"/>
    <cellStyle name="Border 8" xfId="2086"/>
    <cellStyle name="Border 8 2" xfId="3730"/>
    <cellStyle name="Border 9" xfId="2727"/>
    <cellStyle name="C?AØ_¿?¾÷CoE² " xfId="132"/>
    <cellStyle name="Ç¥ÁØ_´çÃÊ±¸ÀÔ»ý»ê" xfId="133"/>
    <cellStyle name="C￥AØ_¿μ¾÷CoE² " xfId="134"/>
    <cellStyle name="Calc Currency (0)" xfId="135"/>
    <cellStyle name="Calc Currency (2)" xfId="136"/>
    <cellStyle name="Calc Percent (0)" xfId="137"/>
    <cellStyle name="Calc Percent (1)" xfId="138"/>
    <cellStyle name="Calc Percent (2)" xfId="139"/>
    <cellStyle name="Calc Units (0)" xfId="140"/>
    <cellStyle name="Calc Units (1)" xfId="141"/>
    <cellStyle name="Calc Units (2)" xfId="142"/>
    <cellStyle name="Calculation 2" xfId="365"/>
    <cellStyle name="Calculation 2 2" xfId="934"/>
    <cellStyle name="Calculation 2 2 2" xfId="1684"/>
    <cellStyle name="Calculation 2 2 2 2" xfId="3360"/>
    <cellStyle name="Calculation 2 2 3" xfId="1911"/>
    <cellStyle name="Calculation 2 2 3 2" xfId="3565"/>
    <cellStyle name="Calculation 2 2 4" xfId="2129"/>
    <cellStyle name="Calculation 2 2 4 2" xfId="3767"/>
    <cellStyle name="Calculation 2 2 5" xfId="2342"/>
    <cellStyle name="Calculation 2 2 5 2" xfId="3967"/>
    <cellStyle name="Calculation 2 2 6" xfId="2547"/>
    <cellStyle name="Calculation 2 2 7" xfId="2843"/>
    <cellStyle name="Calculation 2 3" xfId="1381"/>
    <cellStyle name="Calculation 2 3 2" xfId="3113"/>
    <cellStyle name="Calculation 2 4" xfId="1292"/>
    <cellStyle name="Calculation 2 4 2" xfId="3094"/>
    <cellStyle name="Calculation 2 5" xfId="1356"/>
    <cellStyle name="Calculation 2 5 2" xfId="3097"/>
    <cellStyle name="Calculation 2 6" xfId="1931"/>
    <cellStyle name="Calculation 2 6 2" xfId="3585"/>
    <cellStyle name="Calculation 2 7" xfId="2091"/>
    <cellStyle name="Calculation 2 7 2" xfId="3733"/>
    <cellStyle name="Calculation 2 8" xfId="2773"/>
    <cellStyle name="category" xfId="143"/>
    <cellStyle name="Check Cell 2" xfId="366"/>
    <cellStyle name="CHUONG" xfId="144"/>
    <cellStyle name="Comma" xfId="72" builtinId="3"/>
    <cellStyle name="Comma  - Style1" xfId="4"/>
    <cellStyle name="Comma [0] 2" xfId="367"/>
    <cellStyle name="Comma [00]" xfId="145"/>
    <cellStyle name="Comma 10" xfId="35"/>
    <cellStyle name="Comma 10 10" xfId="1483"/>
    <cellStyle name="Comma 10 11" xfId="1293"/>
    <cellStyle name="Comma 10 12" xfId="2692"/>
    <cellStyle name="Comma 10 2" xfId="80"/>
    <cellStyle name="Comma 10 2 2" xfId="861"/>
    <cellStyle name="Comma 10 2 2 2" xfId="885"/>
    <cellStyle name="Comma 10 2 2 3" xfId="1493"/>
    <cellStyle name="Comma 10 2 2 4" xfId="495"/>
    <cellStyle name="Comma 10 2 2 5" xfId="1872"/>
    <cellStyle name="Comma 10 2 2 6" xfId="2089"/>
    <cellStyle name="Comma 10 2 2 7" xfId="2303"/>
    <cellStyle name="Comma 10 2 2 8" xfId="2509"/>
    <cellStyle name="Comma 10 2 3" xfId="1474"/>
    <cellStyle name="Comma 10 2 4" xfId="1091"/>
    <cellStyle name="Comma 10 2 5" xfId="1856"/>
    <cellStyle name="Comma 10 2 6" xfId="2073"/>
    <cellStyle name="Comma 10 2 7" xfId="2289"/>
    <cellStyle name="Comma 10 2 8" xfId="2498"/>
    <cellStyle name="Comma 10 3" xfId="878"/>
    <cellStyle name="Comma 10 4" xfId="886"/>
    <cellStyle name="Comma 10 5" xfId="960"/>
    <cellStyle name="Comma 10 6" xfId="574"/>
    <cellStyle name="Comma 10 7" xfId="1205"/>
    <cellStyle name="Comma 10 8" xfId="1452"/>
    <cellStyle name="Comma 10 9" xfId="1124"/>
    <cellStyle name="Comma 10_Notes" xfId="368"/>
    <cellStyle name="Comma 11" xfId="38"/>
    <cellStyle name="Comma 11 2" xfId="887"/>
    <cellStyle name="Comma 11 3" xfId="1494"/>
    <cellStyle name="Comma 11 4" xfId="1645"/>
    <cellStyle name="Comma 11 5" xfId="1873"/>
    <cellStyle name="Comma 11 6" xfId="2090"/>
    <cellStyle name="Comma 11 7" xfId="2304"/>
    <cellStyle name="Comma 11 8" xfId="2510"/>
    <cellStyle name="Comma 11 9" xfId="2695"/>
    <cellStyle name="Comma 12" xfId="31"/>
    <cellStyle name="Comma 12 2" xfId="2688"/>
    <cellStyle name="Comma 13" xfId="43"/>
    <cellStyle name="Comma 13 2" xfId="2700"/>
    <cellStyle name="Comma 14" xfId="46"/>
    <cellStyle name="Comma 14 2" xfId="2703"/>
    <cellStyle name="Comma 15" xfId="49"/>
    <cellStyle name="Comma 15 2" xfId="2706"/>
    <cellStyle name="Comma 16" xfId="52"/>
    <cellStyle name="Comma 16 2" xfId="2709"/>
    <cellStyle name="Comma 17" xfId="4201"/>
    <cellStyle name="Comma 18" xfId="4202"/>
    <cellStyle name="Comma 2" xfId="5"/>
    <cellStyle name="Comma 2 10" xfId="369"/>
    <cellStyle name="Comma 2 11" xfId="370"/>
    <cellStyle name="Comma 2 12" xfId="371"/>
    <cellStyle name="Comma 2 13" xfId="372"/>
    <cellStyle name="Comma 2 14" xfId="373"/>
    <cellStyle name="Comma 2 15" xfId="374"/>
    <cellStyle name="Comma 2 16" xfId="375"/>
    <cellStyle name="Comma 2 17" xfId="376"/>
    <cellStyle name="Comma 2 18" xfId="377"/>
    <cellStyle name="Comma 2 19" xfId="378"/>
    <cellStyle name="Comma 2 2" xfId="73"/>
    <cellStyle name="Comma 2 2 10" xfId="380"/>
    <cellStyle name="Comma 2 2 11" xfId="381"/>
    <cellStyle name="Comma 2 2 12" xfId="382"/>
    <cellStyle name="Comma 2 2 13" xfId="383"/>
    <cellStyle name="Comma 2 2 14" xfId="384"/>
    <cellStyle name="Comma 2 2 15" xfId="385"/>
    <cellStyle name="Comma 2 2 16" xfId="386"/>
    <cellStyle name="Comma 2 2 17" xfId="387"/>
    <cellStyle name="Comma 2 2 18" xfId="388"/>
    <cellStyle name="Comma 2 2 19" xfId="389"/>
    <cellStyle name="Comma 2 2 2" xfId="379"/>
    <cellStyle name="Comma 2 2 2 2" xfId="2726"/>
    <cellStyle name="Comma 2 2 2 2 2" xfId="2774"/>
    <cellStyle name="Comma 2 2 20" xfId="391"/>
    <cellStyle name="Comma 2 2 21" xfId="392"/>
    <cellStyle name="Comma 2 2 22" xfId="393"/>
    <cellStyle name="Comma 2 2 23" xfId="394"/>
    <cellStyle name="Comma 2 2 24" xfId="395"/>
    <cellStyle name="Comma 2 2 25" xfId="396"/>
    <cellStyle name="Comma 2 2 26" xfId="397"/>
    <cellStyle name="Comma 2 2 26 2" xfId="398"/>
    <cellStyle name="Comma 2 2 27" xfId="399"/>
    <cellStyle name="Comma 2 2 28" xfId="400"/>
    <cellStyle name="Comma 2 2 29" xfId="401"/>
    <cellStyle name="Comma 2 2 3" xfId="402"/>
    <cellStyle name="Comma 2 2 30" xfId="403"/>
    <cellStyle name="Comma 2 2 31" xfId="862"/>
    <cellStyle name="Comma 2 2 32" xfId="879"/>
    <cellStyle name="Comma 2 2 33" xfId="1236"/>
    <cellStyle name="Comma 2 2 34" xfId="1375"/>
    <cellStyle name="Comma 2 2 35" xfId="1297"/>
    <cellStyle name="Comma 2 2 36" xfId="1505"/>
    <cellStyle name="Comma 2 2 37" xfId="1943"/>
    <cellStyle name="Comma 2 2 38" xfId="1247"/>
    <cellStyle name="Comma 2 2 39" xfId="2679"/>
    <cellStyle name="Comma 2 2 4" xfId="404"/>
    <cellStyle name="Comma 2 2 5" xfId="405"/>
    <cellStyle name="Comma 2 2 6" xfId="406"/>
    <cellStyle name="Comma 2 2 7" xfId="407"/>
    <cellStyle name="Comma 2 2 8" xfId="408"/>
    <cellStyle name="Comma 2 2 9" xfId="409"/>
    <cellStyle name="Comma 2 20" xfId="410"/>
    <cellStyle name="Comma 2 21" xfId="411"/>
    <cellStyle name="Comma 2 22" xfId="412"/>
    <cellStyle name="Comma 2 23" xfId="413"/>
    <cellStyle name="Comma 2 24" xfId="414"/>
    <cellStyle name="Comma 2 25" xfId="415"/>
    <cellStyle name="Comma 2 26" xfId="416"/>
    <cellStyle name="Comma 2 27" xfId="417"/>
    <cellStyle name="Comma 2 28" xfId="859"/>
    <cellStyle name="Comma 2 29" xfId="860"/>
    <cellStyle name="Comma 2 3" xfId="418"/>
    <cellStyle name="Comma 2 30" xfId="888"/>
    <cellStyle name="Comma 2 31" xfId="954"/>
    <cellStyle name="Comma 2 32" xfId="339"/>
    <cellStyle name="Comma 2 33" xfId="1217"/>
    <cellStyle name="Comma 2 34" xfId="1402"/>
    <cellStyle name="Comma 2 35" xfId="1284"/>
    <cellStyle name="Comma 2 36" xfId="1219"/>
    <cellStyle name="Comma 2 37" xfId="1301"/>
    <cellStyle name="Comma 2 38" xfId="4204"/>
    <cellStyle name="Comma 2 4" xfId="419"/>
    <cellStyle name="Comma 2 5" xfId="420"/>
    <cellStyle name="Comma 2 6" xfId="421"/>
    <cellStyle name="Comma 2 7" xfId="422"/>
    <cellStyle name="Comma 2 8" xfId="423"/>
    <cellStyle name="Comma 2 9" xfId="424"/>
    <cellStyle name="Comma 2_BS AT&amp;C" xfId="823"/>
    <cellStyle name="Comma 25" xfId="4205"/>
    <cellStyle name="Comma 3" xfId="3"/>
    <cellStyle name="Comma 3 10" xfId="182"/>
    <cellStyle name="Comma 3 11" xfId="1868"/>
    <cellStyle name="Comma 3 12" xfId="2085"/>
    <cellStyle name="Comma 3 13" xfId="4203"/>
    <cellStyle name="Comma 3 2" xfId="60"/>
    <cellStyle name="Comma 3 2 10" xfId="2714"/>
    <cellStyle name="Comma 3 2 2" xfId="425"/>
    <cellStyle name="Comma 3 2 3" xfId="890"/>
    <cellStyle name="Comma 3 2 4" xfId="1273"/>
    <cellStyle name="Comma 3 2 5" xfId="1487"/>
    <cellStyle name="Comma 3 2 6" xfId="1307"/>
    <cellStyle name="Comma 3 2 7" xfId="1459"/>
    <cellStyle name="Comma 3 2 8" xfId="1108"/>
    <cellStyle name="Comma 3 2 9" xfId="1829"/>
    <cellStyle name="Comma 3 3" xfId="77"/>
    <cellStyle name="Comma 3 3 2" xfId="863"/>
    <cellStyle name="Comma 3 3 3" xfId="1476"/>
    <cellStyle name="Comma 3 3 4" xfId="1089"/>
    <cellStyle name="Comma 3 3 5" xfId="1857"/>
    <cellStyle name="Comma 3 3 6" xfId="2074"/>
    <cellStyle name="Comma 3 3 7" xfId="2290"/>
    <cellStyle name="Comma 3 3 8" xfId="2499"/>
    <cellStyle name="Comma 3 4" xfId="880"/>
    <cellStyle name="Comma 3 5" xfId="891"/>
    <cellStyle name="Comma 3 6" xfId="957"/>
    <cellStyle name="Comma 3 7" xfId="203"/>
    <cellStyle name="Comma 3 8" xfId="1213"/>
    <cellStyle name="Comma 3 9" xfId="1405"/>
    <cellStyle name="Comma 4" xfId="18"/>
    <cellStyle name="Comma 4 2" xfId="64"/>
    <cellStyle name="Comma 4 2 2" xfId="892"/>
    <cellStyle name="Comma 4 2 3" xfId="1498"/>
    <cellStyle name="Comma 4 2 4" xfId="1646"/>
    <cellStyle name="Comma 4 2 5" xfId="1874"/>
    <cellStyle name="Comma 4 2 6" xfId="2092"/>
    <cellStyle name="Comma 4 2 7" xfId="2305"/>
    <cellStyle name="Comma 4 2 8" xfId="2511"/>
    <cellStyle name="Comma 4 2 9" xfId="2718"/>
    <cellStyle name="Comma 4 3" xfId="973"/>
    <cellStyle name="Comma 5" xfId="21"/>
    <cellStyle name="Comma 5 2" xfId="67"/>
    <cellStyle name="Comma 5 2 2" xfId="893"/>
    <cellStyle name="Comma 5 2 3" xfId="1499"/>
    <cellStyle name="Comma 5 2 4" xfId="1647"/>
    <cellStyle name="Comma 5 2 5" xfId="1875"/>
    <cellStyle name="Comma 5 2 6" xfId="2093"/>
    <cellStyle name="Comma 5 2 7" xfId="2306"/>
    <cellStyle name="Comma 5 2 8" xfId="2512"/>
    <cellStyle name="Comma 5 2 9" xfId="2721"/>
    <cellStyle name="Comma 5 3" xfId="974"/>
    <cellStyle name="Comma 6" xfId="22"/>
    <cellStyle name="Comma 6 10" xfId="1513"/>
    <cellStyle name="Comma 6 11" xfId="1246"/>
    <cellStyle name="Comma 6 12" xfId="1218"/>
    <cellStyle name="Comma 6 13" xfId="1417"/>
    <cellStyle name="Comma 6 2" xfId="68"/>
    <cellStyle name="Comma 6 2 2" xfId="427"/>
    <cellStyle name="Comma 6 2 3" xfId="1274"/>
    <cellStyle name="Comma 6 2 4" xfId="1355"/>
    <cellStyle name="Comma 6 2 5" xfId="1308"/>
    <cellStyle name="Comma 6 2 6" xfId="1507"/>
    <cellStyle name="Comma 6 2 7" xfId="1171"/>
    <cellStyle name="Comma 6 2 8" xfId="1828"/>
    <cellStyle name="Comma 6 2 9" xfId="2722"/>
    <cellStyle name="Comma 6 3" xfId="148"/>
    <cellStyle name="Comma 6 3 2" xfId="428"/>
    <cellStyle name="Comma 6 3 3" xfId="1275"/>
    <cellStyle name="Comma 6 3 4" xfId="1354"/>
    <cellStyle name="Comma 6 3 5" xfId="1309"/>
    <cellStyle name="Comma 6 3 6" xfId="1720"/>
    <cellStyle name="Comma 6 3 7" xfId="1944"/>
    <cellStyle name="Comma 6 3 8" xfId="1240"/>
    <cellStyle name="Comma 6 4" xfId="429"/>
    <cellStyle name="Comma 6 5" xfId="430"/>
    <cellStyle name="Comma 6 6" xfId="431"/>
    <cellStyle name="Comma 6 7" xfId="975"/>
    <cellStyle name="Comma 6 8" xfId="1110"/>
    <cellStyle name="Comma 6 9" xfId="1179"/>
    <cellStyle name="Comma 6_Notes" xfId="426"/>
    <cellStyle name="Comma 7" xfId="27"/>
    <cellStyle name="Comma 7 10" xfId="1415"/>
    <cellStyle name="Comma 7 11" xfId="2684"/>
    <cellStyle name="Comma 7 2" xfId="149"/>
    <cellStyle name="Comma 7 2 2" xfId="433"/>
    <cellStyle name="Comma 7 2 3" xfId="1278"/>
    <cellStyle name="Comma 7 2 4" xfId="1353"/>
    <cellStyle name="Comma 7 2 5" xfId="1310"/>
    <cellStyle name="Comma 7 2 6" xfId="1177"/>
    <cellStyle name="Comma 7 2 7" xfId="1172"/>
    <cellStyle name="Comma 7 2 8" xfId="1238"/>
    <cellStyle name="Comma 7 3" xfId="434"/>
    <cellStyle name="Comma 7 4" xfId="894"/>
    <cellStyle name="Comma 7 5" xfId="1111"/>
    <cellStyle name="Comma 7 6" xfId="1506"/>
    <cellStyle name="Comma 7 7" xfId="1169"/>
    <cellStyle name="Comma 7 8" xfId="1244"/>
    <cellStyle name="Comma 7 9" xfId="1202"/>
    <cellStyle name="Comma 7_Notes" xfId="432"/>
    <cellStyle name="Comma 8" xfId="30"/>
    <cellStyle name="Comma 8 10" xfId="1414"/>
    <cellStyle name="Comma 8 11" xfId="2687"/>
    <cellStyle name="Comma 8 2" xfId="150"/>
    <cellStyle name="Comma 8 2 2" xfId="435"/>
    <cellStyle name="Comma 8 2 3" xfId="1280"/>
    <cellStyle name="Comma 8 2 4" xfId="1352"/>
    <cellStyle name="Comma 8 2 5" xfId="1312"/>
    <cellStyle name="Comma 8 2 6" xfId="1508"/>
    <cellStyle name="Comma 8 2 7" xfId="1521"/>
    <cellStyle name="Comma 8 2 8" xfId="1237"/>
    <cellStyle name="Comma 8 3" xfId="895"/>
    <cellStyle name="Comma 8 4" xfId="976"/>
    <cellStyle name="Comma 8 5" xfId="1112"/>
    <cellStyle name="Comma 8 6" xfId="1178"/>
    <cellStyle name="Comma 8 7" xfId="1593"/>
    <cellStyle name="Comma 8 8" xfId="1243"/>
    <cellStyle name="Comma 8 9" xfId="1203"/>
    <cellStyle name="Comma 9" xfId="32"/>
    <cellStyle name="Comma 9 10" xfId="1299"/>
    <cellStyle name="Comma 9 11" xfId="2689"/>
    <cellStyle name="Comma 9 2" xfId="74"/>
    <cellStyle name="Comma 9 2 2" xfId="896"/>
    <cellStyle name="Comma 9 2 3" xfId="1501"/>
    <cellStyle name="Comma 9 2 4" xfId="1648"/>
    <cellStyle name="Comma 9 2 5" xfId="1876"/>
    <cellStyle name="Comma 9 2 6" xfId="2094"/>
    <cellStyle name="Comma 9 2 7" xfId="2307"/>
    <cellStyle name="Comma 9 2 8" xfId="2513"/>
    <cellStyle name="Comma 9 3" xfId="897"/>
    <cellStyle name="Comma 9 4" xfId="955"/>
    <cellStyle name="Comma 9 5" xfId="772"/>
    <cellStyle name="Comma 9 6" xfId="1216"/>
    <cellStyle name="Comma 9 7" xfId="1403"/>
    <cellStyle name="Comma 9 8" xfId="1283"/>
    <cellStyle name="Comma 9 9" xfId="1141"/>
    <cellStyle name="Comma ã0î" xfId="151"/>
    <cellStyle name="comma zerodec" xfId="152"/>
    <cellStyle name="Comma0" xfId="153"/>
    <cellStyle name="COMPS" xfId="154"/>
    <cellStyle name="Copied" xfId="155"/>
    <cellStyle name="Curren - Style2" xfId="6"/>
    <cellStyle name="Currency [00]" xfId="156"/>
    <cellStyle name="Currency 2" xfId="157"/>
    <cellStyle name="Currency0" xfId="158"/>
    <cellStyle name="Currency1" xfId="159"/>
    <cellStyle name="DATA_ENT" xfId="160"/>
    <cellStyle name="Date" xfId="161"/>
    <cellStyle name="Date Short" xfId="162"/>
    <cellStyle name="Date_Book2 (5)" xfId="163"/>
    <cellStyle name="DELTA" xfId="164"/>
    <cellStyle name="Dezimal_Europe CIS   Africa Global P Ls" xfId="165"/>
    <cellStyle name="Dollar (zero dec)" xfId="166"/>
    <cellStyle name="DOWNFOOT" xfId="167"/>
    <cellStyle name="DOWNFOOT 2" xfId="977"/>
    <cellStyle name="DOWNFOOT 3" xfId="1123"/>
    <cellStyle name="DOWNFOOT 3 2" xfId="3002"/>
    <cellStyle name="DOWNFOOT 4" xfId="1455"/>
    <cellStyle name="DOWNFOOT 4 2" xfId="3164"/>
    <cellStyle name="DOWNFOOT 5" xfId="1546"/>
    <cellStyle name="DOWNFOOT 5 2" xfId="3230"/>
    <cellStyle name="DOWNFOOT 6" xfId="1831"/>
    <cellStyle name="DOWNFOOT 6 2" xfId="3498"/>
    <cellStyle name="DOWNFOOT 7" xfId="2050"/>
    <cellStyle name="DOWNFOOT 7 2" xfId="3701"/>
    <cellStyle name="DOWNFOOT 8" xfId="2267"/>
    <cellStyle name="DOWNFOOT 8 2" xfId="3903"/>
    <cellStyle name="DOWNFOOT 9" xfId="2730"/>
    <cellStyle name="Dziesiętny_P Ls_Poland_August 2007" xfId="168"/>
    <cellStyle name="Enter Currency (0)" xfId="169"/>
    <cellStyle name="Enter Currency (2)" xfId="170"/>
    <cellStyle name="Enter Units (0)" xfId="171"/>
    <cellStyle name="Enter Units (1)" xfId="172"/>
    <cellStyle name="Enter Units (2)" xfId="173"/>
    <cellStyle name="Entered" xfId="174"/>
    <cellStyle name="Euro" xfId="175"/>
    <cellStyle name="Excel Built-in Normal" xfId="4196"/>
    <cellStyle name="Explanatory Text 2" xfId="436"/>
    <cellStyle name="EYtext" xfId="176"/>
    <cellStyle name="Fixed" xfId="177"/>
    <cellStyle name="Followed Hyperlink 4" xfId="178"/>
    <cellStyle name="Good 2" xfId="437"/>
    <cellStyle name="Grey" xfId="7"/>
    <cellStyle name="ha" xfId="179"/>
    <cellStyle name="HEADER" xfId="180"/>
    <cellStyle name="Header1" xfId="8"/>
    <cellStyle name="Header2" xfId="9"/>
    <cellStyle name="Header2 2" xfId="978"/>
    <cellStyle name="Header2 2 2" xfId="1549"/>
    <cellStyle name="Header2 2 2 2" xfId="3232"/>
    <cellStyle name="Header2 2 3" xfId="2160"/>
    <cellStyle name="Header2 2 3 2" xfId="3798"/>
    <cellStyle name="Header2 2 4" xfId="2874"/>
    <cellStyle name="Header2 3" xfId="1032"/>
    <cellStyle name="Header2 3 2" xfId="1594"/>
    <cellStyle name="Header2 3 2 2" xfId="3276"/>
    <cellStyle name="Header2 3 3" xfId="1772"/>
    <cellStyle name="Header2 3 3 2" xfId="3443"/>
    <cellStyle name="Header2 3 4" xfId="1995"/>
    <cellStyle name="Header2 3 4 2" xfId="3647"/>
    <cellStyle name="Header2 3 5" xfId="2211"/>
    <cellStyle name="Header2 3 5 2" xfId="3849"/>
    <cellStyle name="Header2 3 6" xfId="2423"/>
    <cellStyle name="Header2 3 6 2" xfId="4048"/>
    <cellStyle name="Header2 3 7" xfId="2627"/>
    <cellStyle name="Header2 3 7 2" xfId="4193"/>
    <cellStyle name="Header2 3 8" xfId="2924"/>
    <cellStyle name="Header2 4" xfId="999"/>
    <cellStyle name="Header2 4 2" xfId="1568"/>
    <cellStyle name="Header2 4 2 2" xfId="3251"/>
    <cellStyle name="Header2 4 3" xfId="1739"/>
    <cellStyle name="Header2 4 3 2" xfId="3410"/>
    <cellStyle name="Header2 4 4" xfId="1962"/>
    <cellStyle name="Header2 4 4 2" xfId="3614"/>
    <cellStyle name="Header2 4 5" xfId="2178"/>
    <cellStyle name="Header2 4 5 2" xfId="3816"/>
    <cellStyle name="Header2 4 6" xfId="2390"/>
    <cellStyle name="Header2 4 6 2" xfId="4015"/>
    <cellStyle name="Header2 4 7" xfId="2594"/>
    <cellStyle name="Header2 4 8" xfId="2891"/>
    <cellStyle name="Header2 5" xfId="1127"/>
    <cellStyle name="Header2 5 2" xfId="3003"/>
    <cellStyle name="Header2 6" xfId="1522"/>
    <cellStyle name="Header2 6 2" xfId="3207"/>
    <cellStyle name="Header2 7" xfId="1239"/>
    <cellStyle name="Header2 7 2" xfId="3064"/>
    <cellStyle name="Header2 8" xfId="1410"/>
    <cellStyle name="Header2 8 2" xfId="3132"/>
    <cellStyle name="Header2 9" xfId="2680"/>
    <cellStyle name="Heading 1 2" xfId="438"/>
    <cellStyle name="Heading 2 2" xfId="439"/>
    <cellStyle name="Heading 3 2" xfId="440"/>
    <cellStyle name="Heading 4 2" xfId="441"/>
    <cellStyle name="headoption" xfId="183"/>
    <cellStyle name="Hyperlink 2" xfId="442"/>
    <cellStyle name="Input [yellow]" xfId="10"/>
    <cellStyle name="Input 2" xfId="443"/>
    <cellStyle name="Input 2 2" xfId="937"/>
    <cellStyle name="Input 2 2 2" xfId="1687"/>
    <cellStyle name="Input 2 2 2 2" xfId="3363"/>
    <cellStyle name="Input 2 2 3" xfId="1914"/>
    <cellStyle name="Input 2 2 3 2" xfId="3568"/>
    <cellStyle name="Input 2 2 4" xfId="2132"/>
    <cellStyle name="Input 2 2 4 2" xfId="3770"/>
    <cellStyle name="Input 2 2 5" xfId="2345"/>
    <cellStyle name="Input 2 2 5 2" xfId="3970"/>
    <cellStyle name="Input 2 2 6" xfId="2550"/>
    <cellStyle name="Input 2 2 7" xfId="2846"/>
    <cellStyle name="Input 2 3" xfId="1351"/>
    <cellStyle name="Input 2 3 2" xfId="3096"/>
    <cellStyle name="Input 2 4" xfId="1313"/>
    <cellStyle name="Input 2 4 2" xfId="3095"/>
    <cellStyle name="Input 2 5" xfId="1176"/>
    <cellStyle name="Input 2 5 2" xfId="3036"/>
    <cellStyle name="Input 2 6" xfId="1488"/>
    <cellStyle name="Input 2 6 2" xfId="3190"/>
    <cellStyle name="Input 2 7" xfId="1825"/>
    <cellStyle name="Input 2 7 2" xfId="3495"/>
    <cellStyle name="Input 2 8" xfId="2776"/>
    <cellStyle name="Link Currency (0)" xfId="185"/>
    <cellStyle name="Link Currency (2)" xfId="186"/>
    <cellStyle name="Link Units (0)" xfId="187"/>
    <cellStyle name="Link Units (1)" xfId="188"/>
    <cellStyle name="Link Units (2)" xfId="189"/>
    <cellStyle name="Linked Cell 2" xfId="444"/>
    <cellStyle name="Marius1" xfId="190"/>
    <cellStyle name="Millares_Gastos de Viaje" xfId="191"/>
    <cellStyle name="Milliers [0]_BP sales projection-draft2" xfId="192"/>
    <cellStyle name="Milliers_Cameron jan 03 -sept 03" xfId="193"/>
    <cellStyle name="Model" xfId="194"/>
    <cellStyle name="n" xfId="195"/>
    <cellStyle name="Neutral 2" xfId="445"/>
    <cellStyle name="New Times Roman" xfId="196"/>
    <cellStyle name="no dec" xfId="11"/>
    <cellStyle name="ÑONVÒ" xfId="198"/>
    <cellStyle name="Normal" xfId="0" builtinId="0"/>
    <cellStyle name="Normal - Style1" xfId="12"/>
    <cellStyle name="Normal - Style1 2" xfId="199"/>
    <cellStyle name="Normal - Style1 3" xfId="1139"/>
    <cellStyle name="Normal - Style1 4" xfId="1175"/>
    <cellStyle name="Normal - Style1 5" xfId="1232"/>
    <cellStyle name="Normal - Style1 6" xfId="1204"/>
    <cellStyle name="Normal - Style1 7" xfId="1477"/>
    <cellStyle name="Normal - Style1 8" xfId="2263"/>
    <cellStyle name="Normal - 유형1" xfId="200"/>
    <cellStyle name="Normal 10" xfId="36"/>
    <cellStyle name="Normal 10 10" xfId="1350"/>
    <cellStyle name="Normal 10 11" xfId="1314"/>
    <cellStyle name="Normal 10 12" xfId="1509"/>
    <cellStyle name="Normal 10 13" xfId="1231"/>
    <cellStyle name="Normal 10 14" xfId="1824"/>
    <cellStyle name="Normal 10 15" xfId="2693"/>
    <cellStyle name="Normal 10 2" xfId="446"/>
    <cellStyle name="Normal 10 2 2" xfId="448"/>
    <cellStyle name="Normal 10 2 3" xfId="449"/>
    <cellStyle name="Normal 10 2 4" xfId="450"/>
    <cellStyle name="Normal 10 2 5" xfId="451"/>
    <cellStyle name="Normal 10 2 6" xfId="452"/>
    <cellStyle name="Normal 10 3" xfId="453"/>
    <cellStyle name="Normal 10 3 2" xfId="454"/>
    <cellStyle name="Normal 10 3 3" xfId="455"/>
    <cellStyle name="Normal 10 3 4" xfId="456"/>
    <cellStyle name="Normal 10 3 5" xfId="457"/>
    <cellStyle name="Normal 10 3 6" xfId="458"/>
    <cellStyle name="Normal 10 4" xfId="459"/>
    <cellStyle name="Normal 10 4 2" xfId="460"/>
    <cellStyle name="Normal 10 4 3" xfId="461"/>
    <cellStyle name="Normal 10 4 4" xfId="462"/>
    <cellStyle name="Normal 10 4 5" xfId="463"/>
    <cellStyle name="Normal 10 5" xfId="464"/>
    <cellStyle name="Normal 10 6" xfId="465"/>
    <cellStyle name="Normal 10 7" xfId="466"/>
    <cellStyle name="Normal 10 8" xfId="467"/>
    <cellStyle name="Normal 10 9" xfId="1287"/>
    <cellStyle name="Normal 11" xfId="39"/>
    <cellStyle name="Normal 11 10" xfId="2696"/>
    <cellStyle name="Normal 11 2" xfId="468"/>
    <cellStyle name="Normal 11 2 10" xfId="1319"/>
    <cellStyle name="Normal 11 2 11" xfId="1346"/>
    <cellStyle name="Normal 11 2 12" xfId="1316"/>
    <cellStyle name="Normal 11 2 13" xfId="1348"/>
    <cellStyle name="Normal 11 2 2" xfId="469"/>
    <cellStyle name="Normal 11 2 3" xfId="471"/>
    <cellStyle name="Normal 11 2 4" xfId="472"/>
    <cellStyle name="Normal 11 2 5" xfId="473"/>
    <cellStyle name="Normal 11 2 6" xfId="474"/>
    <cellStyle name="Normal 11 2 7" xfId="898"/>
    <cellStyle name="Normal 11 2 8" xfId="1296"/>
    <cellStyle name="Normal 11 2 9" xfId="1344"/>
    <cellStyle name="Normal 11 3" xfId="475"/>
    <cellStyle name="Normal 11 3 2" xfId="476"/>
    <cellStyle name="Normal 11 3 3" xfId="477"/>
    <cellStyle name="Normal 11 3 4" xfId="478"/>
    <cellStyle name="Normal 11 3 5" xfId="479"/>
    <cellStyle name="Normal 11 3 6" xfId="480"/>
    <cellStyle name="Normal 11 4" xfId="1295"/>
    <cellStyle name="Normal 11 5" xfId="1345"/>
    <cellStyle name="Normal 11 6" xfId="1318"/>
    <cellStyle name="Normal 11 7" xfId="1347"/>
    <cellStyle name="Normal 11 8" xfId="1315"/>
    <cellStyle name="Normal 11 9" xfId="1349"/>
    <cellStyle name="Normal 11_Current Liabilities" xfId="481"/>
    <cellStyle name="Normal 12" xfId="41"/>
    <cellStyle name="Normal 12 10" xfId="1342"/>
    <cellStyle name="Normal 12 11" xfId="1320"/>
    <cellStyle name="Normal 12 12" xfId="1343"/>
    <cellStyle name="Normal 12 13" xfId="2698"/>
    <cellStyle name="Normal 12 2" xfId="482"/>
    <cellStyle name="Normal 12 3" xfId="484"/>
    <cellStyle name="Normal 12 4" xfId="485"/>
    <cellStyle name="Normal 12 5" xfId="486"/>
    <cellStyle name="Normal 12 6" xfId="487"/>
    <cellStyle name="Normal 12 7" xfId="1300"/>
    <cellStyle name="Normal 12 8" xfId="1340"/>
    <cellStyle name="Normal 12 9" xfId="1321"/>
    <cellStyle name="Normal 13" xfId="44"/>
    <cellStyle name="Normal 13 10" xfId="1339"/>
    <cellStyle name="Normal 13 11" xfId="1322"/>
    <cellStyle name="Normal 13 12" xfId="1341"/>
    <cellStyle name="Normal 13 13" xfId="2701"/>
    <cellStyle name="Normal 13 2" xfId="488"/>
    <cellStyle name="Normal 13 2 2" xfId="79"/>
    <cellStyle name="Normal 13 2 2 2" xfId="899"/>
    <cellStyle name="Normal 13 2 2 3" xfId="1502"/>
    <cellStyle name="Normal 13 2 2 4" xfId="1649"/>
    <cellStyle name="Normal 13 2 2 5" xfId="1877"/>
    <cellStyle name="Normal 13 2 2 6" xfId="2095"/>
    <cellStyle name="Normal 13 2 2 7" xfId="2308"/>
    <cellStyle name="Normal 13 2 2 8" xfId="2514"/>
    <cellStyle name="Normal 13 2 3" xfId="959"/>
    <cellStyle name="Normal 13 2 4" xfId="201"/>
    <cellStyle name="Normal 13 2 5" xfId="1206"/>
    <cellStyle name="Normal 13 2 6" xfId="1478"/>
    <cellStyle name="Normal 13 2 7" xfId="1125"/>
    <cellStyle name="Normal 13 2 8" xfId="1379"/>
    <cellStyle name="Normal 13 2 9" xfId="1294"/>
    <cellStyle name="Normal 13 3" xfId="489"/>
    <cellStyle name="Normal 13 4" xfId="490"/>
    <cellStyle name="Normal 13 5" xfId="491"/>
    <cellStyle name="Normal 13 6" xfId="492"/>
    <cellStyle name="Normal 13 7" xfId="1302"/>
    <cellStyle name="Normal 13 8" xfId="1337"/>
    <cellStyle name="Normal 13 9" xfId="1323"/>
    <cellStyle name="Normal 14" xfId="47"/>
    <cellStyle name="Normal 14 2" xfId="493"/>
    <cellStyle name="Normal 14 3" xfId="1303"/>
    <cellStyle name="Normal 14 4" xfId="1334"/>
    <cellStyle name="Normal 14 5" xfId="1326"/>
    <cellStyle name="Normal 14 6" xfId="1336"/>
    <cellStyle name="Normal 14 7" xfId="1324"/>
    <cellStyle name="Normal 14 8" xfId="1338"/>
    <cellStyle name="Normal 14 9" xfId="2704"/>
    <cellStyle name="Normal 15" xfId="50"/>
    <cellStyle name="Normal 15 2" xfId="494"/>
    <cellStyle name="Normal 15 3" xfId="1304"/>
    <cellStyle name="Normal 15 4" xfId="1332"/>
    <cellStyle name="Normal 15 5" xfId="1327"/>
    <cellStyle name="Normal 15 6" xfId="1335"/>
    <cellStyle name="Normal 15 7" xfId="1325"/>
    <cellStyle name="Normal 15 8" xfId="1707"/>
    <cellStyle name="Normal 15 9" xfId="2707"/>
    <cellStyle name="Normal 16" xfId="53"/>
    <cellStyle name="Normal 16 2" xfId="496"/>
    <cellStyle name="Normal 16 3" xfId="1305"/>
    <cellStyle name="Normal 16 4" xfId="1330"/>
    <cellStyle name="Normal 16 5" xfId="1329"/>
    <cellStyle name="Normal 16 6" xfId="1331"/>
    <cellStyle name="Normal 16 7" xfId="1328"/>
    <cellStyle name="Normal 16 8" xfId="1333"/>
    <cellStyle name="Normal 16 9" xfId="2710"/>
    <cellStyle name="Normal 17" xfId="497"/>
    <cellStyle name="Normal 17 2" xfId="498"/>
    <cellStyle name="Normal 18" xfId="499"/>
    <cellStyle name="Normal 18 2" xfId="500"/>
    <cellStyle name="Normal 19" xfId="501"/>
    <cellStyle name="Normal 2" xfId="13"/>
    <cellStyle name="Normal 2 10" xfId="503"/>
    <cellStyle name="Normal 2 10 2" xfId="504"/>
    <cellStyle name="Normal 2 10 3" xfId="505"/>
    <cellStyle name="Normal 2 10 4" xfId="506"/>
    <cellStyle name="Normal 2 10 5" xfId="507"/>
    <cellStyle name="Normal 2 10 6" xfId="508"/>
    <cellStyle name="Normal 2 11" xfId="509"/>
    <cellStyle name="Normal 2 11 2" xfId="510"/>
    <cellStyle name="Normal 2 11 3" xfId="511"/>
    <cellStyle name="Normal 2 11 4" xfId="512"/>
    <cellStyle name="Normal 2 11 5" xfId="513"/>
    <cellStyle name="Normal 2 11 6" xfId="514"/>
    <cellStyle name="Normal 2 12" xfId="515"/>
    <cellStyle name="Normal 2 12 2" xfId="516"/>
    <cellStyle name="Normal 2 12 3" xfId="517"/>
    <cellStyle name="Normal 2 12 4" xfId="518"/>
    <cellStyle name="Normal 2 12 5" xfId="519"/>
    <cellStyle name="Normal 2 12 6" xfId="520"/>
    <cellStyle name="Normal 2 13" xfId="521"/>
    <cellStyle name="Normal 2 13 2" xfId="522"/>
    <cellStyle name="Normal 2 13 3" xfId="523"/>
    <cellStyle name="Normal 2 13 4" xfId="524"/>
    <cellStyle name="Normal 2 13 5" xfId="525"/>
    <cellStyle name="Normal 2 13 6" xfId="526"/>
    <cellStyle name="Normal 2 14" xfId="527"/>
    <cellStyle name="Normal 2 14 2" xfId="528"/>
    <cellStyle name="Normal 2 14 3" xfId="529"/>
    <cellStyle name="Normal 2 14 4" xfId="530"/>
    <cellStyle name="Normal 2 14 5" xfId="531"/>
    <cellStyle name="Normal 2 14 6" xfId="532"/>
    <cellStyle name="Normal 2 15" xfId="533"/>
    <cellStyle name="Normal 2 15 2" xfId="534"/>
    <cellStyle name="Normal 2 15 3" xfId="535"/>
    <cellStyle name="Normal 2 15 4" xfId="536"/>
    <cellStyle name="Normal 2 15 5" xfId="537"/>
    <cellStyle name="Normal 2 15 6" xfId="538"/>
    <cellStyle name="Normal 2 16" xfId="539"/>
    <cellStyle name="Normal 2 16 2" xfId="540"/>
    <cellStyle name="Normal 2 16 3" xfId="541"/>
    <cellStyle name="Normal 2 16 4" xfId="542"/>
    <cellStyle name="Normal 2 16 5" xfId="543"/>
    <cellStyle name="Normal 2 16 6" xfId="544"/>
    <cellStyle name="Normal 2 17" xfId="545"/>
    <cellStyle name="Normal 2 17 2" xfId="546"/>
    <cellStyle name="Normal 2 17 3" xfId="547"/>
    <cellStyle name="Normal 2 17 4" xfId="548"/>
    <cellStyle name="Normal 2 17 5" xfId="549"/>
    <cellStyle name="Normal 2 17 6" xfId="550"/>
    <cellStyle name="Normal 2 18" xfId="551"/>
    <cellStyle name="Normal 2 18 2" xfId="552"/>
    <cellStyle name="Normal 2 18 3" xfId="553"/>
    <cellStyle name="Normal 2 18 4" xfId="554"/>
    <cellStyle name="Normal 2 18 5" xfId="555"/>
    <cellStyle name="Normal 2 18 6" xfId="556"/>
    <cellStyle name="Normal 2 19" xfId="557"/>
    <cellStyle name="Normal 2 19 2" xfId="558"/>
    <cellStyle name="Normal 2 19 3" xfId="559"/>
    <cellStyle name="Normal 2 19 4" xfId="560"/>
    <cellStyle name="Normal 2 19 5" xfId="561"/>
    <cellStyle name="Normal 2 19 6" xfId="562"/>
    <cellStyle name="Normal 2 2" xfId="76"/>
    <cellStyle name="Normal 2 2 10" xfId="564"/>
    <cellStyle name="Normal 2 2 11" xfId="565"/>
    <cellStyle name="Normal 2 2 12" xfId="566"/>
    <cellStyle name="Normal 2 2 13" xfId="567"/>
    <cellStyle name="Normal 2 2 14" xfId="568"/>
    <cellStyle name="Normal 2 2 15" xfId="569"/>
    <cellStyle name="Normal 2 2 16" xfId="570"/>
    <cellStyle name="Normal 2 2 17" xfId="571"/>
    <cellStyle name="Normal 2 2 18" xfId="572"/>
    <cellStyle name="Normal 2 2 19" xfId="573"/>
    <cellStyle name="Normal 2 2 2" xfId="563"/>
    <cellStyle name="Normal 2 2 2 2" xfId="575"/>
    <cellStyle name="Normal 2 2 20" xfId="576"/>
    <cellStyle name="Normal 2 2 21" xfId="577"/>
    <cellStyle name="Normal 2 2 22" xfId="578"/>
    <cellStyle name="Normal 2 2 23" xfId="579"/>
    <cellStyle name="Normal 2 2 24" xfId="580"/>
    <cellStyle name="Normal 2 2 25" xfId="581"/>
    <cellStyle name="Normal 2 2 26" xfId="582"/>
    <cellStyle name="Normal 2 2 26 2" xfId="583"/>
    <cellStyle name="Normal 2 2 27" xfId="584"/>
    <cellStyle name="Normal 2 2 28" xfId="585"/>
    <cellStyle name="Normal 2 2 29" xfId="586"/>
    <cellStyle name="Normal 2 2 3" xfId="587"/>
    <cellStyle name="Normal 2 2 30" xfId="588"/>
    <cellStyle name="Normal 2 2 31" xfId="1317"/>
    <cellStyle name="Normal 2 2 32" xfId="1311"/>
    <cellStyle name="Normal 2 2 33" xfId="1454"/>
    <cellStyle name="Normal 2 2 34" xfId="1144"/>
    <cellStyle name="Normal 2 2 35" xfId="1128"/>
    <cellStyle name="Normal 2 2 36" xfId="1372"/>
    <cellStyle name="Normal 2 2 4" xfId="589"/>
    <cellStyle name="Normal 2 2 5" xfId="590"/>
    <cellStyle name="Normal 2 2 6" xfId="591"/>
    <cellStyle name="Normal 2 2 7" xfId="592"/>
    <cellStyle name="Normal 2 2 8" xfId="593"/>
    <cellStyle name="Normal 2 2 9" xfId="594"/>
    <cellStyle name="Normal 2 2_Sheet4" xfId="595"/>
    <cellStyle name="Normal 2 20" xfId="596"/>
    <cellStyle name="Normal 2 20 2" xfId="597"/>
    <cellStyle name="Normal 2 20 3" xfId="598"/>
    <cellStyle name="Normal 2 20 4" xfId="599"/>
    <cellStyle name="Normal 2 20 5" xfId="600"/>
    <cellStyle name="Normal 2 20 6" xfId="601"/>
    <cellStyle name="Normal 2 21" xfId="602"/>
    <cellStyle name="Normal 2 21 2" xfId="603"/>
    <cellStyle name="Normal 2 21 3" xfId="604"/>
    <cellStyle name="Normal 2 21 4" xfId="605"/>
    <cellStyle name="Normal 2 21 5" xfId="606"/>
    <cellStyle name="Normal 2 21 6" xfId="607"/>
    <cellStyle name="Normal 2 22" xfId="608"/>
    <cellStyle name="Normal 2 22 2" xfId="609"/>
    <cellStyle name="Normal 2 22 3" xfId="610"/>
    <cellStyle name="Normal 2 22 4" xfId="611"/>
    <cellStyle name="Normal 2 22 5" xfId="612"/>
    <cellStyle name="Normal 2 22 6" xfId="613"/>
    <cellStyle name="Normal 2 23" xfId="614"/>
    <cellStyle name="Normal 2 23 2" xfId="615"/>
    <cellStyle name="Normal 2 23 3" xfId="616"/>
    <cellStyle name="Normal 2 23 4" xfId="617"/>
    <cellStyle name="Normal 2 23 5" xfId="618"/>
    <cellStyle name="Normal 2 23 6" xfId="619"/>
    <cellStyle name="Normal 2 24" xfId="620"/>
    <cellStyle name="Normal 2 24 2" xfId="621"/>
    <cellStyle name="Normal 2 24 3" xfId="622"/>
    <cellStyle name="Normal 2 24 4" xfId="623"/>
    <cellStyle name="Normal 2 24 5" xfId="624"/>
    <cellStyle name="Normal 2 24 6" xfId="625"/>
    <cellStyle name="Normal 2 25" xfId="626"/>
    <cellStyle name="Normal 2 25 2" xfId="627"/>
    <cellStyle name="Normal 2 25 3" xfId="628"/>
    <cellStyle name="Normal 2 25 4" xfId="629"/>
    <cellStyle name="Normal 2 25 5" xfId="630"/>
    <cellStyle name="Normal 2 25 6" xfId="631"/>
    <cellStyle name="Normal 2 26" xfId="632"/>
    <cellStyle name="Normal 2 26 2" xfId="633"/>
    <cellStyle name="Normal 2 26 3" xfId="634"/>
    <cellStyle name="Normal 2 26 4" xfId="635"/>
    <cellStyle name="Normal 2 26 5" xfId="636"/>
    <cellStyle name="Normal 2 26 6" xfId="637"/>
    <cellStyle name="Normal 2 27" xfId="638"/>
    <cellStyle name="Normal 2 27 2" xfId="639"/>
    <cellStyle name="Normal 2 27 3" xfId="640"/>
    <cellStyle name="Normal 2 27 4" xfId="641"/>
    <cellStyle name="Normal 2 27 5" xfId="642"/>
    <cellStyle name="Normal 2 27 6" xfId="643"/>
    <cellStyle name="Normal 2 28" xfId="644"/>
    <cellStyle name="Normal 2 28 2" xfId="645"/>
    <cellStyle name="Normal 2 28 3" xfId="646"/>
    <cellStyle name="Normal 2 28 4" xfId="647"/>
    <cellStyle name="Normal 2 28 5" xfId="648"/>
    <cellStyle name="Normal 2 28 6" xfId="649"/>
    <cellStyle name="Normal 2 29" xfId="650"/>
    <cellStyle name="Normal 2 29 2" xfId="651"/>
    <cellStyle name="Normal 2 29 3" xfId="652"/>
    <cellStyle name="Normal 2 29 4" xfId="653"/>
    <cellStyle name="Normal 2 29 5" xfId="654"/>
    <cellStyle name="Normal 2 29 6" xfId="655"/>
    <cellStyle name="Normal 2 3" xfId="656"/>
    <cellStyle name="Normal 2 30" xfId="657"/>
    <cellStyle name="Normal 2 30 2" xfId="658"/>
    <cellStyle name="Normal 2 30 3" xfId="659"/>
    <cellStyle name="Normal 2 30 4" xfId="660"/>
    <cellStyle name="Normal 2 30 5" xfId="661"/>
    <cellStyle name="Normal 2 30 6" xfId="662"/>
    <cellStyle name="Normal 2 31" xfId="663"/>
    <cellStyle name="Normal 2 31 2" xfId="664"/>
    <cellStyle name="Normal 2 31 3" xfId="665"/>
    <cellStyle name="Normal 2 31 4" xfId="666"/>
    <cellStyle name="Normal 2 31 5" xfId="667"/>
    <cellStyle name="Normal 2 32" xfId="668"/>
    <cellStyle name="Normal 2 33" xfId="669"/>
    <cellStyle name="Normal 2 34" xfId="670"/>
    <cellStyle name="Normal 2 35" xfId="840"/>
    <cellStyle name="Normal 2 36" xfId="877"/>
    <cellStyle name="Normal 2 37" xfId="956"/>
    <cellStyle name="Normal 2 38" xfId="750"/>
    <cellStyle name="Normal 2 39" xfId="1214"/>
    <cellStyle name="Normal 2 4" xfId="671"/>
    <cellStyle name="Normal 2 4 2" xfId="4198"/>
    <cellStyle name="Normal 2 4 2 110" xfId="4200"/>
    <cellStyle name="Normal 2 40" xfId="1404"/>
    <cellStyle name="Normal 2 41" xfId="1102"/>
    <cellStyle name="Normal 2 42" xfId="1839"/>
    <cellStyle name="Normal 2 43" xfId="2056"/>
    <cellStyle name="Normal 2 44" xfId="2681"/>
    <cellStyle name="Normal 2 46" xfId="4197"/>
    <cellStyle name="Normal 2 46 2" xfId="4199"/>
    <cellStyle name="Normal 2 5" xfId="672"/>
    <cellStyle name="Normal 2 6" xfId="673"/>
    <cellStyle name="Normal 2 7" xfId="674"/>
    <cellStyle name="Normal 2 7 2" xfId="675"/>
    <cellStyle name="Normal 2 7 3" xfId="676"/>
    <cellStyle name="Normal 2 7 4" xfId="677"/>
    <cellStyle name="Normal 2 7 5" xfId="678"/>
    <cellStyle name="Normal 2 7 6" xfId="679"/>
    <cellStyle name="Normal 2 8" xfId="680"/>
    <cellStyle name="Normal 2 8 2" xfId="681"/>
    <cellStyle name="Normal 2 8 3" xfId="682"/>
    <cellStyle name="Normal 2 8 4" xfId="683"/>
    <cellStyle name="Normal 2 8 5" xfId="684"/>
    <cellStyle name="Normal 2 8 6" xfId="685"/>
    <cellStyle name="Normal 2 9" xfId="686"/>
    <cellStyle name="Normal 2 9 2" xfId="687"/>
    <cellStyle name="Normal 2 9 3" xfId="688"/>
    <cellStyle name="Normal 2 9 4" xfId="689"/>
    <cellStyle name="Normal 2 9 5" xfId="690"/>
    <cellStyle name="Normal 2 9 6" xfId="691"/>
    <cellStyle name="Normal 2_Notes" xfId="502"/>
    <cellStyle name="Normal 20" xfId="692"/>
    <cellStyle name="Normal 20 2" xfId="693"/>
    <cellStyle name="Normal 21" xfId="694"/>
    <cellStyle name="Normal 21 2" xfId="695"/>
    <cellStyle name="Normal 22" xfId="78"/>
    <cellStyle name="Normal 22 2" xfId="900"/>
    <cellStyle name="Normal 22 3" xfId="958"/>
    <cellStyle name="Normal 23" xfId="696"/>
    <cellStyle name="Normal 24" xfId="697"/>
    <cellStyle name="Normal 25" xfId="698"/>
    <cellStyle name="Normal 26" xfId="699"/>
    <cellStyle name="Normal 27" xfId="337"/>
    <cellStyle name="Normal 3" xfId="1"/>
    <cellStyle name="Normal 3 2" xfId="59"/>
    <cellStyle name="Normal 3 2 2" xfId="701"/>
    <cellStyle name="Normal 3 2 3" xfId="1373"/>
    <cellStyle name="Normal 3 2 4" xfId="1116"/>
    <cellStyle name="Normal 3 2 5" xfId="1182"/>
    <cellStyle name="Normal 3 2 6" xfId="1430"/>
    <cellStyle name="Normal 3 2 7" xfId="1535"/>
    <cellStyle name="Normal 3 2 8" xfId="1383"/>
    <cellStyle name="Normal 3 2 9" xfId="2713"/>
    <cellStyle name="Normal 3 3" xfId="702"/>
    <cellStyle name="Normal 3 4" xfId="703"/>
    <cellStyle name="Normal 3 5" xfId="704"/>
    <cellStyle name="Normal 3 6" xfId="705"/>
    <cellStyle name="Normal 3 7" xfId="990"/>
    <cellStyle name="Normal 3_Notes" xfId="700"/>
    <cellStyle name="Normal 30" xfId="338"/>
    <cellStyle name="Normal 34 2" xfId="706"/>
    <cellStyle name="Normal 35 2" xfId="707"/>
    <cellStyle name="Normal 36 2" xfId="708"/>
    <cellStyle name="Normal 37 2" xfId="709"/>
    <cellStyle name="Normal 38" xfId="710"/>
    <cellStyle name="Normal 39" xfId="711"/>
    <cellStyle name="Normal 4" xfId="17"/>
    <cellStyle name="Normal 4 10" xfId="1142"/>
    <cellStyle name="Normal 4 11" xfId="1174"/>
    <cellStyle name="Normal 4 12" xfId="1233"/>
    <cellStyle name="Normal 4 13" xfId="1212"/>
    <cellStyle name="Normal 4 14" xfId="1406"/>
    <cellStyle name="Normal 4 15" xfId="1705"/>
    <cellStyle name="Normal 4 2" xfId="63"/>
    <cellStyle name="Normal 4 2 2" xfId="713"/>
    <cellStyle name="Normal 4 2 3" xfId="1376"/>
    <cellStyle name="Normal 4 2 4" xfId="1548"/>
    <cellStyle name="Normal 4 2 5" xfId="1186"/>
    <cellStyle name="Normal 4 2 6" xfId="1147"/>
    <cellStyle name="Normal 4 2 7" xfId="1279"/>
    <cellStyle name="Normal 4 2 8" xfId="1189"/>
    <cellStyle name="Normal 4 2 9" xfId="2717"/>
    <cellStyle name="Normal 4 3" xfId="202"/>
    <cellStyle name="Normal 4 3 2" xfId="714"/>
    <cellStyle name="Normal 4 3 3" xfId="1377"/>
    <cellStyle name="Normal 4 3 4" xfId="1276"/>
    <cellStyle name="Normal 4 3 5" xfId="1187"/>
    <cellStyle name="Normal 4 3 6" xfId="1146"/>
    <cellStyle name="Normal 4 3 7" xfId="1500"/>
    <cellStyle name="Normal 4 3 8" xfId="1188"/>
    <cellStyle name="Normal 4 4" xfId="715"/>
    <cellStyle name="Normal 4 5" xfId="716"/>
    <cellStyle name="Normal 4 6" xfId="717"/>
    <cellStyle name="Normal 4 7" xfId="870"/>
    <cellStyle name="Normal 4 8" xfId="881"/>
    <cellStyle name="Normal 4 9" xfId="991"/>
    <cellStyle name="Normal 4_Notes" xfId="712"/>
    <cellStyle name="Normal 40" xfId="718"/>
    <cellStyle name="Normal 41" xfId="719"/>
    <cellStyle name="Normal 42" xfId="720"/>
    <cellStyle name="Normal 43" xfId="721"/>
    <cellStyle name="Normal 44" xfId="722"/>
    <cellStyle name="Normal 45" xfId="723"/>
    <cellStyle name="Normal 46" xfId="724"/>
    <cellStyle name="Normal 47" xfId="725"/>
    <cellStyle name="Normal 48" xfId="726"/>
    <cellStyle name="Normal 49" xfId="727"/>
    <cellStyle name="Normal 5" xfId="20"/>
    <cellStyle name="Normal 5 2" xfId="66"/>
    <cellStyle name="Normal 5 2 2" xfId="729"/>
    <cellStyle name="Normal 5 2 3" xfId="1385"/>
    <cellStyle name="Normal 5 2 4" xfId="1270"/>
    <cellStyle name="Normal 5 2 5" xfId="1389"/>
    <cellStyle name="Normal 5 2 6" xfId="211"/>
    <cellStyle name="Normal 5 2 7" xfId="1362"/>
    <cellStyle name="Normal 5 2 8" xfId="1306"/>
    <cellStyle name="Normal 5 2 9" xfId="2720"/>
    <cellStyle name="Normal 5 3" xfId="730"/>
    <cellStyle name="Normal 5 4" xfId="731"/>
    <cellStyle name="Normal 5 5" xfId="732"/>
    <cellStyle name="Normal 5 6" xfId="733"/>
    <cellStyle name="Normal 5 7" xfId="871"/>
    <cellStyle name="Normal 5 8" xfId="882"/>
    <cellStyle name="Normal 5 9" xfId="992"/>
    <cellStyle name="Normal 5_Notes" xfId="728"/>
    <cellStyle name="Normal 50" xfId="734"/>
    <cellStyle name="Normal 51" xfId="735"/>
    <cellStyle name="Normal 52" xfId="736"/>
    <cellStyle name="Normal 53" xfId="737"/>
    <cellStyle name="Normal 54" xfId="738"/>
    <cellStyle name="Normal 55" xfId="739"/>
    <cellStyle name="Normal 56" xfId="740"/>
    <cellStyle name="Normal 57" xfId="741"/>
    <cellStyle name="Normal 58" xfId="742"/>
    <cellStyle name="Normal 59" xfId="743"/>
    <cellStyle name="Normal 6" xfId="23"/>
    <cellStyle name="Normal 6 2" xfId="69"/>
    <cellStyle name="Normal 6 2 2" xfId="2723"/>
    <cellStyle name="Normal 60" xfId="744"/>
    <cellStyle name="Normal 61" xfId="745"/>
    <cellStyle name="Normal 62" xfId="746"/>
    <cellStyle name="Normal 63" xfId="747"/>
    <cellStyle name="Normal 64 2" xfId="748"/>
    <cellStyle name="Normal 7" xfId="26"/>
    <cellStyle name="Normal 7 10" xfId="2683"/>
    <cellStyle name="Normal 7 2" xfId="75"/>
    <cellStyle name="Normal 7 2 10" xfId="1193"/>
    <cellStyle name="Normal 7 2 11" xfId="1428"/>
    <cellStyle name="Normal 7 2 12" xfId="1115"/>
    <cellStyle name="Normal 7 2 13" xfId="1183"/>
    <cellStyle name="Normal 7 2 2" xfId="749"/>
    <cellStyle name="Normal 7 2 3" xfId="751"/>
    <cellStyle name="Normal 7 2 4" xfId="752"/>
    <cellStyle name="Normal 7 2 5" xfId="753"/>
    <cellStyle name="Normal 7 2 6" xfId="754"/>
    <cellStyle name="Normal 7 2 7" xfId="901"/>
    <cellStyle name="Normal 7 2 8" xfId="1401"/>
    <cellStyle name="Normal 7 2 9" xfId="1255"/>
    <cellStyle name="Normal 7 3" xfId="755"/>
    <cellStyle name="Normal 7 3 2" xfId="756"/>
    <cellStyle name="Normal 7 3 3" xfId="757"/>
    <cellStyle name="Normal 7 3 4" xfId="758"/>
    <cellStyle name="Normal 7 3 5" xfId="759"/>
    <cellStyle name="Normal 7 3 6" xfId="760"/>
    <cellStyle name="Normal 7 4" xfId="766"/>
    <cellStyle name="Normal 7 5" xfId="1215"/>
    <cellStyle name="Normal 7 6" xfId="1503"/>
    <cellStyle name="Normal 7 7" xfId="1282"/>
    <cellStyle name="Normal 7 8" xfId="1374"/>
    <cellStyle name="Normal 7 9" xfId="1298"/>
    <cellStyle name="Normal 7_Current Liabilities" xfId="761"/>
    <cellStyle name="Normal 71" xfId="762"/>
    <cellStyle name="Normal 72" xfId="763"/>
    <cellStyle name="Normal 73" xfId="764"/>
    <cellStyle name="Normal 8" xfId="29"/>
    <cellStyle name="Normal 8 10" xfId="1245"/>
    <cellStyle name="Normal 8 11" xfId="1201"/>
    <cellStyle name="Normal 8 12" xfId="1416"/>
    <cellStyle name="Normal 8 13" xfId="1122"/>
    <cellStyle name="Normal 8 14" xfId="184"/>
    <cellStyle name="Normal 8 15" xfId="2686"/>
    <cellStyle name="Normal 8 2" xfId="765"/>
    <cellStyle name="Normal 8 3" xfId="767"/>
    <cellStyle name="Normal 8 4" xfId="768"/>
    <cellStyle name="Normal 8 5" xfId="769"/>
    <cellStyle name="Normal 8 6" xfId="770"/>
    <cellStyle name="Normal 8 7" xfId="856"/>
    <cellStyle name="Normal 8 8" xfId="865"/>
    <cellStyle name="Normal 8 9" xfId="1409"/>
    <cellStyle name="Normal 8_Sch-3" xfId="824"/>
    <cellStyle name="Normal 9" xfId="33"/>
    <cellStyle name="Normal 9 10" xfId="864"/>
    <cellStyle name="Normal 9 11" xfId="1413"/>
    <cellStyle name="Normal 9 12" xfId="1242"/>
    <cellStyle name="Normal 9 13" xfId="1208"/>
    <cellStyle name="Normal 9 14" xfId="1412"/>
    <cellStyle name="Normal 9 15" xfId="1126"/>
    <cellStyle name="Normal 9 16" xfId="1378"/>
    <cellStyle name="Normal 9 17" xfId="2690"/>
    <cellStyle name="Normal 9 2" xfId="771"/>
    <cellStyle name="Normal 9 2 2" xfId="773"/>
    <cellStyle name="Normal 9 2 3" xfId="774"/>
    <cellStyle name="Normal 9 2 4" xfId="775"/>
    <cellStyle name="Normal 9 2 5" xfId="776"/>
    <cellStyle name="Normal 9 2 6" xfId="777"/>
    <cellStyle name="Normal 9 3" xfId="778"/>
    <cellStyle name="Normal 9 3 2" xfId="779"/>
    <cellStyle name="Normal 9 3 3" xfId="780"/>
    <cellStyle name="Normal 9 3 4" xfId="781"/>
    <cellStyle name="Normal 9 3 5" xfId="782"/>
    <cellStyle name="Normal 9 3 6" xfId="783"/>
    <cellStyle name="Normal 9 4" xfId="784"/>
    <cellStyle name="Normal 9 4 2" xfId="785"/>
    <cellStyle name="Normal 9 4 3" xfId="786"/>
    <cellStyle name="Normal 9 4 4" xfId="787"/>
    <cellStyle name="Normal 9 4 5" xfId="788"/>
    <cellStyle name="Normal 9 5" xfId="789"/>
    <cellStyle name="Normal 9 6" xfId="790"/>
    <cellStyle name="Normal 9 7" xfId="791"/>
    <cellStyle name="Normal 9 8" xfId="792"/>
    <cellStyle name="Normal 9 9" xfId="857"/>
    <cellStyle name="Normal 9_Sch-3" xfId="825"/>
    <cellStyle name="Normal_01- ARR Forms 04-05 Final " xfId="56"/>
    <cellStyle name="Normal_01- Tariff Proposal Forms" xfId="57"/>
    <cellStyle name="Normalny_P Ls_Poland_August 2007" xfId="204"/>
    <cellStyle name="Note 2" xfId="793"/>
    <cellStyle name="Note 2 10" xfId="2475"/>
    <cellStyle name="Note 2 10 2" xfId="4100"/>
    <cellStyle name="Note 2 11" xfId="2780"/>
    <cellStyle name="Note 2 2" xfId="873"/>
    <cellStyle name="Note 2 2 2" xfId="1049"/>
    <cellStyle name="Note 2 2 2 2" xfId="1789"/>
    <cellStyle name="Note 2 2 2 2 2" xfId="3460"/>
    <cellStyle name="Note 2 2 2 3" xfId="2012"/>
    <cellStyle name="Note 2 2 2 3 2" xfId="3664"/>
    <cellStyle name="Note 2 2 2 4" xfId="2228"/>
    <cellStyle name="Note 2 2 2 4 2" xfId="3866"/>
    <cellStyle name="Note 2 2 2 5" xfId="2440"/>
    <cellStyle name="Note 2 2 2 5 2" xfId="4065"/>
    <cellStyle name="Note 2 2 2 6" xfId="2644"/>
    <cellStyle name="Note 2 2 2 6 2" xfId="4194"/>
    <cellStyle name="Note 2 2 2 7" xfId="2941"/>
    <cellStyle name="Note 2 2 3" xfId="1080"/>
    <cellStyle name="Note 2 2 3 2" xfId="1641"/>
    <cellStyle name="Note 2 2 3 2 2" xfId="3322"/>
    <cellStyle name="Note 2 2 3 3" xfId="1820"/>
    <cellStyle name="Note 2 2 3 3 2" xfId="3491"/>
    <cellStyle name="Note 2 2 3 4" xfId="2043"/>
    <cellStyle name="Note 2 2 3 4 2" xfId="3695"/>
    <cellStyle name="Note 2 2 3 5" xfId="2259"/>
    <cellStyle name="Note 2 2 3 5 2" xfId="3897"/>
    <cellStyle name="Note 2 2 3 6" xfId="2471"/>
    <cellStyle name="Note 2 2 3 6 2" xfId="4096"/>
    <cellStyle name="Note 2 2 3 7" xfId="2675"/>
    <cellStyle name="Note 2 2 3 8" xfId="2972"/>
    <cellStyle name="Note 2 2 4" xfId="146"/>
    <cellStyle name="Note 2 2 4 2" xfId="2728"/>
    <cellStyle name="Note 2 2 5" xfId="1865"/>
    <cellStyle name="Note 2 2 5 2" xfId="3526"/>
    <cellStyle name="Note 2 2 6" xfId="2082"/>
    <cellStyle name="Note 2 2 6 2" xfId="3727"/>
    <cellStyle name="Note 2 2 7" xfId="2298"/>
    <cellStyle name="Note 2 2 7 2" xfId="3929"/>
    <cellStyle name="Note 2 2 8" xfId="2505"/>
    <cellStyle name="Note 2 2 8 2" xfId="4126"/>
    <cellStyle name="Note 2 2 9" xfId="2806"/>
    <cellStyle name="Note 2 3" xfId="883"/>
    <cellStyle name="Note 2 3 2" xfId="1053"/>
    <cellStyle name="Note 2 3 2 2" xfId="1793"/>
    <cellStyle name="Note 2 3 2 2 2" xfId="3464"/>
    <cellStyle name="Note 2 3 2 3" xfId="2016"/>
    <cellStyle name="Note 2 3 2 3 2" xfId="3668"/>
    <cellStyle name="Note 2 3 2 4" xfId="2232"/>
    <cellStyle name="Note 2 3 2 4 2" xfId="3870"/>
    <cellStyle name="Note 2 3 2 5" xfId="2444"/>
    <cellStyle name="Note 2 3 2 5 2" xfId="4069"/>
    <cellStyle name="Note 2 3 2 6" xfId="2648"/>
    <cellStyle name="Note 2 3 2 6 2" xfId="4195"/>
    <cellStyle name="Note 2 3 2 7" xfId="2945"/>
    <cellStyle name="Note 2 3 3" xfId="1083"/>
    <cellStyle name="Note 2 3 3 2" xfId="1644"/>
    <cellStyle name="Note 2 3 3 2 2" xfId="3325"/>
    <cellStyle name="Note 2 3 3 3" xfId="1823"/>
    <cellStyle name="Note 2 3 3 3 2" xfId="3494"/>
    <cellStyle name="Note 2 3 3 4" xfId="2046"/>
    <cellStyle name="Note 2 3 3 4 2" xfId="3698"/>
    <cellStyle name="Note 2 3 3 5" xfId="2262"/>
    <cellStyle name="Note 2 3 3 5 2" xfId="3900"/>
    <cellStyle name="Note 2 3 3 6" xfId="2474"/>
    <cellStyle name="Note 2 3 3 6 2" xfId="4099"/>
    <cellStyle name="Note 2 3 3 7" xfId="2678"/>
    <cellStyle name="Note 2 3 3 8" xfId="2975"/>
    <cellStyle name="Note 2 3 4" xfId="483"/>
    <cellStyle name="Note 2 3 4 2" xfId="2779"/>
    <cellStyle name="Note 2 3 5" xfId="1871"/>
    <cellStyle name="Note 2 3 5 2" xfId="3531"/>
    <cellStyle name="Note 2 3 6" xfId="2088"/>
    <cellStyle name="Note 2 3 6 2" xfId="3732"/>
    <cellStyle name="Note 2 3 7" xfId="2302"/>
    <cellStyle name="Note 2 3 7 2" xfId="3933"/>
    <cellStyle name="Note 2 3 8" xfId="2508"/>
    <cellStyle name="Note 2 3 8 2" xfId="4129"/>
    <cellStyle name="Note 2 3 9" xfId="2809"/>
    <cellStyle name="Note 2 4" xfId="940"/>
    <cellStyle name="Note 2 4 2" xfId="1690"/>
    <cellStyle name="Note 2 4 2 2" xfId="3366"/>
    <cellStyle name="Note 2 4 3" xfId="1917"/>
    <cellStyle name="Note 2 4 3 2" xfId="3571"/>
    <cellStyle name="Note 2 4 4" xfId="2135"/>
    <cellStyle name="Note 2 4 4 2" xfId="3773"/>
    <cellStyle name="Note 2 4 5" xfId="2348"/>
    <cellStyle name="Note 2 4 5 2" xfId="3973"/>
    <cellStyle name="Note 2 4 6" xfId="2553"/>
    <cellStyle name="Note 2 4 6 2" xfId="4162"/>
    <cellStyle name="Note 2 4 7" xfId="2849"/>
    <cellStyle name="Note 2 5" xfId="945"/>
    <cellStyle name="Note 2 5 2" xfId="1524"/>
    <cellStyle name="Note 2 5 2 2" xfId="3209"/>
    <cellStyle name="Note 2 5 3" xfId="1695"/>
    <cellStyle name="Note 2 5 3 2" xfId="3371"/>
    <cellStyle name="Note 2 5 4" xfId="1922"/>
    <cellStyle name="Note 2 5 4 2" xfId="3576"/>
    <cellStyle name="Note 2 5 5" xfId="2140"/>
    <cellStyle name="Note 2 5 5 2" xfId="3778"/>
    <cellStyle name="Note 2 5 6" xfId="2353"/>
    <cellStyle name="Note 2 5 6 2" xfId="3978"/>
    <cellStyle name="Note 2 5 7" xfId="2558"/>
    <cellStyle name="Note 2 5 8" xfId="2854"/>
    <cellStyle name="Note 2 6" xfId="1230"/>
    <cellStyle name="Note 2 6 2" xfId="3061"/>
    <cellStyle name="Note 2 7" xfId="1826"/>
    <cellStyle name="Note 2 7 2" xfId="3496"/>
    <cellStyle name="Note 2 8" xfId="2047"/>
    <cellStyle name="Note 2 8 2" xfId="3699"/>
    <cellStyle name="Note 2 9" xfId="2264"/>
    <cellStyle name="Note 2 9 2" xfId="3901"/>
    <cellStyle name="oft Excel]_x000d__x000a_Comment=open=/f ‚ðw’è‚·‚é‚ÆAƒ†[ƒU[’è‹`ŠÖ”‚ðŠÖ”“\‚è•t‚¯‚Ìˆê——‚É“o˜^‚·‚é‚±‚Æ‚ª‚Å‚«‚Ü‚·B_x000d__x000a_Maximized" xfId="205"/>
    <cellStyle name="OtherSEEntry" xfId="206"/>
    <cellStyle name="Output 2" xfId="794"/>
    <cellStyle name="Output 2 2" xfId="932"/>
    <cellStyle name="Output 2 2 2" xfId="1682"/>
    <cellStyle name="Output 2 2 2 2" xfId="3358"/>
    <cellStyle name="Output 2 2 3" xfId="1909"/>
    <cellStyle name="Output 2 2 3 2" xfId="3563"/>
    <cellStyle name="Output 2 2 4" xfId="2127"/>
    <cellStyle name="Output 2 2 4 2" xfId="3765"/>
    <cellStyle name="Output 2 2 5" xfId="2340"/>
    <cellStyle name="Output 2 2 5 2" xfId="3965"/>
    <cellStyle name="Output 2 2 6" xfId="2545"/>
    <cellStyle name="Output 2 2 6 2" xfId="4158"/>
    <cellStyle name="Output 2 2 7" xfId="2841"/>
    <cellStyle name="Output 2 3" xfId="952"/>
    <cellStyle name="Output 2 3 2" xfId="1531"/>
    <cellStyle name="Output 2 3 2 2" xfId="3216"/>
    <cellStyle name="Output 2 3 3" xfId="1702"/>
    <cellStyle name="Output 2 3 3 2" xfId="3378"/>
    <cellStyle name="Output 2 3 4" xfId="1929"/>
    <cellStyle name="Output 2 3 4 2" xfId="3583"/>
    <cellStyle name="Output 2 3 5" xfId="2147"/>
    <cellStyle name="Output 2 3 5 2" xfId="3785"/>
    <cellStyle name="Output 2 3 6" xfId="2360"/>
    <cellStyle name="Output 2 3 6 2" xfId="3985"/>
    <cellStyle name="Output 2 3 7" xfId="2565"/>
    <cellStyle name="Output 2 3 8" xfId="2861"/>
    <cellStyle name="Output 2 4" xfId="1109"/>
    <cellStyle name="Output 2 4 2" xfId="2994"/>
    <cellStyle name="Output 2 5" xfId="1827"/>
    <cellStyle name="Output 2 5 2" xfId="3497"/>
    <cellStyle name="Output 2 6" xfId="2048"/>
    <cellStyle name="Output 2 6 2" xfId="3700"/>
    <cellStyle name="Output 2 7" xfId="2265"/>
    <cellStyle name="Output 2 7 2" xfId="3902"/>
    <cellStyle name="Output 2 8" xfId="2476"/>
    <cellStyle name="Output 2 8 2" xfId="4101"/>
    <cellStyle name="Output 2 9" xfId="2781"/>
    <cellStyle name="Percent" xfId="58" builtinId="5"/>
    <cellStyle name="Percent [0]" xfId="207"/>
    <cellStyle name="Percent [00]" xfId="208"/>
    <cellStyle name="Percent [2]" xfId="15"/>
    <cellStyle name="Percent [2] 2" xfId="62"/>
    <cellStyle name="Percent [2] 2 2" xfId="2716"/>
    <cellStyle name="Percent 10" xfId="42"/>
    <cellStyle name="Percent 10 2" xfId="2699"/>
    <cellStyle name="Percent 11" xfId="45"/>
    <cellStyle name="Percent 11 2" xfId="2702"/>
    <cellStyle name="Percent 12" xfId="48"/>
    <cellStyle name="Percent 12 2" xfId="2705"/>
    <cellStyle name="Percent 13" xfId="51"/>
    <cellStyle name="Percent 13 2" xfId="2708"/>
    <cellStyle name="Percent 14" xfId="54"/>
    <cellStyle name="Percent 14 2" xfId="2711"/>
    <cellStyle name="Percent 15" xfId="55"/>
    <cellStyle name="Percent 15 2" xfId="2712"/>
    <cellStyle name="Percent 2" xfId="14"/>
    <cellStyle name="Percent 2 10" xfId="795"/>
    <cellStyle name="Percent 2 11" xfId="796"/>
    <cellStyle name="Percent 2 12" xfId="797"/>
    <cellStyle name="Percent 2 13" xfId="798"/>
    <cellStyle name="Percent 2 14" xfId="799"/>
    <cellStyle name="Percent 2 15" xfId="800"/>
    <cellStyle name="Percent 2 16" xfId="801"/>
    <cellStyle name="Percent 2 17" xfId="802"/>
    <cellStyle name="Percent 2 18" xfId="803"/>
    <cellStyle name="Percent 2 19" xfId="804"/>
    <cellStyle name="Percent 2 2" xfId="61"/>
    <cellStyle name="Percent 2 2 2" xfId="805"/>
    <cellStyle name="Percent 2 2 3" xfId="1435"/>
    <cellStyle name="Percent 2 2 4" xfId="1107"/>
    <cellStyle name="Percent 2 2 5" xfId="1830"/>
    <cellStyle name="Percent 2 2 6" xfId="2049"/>
    <cellStyle name="Percent 2 2 7" xfId="2266"/>
    <cellStyle name="Percent 2 2 8" xfId="2477"/>
    <cellStyle name="Percent 2 2 9" xfId="2715"/>
    <cellStyle name="Percent 2 20" xfId="806"/>
    <cellStyle name="Percent 2 21" xfId="807"/>
    <cellStyle name="Percent 2 22" xfId="808"/>
    <cellStyle name="Percent 2 23" xfId="809"/>
    <cellStyle name="Percent 2 24" xfId="810"/>
    <cellStyle name="Percent 2 25" xfId="811"/>
    <cellStyle name="Percent 2 26" xfId="812"/>
    <cellStyle name="Percent 2 27" xfId="875"/>
    <cellStyle name="Percent 2 28" xfId="884"/>
    <cellStyle name="Percent 2 29" xfId="993"/>
    <cellStyle name="Percent 2 3" xfId="210"/>
    <cellStyle name="Percent 2 3 2" xfId="813"/>
    <cellStyle name="Percent 2 3 3" xfId="1443"/>
    <cellStyle name="Percent 2 3 4" xfId="1105"/>
    <cellStyle name="Percent 2 3 5" xfId="1832"/>
    <cellStyle name="Percent 2 3 6" xfId="2051"/>
    <cellStyle name="Percent 2 3 7" xfId="2268"/>
    <cellStyle name="Percent 2 3 8" xfId="2478"/>
    <cellStyle name="Percent 2 30" xfId="1149"/>
    <cellStyle name="Percent 2 31" xfId="1519"/>
    <cellStyle name="Percent 2 32" xfId="1241"/>
    <cellStyle name="Percent 2 33" xfId="1209"/>
    <cellStyle name="Percent 2 34" xfId="1411"/>
    <cellStyle name="Percent 2 35" xfId="1281"/>
    <cellStyle name="Percent 2 4" xfId="814"/>
    <cellStyle name="Percent 2 5" xfId="815"/>
    <cellStyle name="Percent 2 6" xfId="816"/>
    <cellStyle name="Percent 2 7" xfId="817"/>
    <cellStyle name="Percent 2 8" xfId="818"/>
    <cellStyle name="Percent 2 9" xfId="819"/>
    <cellStyle name="Percent 3" xfId="19"/>
    <cellStyle name="Percent 3 2" xfId="65"/>
    <cellStyle name="Percent 3 2 2" xfId="2719"/>
    <cellStyle name="Percent 4" xfId="24"/>
    <cellStyle name="Percent 4 2" xfId="70"/>
    <cellStyle name="Percent 4 2 2" xfId="2724"/>
    <cellStyle name="Percent 4 3" xfId="212"/>
    <cellStyle name="Percent 4 4" xfId="1151"/>
    <cellStyle name="Percent 4 5" xfId="1512"/>
    <cellStyle name="Percent 4 6" xfId="1228"/>
    <cellStyle name="Percent 4 7" xfId="1836"/>
    <cellStyle name="Percent 4 8" xfId="2053"/>
    <cellStyle name="Percent 4 9" xfId="2270"/>
    <cellStyle name="Percent 5" xfId="25"/>
    <cellStyle name="Percent 5 2" xfId="71"/>
    <cellStyle name="Percent 5 2 2" xfId="2725"/>
    <cellStyle name="Percent 5 3" xfId="213"/>
    <cellStyle name="Percent 5 4" xfId="1152"/>
    <cellStyle name="Percent 5 5" xfId="1170"/>
    <cellStyle name="Percent 5 6" xfId="1088"/>
    <cellStyle name="Percent 5 7" xfId="1858"/>
    <cellStyle name="Percent 5 8" xfId="2075"/>
    <cellStyle name="Percent 5 9" xfId="2291"/>
    <cellStyle name="Percent 6" xfId="28"/>
    <cellStyle name="Percent 6 2" xfId="2685"/>
    <cellStyle name="Percent 7" xfId="34"/>
    <cellStyle name="Percent 7 2" xfId="2691"/>
    <cellStyle name="Percent 8" xfId="37"/>
    <cellStyle name="Percent 8 2" xfId="2694"/>
    <cellStyle name="Percent 9" xfId="40"/>
    <cellStyle name="Percent 9 2" xfId="2697"/>
    <cellStyle name="PrePop Currency (0)" xfId="214"/>
    <cellStyle name="PrePop Currency (2)" xfId="215"/>
    <cellStyle name="PrePop Units (0)" xfId="216"/>
    <cellStyle name="PrePop Units (1)" xfId="217"/>
    <cellStyle name="PrePop Units (2)" xfId="218"/>
    <cellStyle name="pricing" xfId="219"/>
    <cellStyle name="PSChar" xfId="220"/>
    <cellStyle name="PSDate" xfId="221"/>
    <cellStyle name="PSDec" xfId="222"/>
    <cellStyle name="PSHeading" xfId="223"/>
    <cellStyle name="PSInt" xfId="224"/>
    <cellStyle name="PSSpacer" xfId="225"/>
    <cellStyle name="Quantity" xfId="226"/>
    <cellStyle name="RevList" xfId="227"/>
    <cellStyle name="SAPBEXaggData" xfId="228"/>
    <cellStyle name="SAPBEXaggData 2" xfId="930"/>
    <cellStyle name="SAPBEXaggData 2 2" xfId="1680"/>
    <cellStyle name="SAPBEXaggData 2 2 2" xfId="3356"/>
    <cellStyle name="SAPBEXaggData 2 3" xfId="1907"/>
    <cellStyle name="SAPBEXaggData 2 3 2" xfId="3561"/>
    <cellStyle name="SAPBEXaggData 2 4" xfId="2125"/>
    <cellStyle name="SAPBEXaggData 2 4 2" xfId="3763"/>
    <cellStyle name="SAPBEXaggData 2 5" xfId="2338"/>
    <cellStyle name="SAPBEXaggData 2 5 2" xfId="3963"/>
    <cellStyle name="SAPBEXaggData 2 6" xfId="2543"/>
    <cellStyle name="SAPBEXaggData 2 6 2" xfId="4156"/>
    <cellStyle name="SAPBEXaggData 2 7" xfId="2839"/>
    <cellStyle name="SAPBEXaggData 3" xfId="1002"/>
    <cellStyle name="SAPBEXaggData 3 2" xfId="1571"/>
    <cellStyle name="SAPBEXaggData 3 2 2" xfId="3254"/>
    <cellStyle name="SAPBEXaggData 3 3" xfId="1742"/>
    <cellStyle name="SAPBEXaggData 3 3 2" xfId="3413"/>
    <cellStyle name="SAPBEXaggData 3 4" xfId="1965"/>
    <cellStyle name="SAPBEXaggData 3 4 2" xfId="3617"/>
    <cellStyle name="SAPBEXaggData 3 5" xfId="2181"/>
    <cellStyle name="SAPBEXaggData 3 5 2" xfId="3819"/>
    <cellStyle name="SAPBEXaggData 3 6" xfId="2393"/>
    <cellStyle name="SAPBEXaggData 3 6 2" xfId="4018"/>
    <cellStyle name="SAPBEXaggData 3 7" xfId="2597"/>
    <cellStyle name="SAPBEXaggData 3 8" xfId="2894"/>
    <cellStyle name="SAPBEXaggData 4" xfId="1515"/>
    <cellStyle name="SAPBEXaggData 4 2" xfId="3202"/>
    <cellStyle name="SAPBEXaggData 5" xfId="1250"/>
    <cellStyle name="SAPBEXaggData 5 2" xfId="3067"/>
    <cellStyle name="SAPBEXaggData 6" xfId="1200"/>
    <cellStyle name="SAPBEXaggData 6 2" xfId="3049"/>
    <cellStyle name="SAPBEXaggData 7" xfId="1418"/>
    <cellStyle name="SAPBEXaggData 7 2" xfId="3133"/>
    <cellStyle name="SAPBEXaggData 8" xfId="1835"/>
    <cellStyle name="SAPBEXaggData 8 2" xfId="3501"/>
    <cellStyle name="SAPBEXaggData 9" xfId="2734"/>
    <cellStyle name="SAPBEXaggDataEmph" xfId="229"/>
    <cellStyle name="SAPBEXaggDataEmph 2" xfId="929"/>
    <cellStyle name="SAPBEXaggDataEmph 2 2" xfId="1679"/>
    <cellStyle name="SAPBEXaggDataEmph 2 2 2" xfId="3355"/>
    <cellStyle name="SAPBEXaggDataEmph 2 3" xfId="1906"/>
    <cellStyle name="SAPBEXaggDataEmph 2 3 2" xfId="3560"/>
    <cellStyle name="SAPBEXaggDataEmph 2 4" xfId="2124"/>
    <cellStyle name="SAPBEXaggDataEmph 2 4 2" xfId="3762"/>
    <cellStyle name="SAPBEXaggDataEmph 2 5" xfId="2337"/>
    <cellStyle name="SAPBEXaggDataEmph 2 5 2" xfId="3962"/>
    <cellStyle name="SAPBEXaggDataEmph 2 6" xfId="2542"/>
    <cellStyle name="SAPBEXaggDataEmph 2 6 2" xfId="4155"/>
    <cellStyle name="SAPBEXaggDataEmph 2 7" xfId="2838"/>
    <cellStyle name="SAPBEXaggDataEmph 3" xfId="1003"/>
    <cellStyle name="SAPBEXaggDataEmph 3 2" xfId="1572"/>
    <cellStyle name="SAPBEXaggDataEmph 3 2 2" xfId="3255"/>
    <cellStyle name="SAPBEXaggDataEmph 3 3" xfId="1743"/>
    <cellStyle name="SAPBEXaggDataEmph 3 3 2" xfId="3414"/>
    <cellStyle name="SAPBEXaggDataEmph 3 4" xfId="1966"/>
    <cellStyle name="SAPBEXaggDataEmph 3 4 2" xfId="3618"/>
    <cellStyle name="SAPBEXaggDataEmph 3 5" xfId="2182"/>
    <cellStyle name="SAPBEXaggDataEmph 3 5 2" xfId="3820"/>
    <cellStyle name="SAPBEXaggDataEmph 3 6" xfId="2394"/>
    <cellStyle name="SAPBEXaggDataEmph 3 6 2" xfId="4019"/>
    <cellStyle name="SAPBEXaggDataEmph 3 7" xfId="2598"/>
    <cellStyle name="SAPBEXaggDataEmph 3 8" xfId="2895"/>
    <cellStyle name="SAPBEXaggDataEmph 4" xfId="1167"/>
    <cellStyle name="SAPBEXaggDataEmph 4 2" xfId="3033"/>
    <cellStyle name="SAPBEXaggDataEmph 5" xfId="1251"/>
    <cellStyle name="SAPBEXaggDataEmph 5 2" xfId="3068"/>
    <cellStyle name="SAPBEXaggDataEmph 6" xfId="1199"/>
    <cellStyle name="SAPBEXaggDataEmph 6 2" xfId="3048"/>
    <cellStyle name="SAPBEXaggDataEmph 7" xfId="1419"/>
    <cellStyle name="SAPBEXaggDataEmph 7 2" xfId="3134"/>
    <cellStyle name="SAPBEXaggDataEmph 8" xfId="1207"/>
    <cellStyle name="SAPBEXaggDataEmph 8 2" xfId="3050"/>
    <cellStyle name="SAPBEXaggDataEmph 9" xfId="2735"/>
    <cellStyle name="SAPBEXaggItem" xfId="230"/>
    <cellStyle name="SAPBEXaggItem 2" xfId="928"/>
    <cellStyle name="SAPBEXaggItem 2 2" xfId="1678"/>
    <cellStyle name="SAPBEXaggItem 2 2 2" xfId="3354"/>
    <cellStyle name="SAPBEXaggItem 2 3" xfId="1905"/>
    <cellStyle name="SAPBEXaggItem 2 3 2" xfId="3559"/>
    <cellStyle name="SAPBEXaggItem 2 4" xfId="2123"/>
    <cellStyle name="SAPBEXaggItem 2 4 2" xfId="3761"/>
    <cellStyle name="SAPBEXaggItem 2 5" xfId="2336"/>
    <cellStyle name="SAPBEXaggItem 2 5 2" xfId="3961"/>
    <cellStyle name="SAPBEXaggItem 2 6" xfId="2541"/>
    <cellStyle name="SAPBEXaggItem 2 6 2" xfId="4154"/>
    <cellStyle name="SAPBEXaggItem 2 7" xfId="2837"/>
    <cellStyle name="SAPBEXaggItem 3" xfId="1004"/>
    <cellStyle name="SAPBEXaggItem 3 2" xfId="1573"/>
    <cellStyle name="SAPBEXaggItem 3 2 2" xfId="3256"/>
    <cellStyle name="SAPBEXaggItem 3 3" xfId="1744"/>
    <cellStyle name="SAPBEXaggItem 3 3 2" xfId="3415"/>
    <cellStyle name="SAPBEXaggItem 3 4" xfId="1967"/>
    <cellStyle name="SAPBEXaggItem 3 4 2" xfId="3619"/>
    <cellStyle name="SAPBEXaggItem 3 5" xfId="2183"/>
    <cellStyle name="SAPBEXaggItem 3 5 2" xfId="3821"/>
    <cellStyle name="SAPBEXaggItem 3 6" xfId="2395"/>
    <cellStyle name="SAPBEXaggItem 3 6 2" xfId="4020"/>
    <cellStyle name="SAPBEXaggItem 3 7" xfId="2599"/>
    <cellStyle name="SAPBEXaggItem 3 8" xfId="2896"/>
    <cellStyle name="SAPBEXaggItem 4" xfId="1166"/>
    <cellStyle name="SAPBEXaggItem 4 2" xfId="3032"/>
    <cellStyle name="SAPBEXaggItem 5" xfId="1651"/>
    <cellStyle name="SAPBEXaggItem 5 2" xfId="3327"/>
    <cellStyle name="SAPBEXaggItem 6" xfId="1878"/>
    <cellStyle name="SAPBEXaggItem 6 2" xfId="3532"/>
    <cellStyle name="SAPBEXaggItem 7" xfId="2096"/>
    <cellStyle name="SAPBEXaggItem 7 2" xfId="3734"/>
    <cellStyle name="SAPBEXaggItem 8" xfId="2309"/>
    <cellStyle name="SAPBEXaggItem 8 2" xfId="3934"/>
    <cellStyle name="SAPBEXaggItem 9" xfId="2736"/>
    <cellStyle name="SAPBEXaggItemX" xfId="231"/>
    <cellStyle name="SAPBEXaggItemX 2" xfId="927"/>
    <cellStyle name="SAPBEXaggItemX 2 2" xfId="1677"/>
    <cellStyle name="SAPBEXaggItemX 2 2 2" xfId="3353"/>
    <cellStyle name="SAPBEXaggItemX 2 3" xfId="1904"/>
    <cellStyle name="SAPBEXaggItemX 2 3 2" xfId="3558"/>
    <cellStyle name="SAPBEXaggItemX 2 4" xfId="2122"/>
    <cellStyle name="SAPBEXaggItemX 2 4 2" xfId="3760"/>
    <cellStyle name="SAPBEXaggItemX 2 5" xfId="2335"/>
    <cellStyle name="SAPBEXaggItemX 2 5 2" xfId="3960"/>
    <cellStyle name="SAPBEXaggItemX 2 6" xfId="2540"/>
    <cellStyle name="SAPBEXaggItemX 2 6 2" xfId="4153"/>
    <cellStyle name="SAPBEXaggItemX 2 7" xfId="2836"/>
    <cellStyle name="SAPBEXaggItemX 3" xfId="994"/>
    <cellStyle name="SAPBEXaggItemX 3 2" xfId="1563"/>
    <cellStyle name="SAPBEXaggItemX 3 2 2" xfId="3246"/>
    <cellStyle name="SAPBEXaggItemX 3 3" xfId="1734"/>
    <cellStyle name="SAPBEXaggItemX 3 3 2" xfId="3405"/>
    <cellStyle name="SAPBEXaggItemX 3 4" xfId="1957"/>
    <cellStyle name="SAPBEXaggItemX 3 4 2" xfId="3609"/>
    <cellStyle name="SAPBEXaggItemX 3 5" xfId="2173"/>
    <cellStyle name="SAPBEXaggItemX 3 5 2" xfId="3811"/>
    <cellStyle name="SAPBEXaggItemX 3 6" xfId="2385"/>
    <cellStyle name="SAPBEXaggItemX 3 6 2" xfId="4010"/>
    <cellStyle name="SAPBEXaggItemX 3 7" xfId="2589"/>
    <cellStyle name="SAPBEXaggItemX 3 8" xfId="2886"/>
    <cellStyle name="SAPBEXaggItemX 4" xfId="1165"/>
    <cellStyle name="SAPBEXaggItemX 4 2" xfId="3031"/>
    <cellStyle name="SAPBEXaggItemX 5" xfId="1252"/>
    <cellStyle name="SAPBEXaggItemX 5 2" xfId="3069"/>
    <cellStyle name="SAPBEXaggItemX 6" xfId="1198"/>
    <cellStyle name="SAPBEXaggItemX 6 2" xfId="3047"/>
    <cellStyle name="SAPBEXaggItemX 7" xfId="1420"/>
    <cellStyle name="SAPBEXaggItemX 7 2" xfId="3135"/>
    <cellStyle name="SAPBEXaggItemX 8" xfId="1650"/>
    <cellStyle name="SAPBEXaggItemX 8 2" xfId="3326"/>
    <cellStyle name="SAPBEXaggItemX 9" xfId="2737"/>
    <cellStyle name="SAPBEXchaText" xfId="232"/>
    <cellStyle name="SAPBEXchaText 10" xfId="1706"/>
    <cellStyle name="SAPBEXchaText 10 2" xfId="3380"/>
    <cellStyle name="SAPBEXchaText 11" xfId="2738"/>
    <cellStyle name="SAPBEXchaText 2" xfId="841"/>
    <cellStyle name="SAPBEXchaText 2 10" xfId="2482"/>
    <cellStyle name="SAPBEXchaText 2 10 2" xfId="4105"/>
    <cellStyle name="SAPBEXchaText 2 11" xfId="2785"/>
    <cellStyle name="SAPBEXchaText 2 2" xfId="1007"/>
    <cellStyle name="SAPBEXchaText 2 2 2" xfId="1576"/>
    <cellStyle name="SAPBEXchaText 2 2 2 2" xfId="3259"/>
    <cellStyle name="SAPBEXchaText 2 2 3" xfId="1747"/>
    <cellStyle name="SAPBEXchaText 2 2 3 2" xfId="3418"/>
    <cellStyle name="SAPBEXchaText 2 2 4" xfId="1970"/>
    <cellStyle name="SAPBEXchaText 2 2 4 2" xfId="3622"/>
    <cellStyle name="SAPBEXchaText 2 2 5" xfId="2186"/>
    <cellStyle name="SAPBEXchaText 2 2 5 2" xfId="3824"/>
    <cellStyle name="SAPBEXchaText 2 2 6" xfId="2398"/>
    <cellStyle name="SAPBEXchaText 2 2 6 2" xfId="4023"/>
    <cellStyle name="SAPBEXchaText 2 2 7" xfId="2602"/>
    <cellStyle name="SAPBEXchaText 2 2 7 2" xfId="4168"/>
    <cellStyle name="SAPBEXchaText 2 2 8" xfId="2899"/>
    <cellStyle name="SAPBEXchaText 2 3" xfId="966"/>
    <cellStyle name="SAPBEXchaText 2 3 2" xfId="1541"/>
    <cellStyle name="SAPBEXchaText 2 3 2 2" xfId="3225"/>
    <cellStyle name="SAPBEXchaText 2 3 3" xfId="1713"/>
    <cellStyle name="SAPBEXchaText 2 3 3 2" xfId="3386"/>
    <cellStyle name="SAPBEXchaText 2 3 4" xfId="1937"/>
    <cellStyle name="SAPBEXchaText 2 3 4 2" xfId="3591"/>
    <cellStyle name="SAPBEXchaText 2 3 5" xfId="2154"/>
    <cellStyle name="SAPBEXchaText 2 3 5 2" xfId="3792"/>
    <cellStyle name="SAPBEXchaText 2 3 6" xfId="2367"/>
    <cellStyle name="SAPBEXchaText 2 3 6 2" xfId="3992"/>
    <cellStyle name="SAPBEXchaText 2 3 7" xfId="2572"/>
    <cellStyle name="SAPBEXchaText 2 3 8" xfId="2868"/>
    <cellStyle name="SAPBEXchaText 2 4" xfId="1059"/>
    <cellStyle name="SAPBEXchaText 2 4 2" xfId="1620"/>
    <cellStyle name="SAPBEXchaText 2 4 2 2" xfId="3301"/>
    <cellStyle name="SAPBEXchaText 2 4 3" xfId="1799"/>
    <cellStyle name="SAPBEXchaText 2 4 3 2" xfId="3470"/>
    <cellStyle name="SAPBEXchaText 2 4 4" xfId="2022"/>
    <cellStyle name="SAPBEXchaText 2 4 4 2" xfId="3674"/>
    <cellStyle name="SAPBEXchaText 2 4 5" xfId="2238"/>
    <cellStyle name="SAPBEXchaText 2 4 5 2" xfId="3876"/>
    <cellStyle name="SAPBEXchaText 2 4 6" xfId="2450"/>
    <cellStyle name="SAPBEXchaText 2 4 6 2" xfId="4075"/>
    <cellStyle name="SAPBEXchaText 2 4 7" xfId="2654"/>
    <cellStyle name="SAPBEXchaText 2 4 8" xfId="2951"/>
    <cellStyle name="SAPBEXchaText 2 5" xfId="1458"/>
    <cellStyle name="SAPBEXchaText 2 5 2" xfId="3167"/>
    <cellStyle name="SAPBEXchaText 2 6" xfId="1226"/>
    <cellStyle name="SAPBEXchaText 2 6 2" xfId="3058"/>
    <cellStyle name="SAPBEXchaText 2 7" xfId="1840"/>
    <cellStyle name="SAPBEXchaText 2 7 2" xfId="3504"/>
    <cellStyle name="SAPBEXchaText 2 8" xfId="2057"/>
    <cellStyle name="SAPBEXchaText 2 8 2" xfId="3705"/>
    <cellStyle name="SAPBEXchaText 2 9" xfId="2273"/>
    <cellStyle name="SAPBEXchaText 2 9 2" xfId="3907"/>
    <cellStyle name="SAPBEXchaText 3" xfId="853"/>
    <cellStyle name="SAPBEXchaText 3 10" xfId="2494"/>
    <cellStyle name="SAPBEXchaText 3 10 2" xfId="4117"/>
    <cellStyle name="SAPBEXchaText 3 11" xfId="2797"/>
    <cellStyle name="SAPBEXchaText 3 2" xfId="1019"/>
    <cellStyle name="SAPBEXchaText 3 2 2" xfId="1585"/>
    <cellStyle name="SAPBEXchaText 3 2 2 2" xfId="3268"/>
    <cellStyle name="SAPBEXchaText 3 2 3" xfId="1759"/>
    <cellStyle name="SAPBEXchaText 3 2 3 2" xfId="3430"/>
    <cellStyle name="SAPBEXchaText 3 2 4" xfId="1982"/>
    <cellStyle name="SAPBEXchaText 3 2 4 2" xfId="3634"/>
    <cellStyle name="SAPBEXchaText 3 2 5" xfId="2198"/>
    <cellStyle name="SAPBEXchaText 3 2 5 2" xfId="3836"/>
    <cellStyle name="SAPBEXchaText 3 2 6" xfId="2410"/>
    <cellStyle name="SAPBEXchaText 3 2 6 2" xfId="4035"/>
    <cellStyle name="SAPBEXchaText 3 2 7" xfId="2614"/>
    <cellStyle name="SAPBEXchaText 3 2 7 2" xfId="4180"/>
    <cellStyle name="SAPBEXchaText 3 2 8" xfId="2911"/>
    <cellStyle name="SAPBEXchaText 3 3" xfId="1039"/>
    <cellStyle name="SAPBEXchaText 3 3 2" xfId="1601"/>
    <cellStyle name="SAPBEXchaText 3 3 2 2" xfId="3283"/>
    <cellStyle name="SAPBEXchaText 3 3 3" xfId="1779"/>
    <cellStyle name="SAPBEXchaText 3 3 3 2" xfId="3450"/>
    <cellStyle name="SAPBEXchaText 3 3 4" xfId="2002"/>
    <cellStyle name="SAPBEXchaText 3 3 4 2" xfId="3654"/>
    <cellStyle name="SAPBEXchaText 3 3 5" xfId="2218"/>
    <cellStyle name="SAPBEXchaText 3 3 5 2" xfId="3856"/>
    <cellStyle name="SAPBEXchaText 3 3 6" xfId="2430"/>
    <cellStyle name="SAPBEXchaText 3 3 6 2" xfId="4055"/>
    <cellStyle name="SAPBEXchaText 3 3 7" xfId="2634"/>
    <cellStyle name="SAPBEXchaText 3 3 8" xfId="2931"/>
    <cellStyle name="SAPBEXchaText 3 4" xfId="1071"/>
    <cellStyle name="SAPBEXchaText 3 4 2" xfId="1632"/>
    <cellStyle name="SAPBEXchaText 3 4 2 2" xfId="3313"/>
    <cellStyle name="SAPBEXchaText 3 4 3" xfId="1811"/>
    <cellStyle name="SAPBEXchaText 3 4 3 2" xfId="3482"/>
    <cellStyle name="SAPBEXchaText 3 4 4" xfId="2034"/>
    <cellStyle name="SAPBEXchaText 3 4 4 2" xfId="3686"/>
    <cellStyle name="SAPBEXchaText 3 4 5" xfId="2250"/>
    <cellStyle name="SAPBEXchaText 3 4 5 2" xfId="3888"/>
    <cellStyle name="SAPBEXchaText 3 4 6" xfId="2462"/>
    <cellStyle name="SAPBEXchaText 3 4 6 2" xfId="4087"/>
    <cellStyle name="SAPBEXchaText 3 4 7" xfId="2666"/>
    <cellStyle name="SAPBEXchaText 3 4 8" xfId="2963"/>
    <cellStyle name="SAPBEXchaText 3 5" xfId="1468"/>
    <cellStyle name="SAPBEXchaText 3 5 2" xfId="3176"/>
    <cellStyle name="SAPBEXchaText 3 6" xfId="1095"/>
    <cellStyle name="SAPBEXchaText 3 6 2" xfId="2984"/>
    <cellStyle name="SAPBEXchaText 3 7" xfId="1852"/>
    <cellStyle name="SAPBEXchaText 3 7 2" xfId="3516"/>
    <cellStyle name="SAPBEXchaText 3 8" xfId="2069"/>
    <cellStyle name="SAPBEXchaText 3 8 2" xfId="3717"/>
    <cellStyle name="SAPBEXchaText 3 9" xfId="2285"/>
    <cellStyle name="SAPBEXchaText 3 9 2" xfId="3919"/>
    <cellStyle name="SAPBEXchaText 4" xfId="926"/>
    <cellStyle name="SAPBEXchaText 4 2" xfId="1676"/>
    <cellStyle name="SAPBEXchaText 4 2 2" xfId="3352"/>
    <cellStyle name="SAPBEXchaText 4 3" xfId="1903"/>
    <cellStyle name="SAPBEXchaText 4 3 2" xfId="3557"/>
    <cellStyle name="SAPBEXchaText 4 4" xfId="2121"/>
    <cellStyle name="SAPBEXchaText 4 4 2" xfId="3759"/>
    <cellStyle name="SAPBEXchaText 4 5" xfId="2334"/>
    <cellStyle name="SAPBEXchaText 4 5 2" xfId="3959"/>
    <cellStyle name="SAPBEXchaText 4 6" xfId="2539"/>
    <cellStyle name="SAPBEXchaText 4 6 2" xfId="4152"/>
    <cellStyle name="SAPBEXchaText 4 7" xfId="2835"/>
    <cellStyle name="SAPBEXchaText 5" xfId="995"/>
    <cellStyle name="SAPBEXchaText 5 2" xfId="1564"/>
    <cellStyle name="SAPBEXchaText 5 2 2" xfId="3247"/>
    <cellStyle name="SAPBEXchaText 5 3" xfId="1735"/>
    <cellStyle name="SAPBEXchaText 5 3 2" xfId="3406"/>
    <cellStyle name="SAPBEXchaText 5 4" xfId="1958"/>
    <cellStyle name="SAPBEXchaText 5 4 2" xfId="3610"/>
    <cellStyle name="SAPBEXchaText 5 5" xfId="2174"/>
    <cellStyle name="SAPBEXchaText 5 5 2" xfId="3812"/>
    <cellStyle name="SAPBEXchaText 5 6" xfId="2386"/>
    <cellStyle name="SAPBEXchaText 5 6 2" xfId="4011"/>
    <cellStyle name="SAPBEXchaText 5 7" xfId="2590"/>
    <cellStyle name="SAPBEXchaText 5 8" xfId="2887"/>
    <cellStyle name="SAPBEXchaText 6" xfId="1164"/>
    <cellStyle name="SAPBEXchaText 6 2" xfId="3030"/>
    <cellStyle name="SAPBEXchaText 7" xfId="1475"/>
    <cellStyle name="SAPBEXchaText 7 2" xfId="3182"/>
    <cellStyle name="SAPBEXchaText 8" xfId="1197"/>
    <cellStyle name="SAPBEXchaText 8 2" xfId="3046"/>
    <cellStyle name="SAPBEXchaText 9" xfId="1423"/>
    <cellStyle name="SAPBEXchaText 9 2" xfId="3138"/>
    <cellStyle name="SAPBEXchaText_Sch-3" xfId="826"/>
    <cellStyle name="SAPBEXexcBad7" xfId="233"/>
    <cellStyle name="SAPBEXexcBad7 2" xfId="1031"/>
    <cellStyle name="SAPBEXexcBad7 2 2" xfId="1771"/>
    <cellStyle name="SAPBEXexcBad7 2 2 2" xfId="3442"/>
    <cellStyle name="SAPBEXexcBad7 2 3" xfId="1994"/>
    <cellStyle name="SAPBEXexcBad7 2 3 2" xfId="3646"/>
    <cellStyle name="SAPBEXexcBad7 2 4" xfId="2210"/>
    <cellStyle name="SAPBEXexcBad7 2 4 2" xfId="3848"/>
    <cellStyle name="SAPBEXexcBad7 2 5" xfId="2422"/>
    <cellStyle name="SAPBEXexcBad7 2 5 2" xfId="4047"/>
    <cellStyle name="SAPBEXexcBad7 2 6" xfId="2626"/>
    <cellStyle name="SAPBEXexcBad7 2 6 2" xfId="4192"/>
    <cellStyle name="SAPBEXexcBad7 2 7" xfId="2923"/>
    <cellStyle name="SAPBEXexcBad7 3" xfId="996"/>
    <cellStyle name="SAPBEXexcBad7 3 2" xfId="1565"/>
    <cellStyle name="SAPBEXexcBad7 3 2 2" xfId="3248"/>
    <cellStyle name="SAPBEXexcBad7 3 3" xfId="1736"/>
    <cellStyle name="SAPBEXexcBad7 3 3 2" xfId="3407"/>
    <cellStyle name="SAPBEXexcBad7 3 4" xfId="1959"/>
    <cellStyle name="SAPBEXexcBad7 3 4 2" xfId="3611"/>
    <cellStyle name="SAPBEXexcBad7 3 5" xfId="2175"/>
    <cellStyle name="SAPBEXexcBad7 3 5 2" xfId="3813"/>
    <cellStyle name="SAPBEXexcBad7 3 6" xfId="2387"/>
    <cellStyle name="SAPBEXexcBad7 3 6 2" xfId="4012"/>
    <cellStyle name="SAPBEXexcBad7 3 7" xfId="2591"/>
    <cellStyle name="SAPBEXexcBad7 3 8" xfId="2888"/>
    <cellStyle name="SAPBEXexcBad7 4" xfId="1163"/>
    <cellStyle name="SAPBEXexcBad7 4 2" xfId="3029"/>
    <cellStyle name="SAPBEXexcBad7 5" xfId="1489"/>
    <cellStyle name="SAPBEXexcBad7 5 2" xfId="3191"/>
    <cellStyle name="SAPBEXexcBad7 6" xfId="1196"/>
    <cellStyle name="SAPBEXexcBad7 6 2" xfId="3045"/>
    <cellStyle name="SAPBEXexcBad7 7" xfId="1425"/>
    <cellStyle name="SAPBEXexcBad7 7 2" xfId="3140"/>
    <cellStyle name="SAPBEXexcBad7 8" xfId="1119"/>
    <cellStyle name="SAPBEXexcBad7 8 2" xfId="2999"/>
    <cellStyle name="SAPBEXexcBad7 9" xfId="2739"/>
    <cellStyle name="SAPBEXexcBad8" xfId="234"/>
    <cellStyle name="SAPBEXexcBad8 2" xfId="1023"/>
    <cellStyle name="SAPBEXexcBad8 2 2" xfId="1763"/>
    <cellStyle name="SAPBEXexcBad8 2 2 2" xfId="3434"/>
    <cellStyle name="SAPBEXexcBad8 2 3" xfId="1986"/>
    <cellStyle name="SAPBEXexcBad8 2 3 2" xfId="3638"/>
    <cellStyle name="SAPBEXexcBad8 2 4" xfId="2202"/>
    <cellStyle name="SAPBEXexcBad8 2 4 2" xfId="3840"/>
    <cellStyle name="SAPBEXexcBad8 2 5" xfId="2414"/>
    <cellStyle name="SAPBEXexcBad8 2 5 2" xfId="4039"/>
    <cellStyle name="SAPBEXexcBad8 2 6" xfId="2618"/>
    <cellStyle name="SAPBEXexcBad8 2 6 2" xfId="4184"/>
    <cellStyle name="SAPBEXexcBad8 2 7" xfId="2915"/>
    <cellStyle name="SAPBEXexcBad8 3" xfId="997"/>
    <cellStyle name="SAPBEXexcBad8 3 2" xfId="1566"/>
    <cellStyle name="SAPBEXexcBad8 3 2 2" xfId="3249"/>
    <cellStyle name="SAPBEXexcBad8 3 3" xfId="1737"/>
    <cellStyle name="SAPBEXexcBad8 3 3 2" xfId="3408"/>
    <cellStyle name="SAPBEXexcBad8 3 4" xfId="1960"/>
    <cellStyle name="SAPBEXexcBad8 3 4 2" xfId="3612"/>
    <cellStyle name="SAPBEXexcBad8 3 5" xfId="2176"/>
    <cellStyle name="SAPBEXexcBad8 3 5 2" xfId="3814"/>
    <cellStyle name="SAPBEXexcBad8 3 6" xfId="2388"/>
    <cellStyle name="SAPBEXexcBad8 3 6 2" xfId="4013"/>
    <cellStyle name="SAPBEXexcBad8 3 7" xfId="2592"/>
    <cellStyle name="SAPBEXexcBad8 3 8" xfId="2889"/>
    <cellStyle name="SAPBEXexcBad8 4" xfId="1162"/>
    <cellStyle name="SAPBEXexcBad8 4 2" xfId="3028"/>
    <cellStyle name="SAPBEXexcBad8 5" xfId="1253"/>
    <cellStyle name="SAPBEXexcBad8 5 2" xfId="3070"/>
    <cellStyle name="SAPBEXexcBad8 6" xfId="1195"/>
    <cellStyle name="SAPBEXexcBad8 6 2" xfId="3044"/>
    <cellStyle name="SAPBEXexcBad8 7" xfId="1426"/>
    <cellStyle name="SAPBEXexcBad8 7 2" xfId="3141"/>
    <cellStyle name="SAPBEXexcBad8 8" xfId="1400"/>
    <cellStyle name="SAPBEXexcBad8 8 2" xfId="3129"/>
    <cellStyle name="SAPBEXexcBad8 9" xfId="2740"/>
    <cellStyle name="SAPBEXexcBad9" xfId="235"/>
    <cellStyle name="SAPBEXexcBad9 2" xfId="943"/>
    <cellStyle name="SAPBEXexcBad9 2 2" xfId="1693"/>
    <cellStyle name="SAPBEXexcBad9 2 2 2" xfId="3369"/>
    <cellStyle name="SAPBEXexcBad9 2 3" xfId="1920"/>
    <cellStyle name="SAPBEXexcBad9 2 3 2" xfId="3574"/>
    <cellStyle name="SAPBEXexcBad9 2 4" xfId="2138"/>
    <cellStyle name="SAPBEXexcBad9 2 4 2" xfId="3776"/>
    <cellStyle name="SAPBEXexcBad9 2 5" xfId="2351"/>
    <cellStyle name="SAPBEXexcBad9 2 5 2" xfId="3976"/>
    <cellStyle name="SAPBEXexcBad9 2 6" xfId="2556"/>
    <cellStyle name="SAPBEXexcBad9 2 6 2" xfId="4165"/>
    <cellStyle name="SAPBEXexcBad9 2 7" xfId="2852"/>
    <cellStyle name="SAPBEXexcBad9 3" xfId="998"/>
    <cellStyle name="SAPBEXexcBad9 3 2" xfId="1567"/>
    <cellStyle name="SAPBEXexcBad9 3 2 2" xfId="3250"/>
    <cellStyle name="SAPBEXexcBad9 3 3" xfId="1738"/>
    <cellStyle name="SAPBEXexcBad9 3 3 2" xfId="3409"/>
    <cellStyle name="SAPBEXexcBad9 3 4" xfId="1961"/>
    <cellStyle name="SAPBEXexcBad9 3 4 2" xfId="3613"/>
    <cellStyle name="SAPBEXexcBad9 3 5" xfId="2177"/>
    <cellStyle name="SAPBEXexcBad9 3 5 2" xfId="3815"/>
    <cellStyle name="SAPBEXexcBad9 3 6" xfId="2389"/>
    <cellStyle name="SAPBEXexcBad9 3 6 2" xfId="4014"/>
    <cellStyle name="SAPBEXexcBad9 3 7" xfId="2593"/>
    <cellStyle name="SAPBEXexcBad9 3 8" xfId="2890"/>
    <cellStyle name="SAPBEXexcBad9 4" xfId="1161"/>
    <cellStyle name="SAPBEXexcBad9 4 2" xfId="3027"/>
    <cellStyle name="SAPBEXexcBad9 5" xfId="1254"/>
    <cellStyle name="SAPBEXexcBad9 5 2" xfId="3071"/>
    <cellStyle name="SAPBEXexcBad9 6" xfId="1194"/>
    <cellStyle name="SAPBEXexcBad9 6 2" xfId="3043"/>
    <cellStyle name="SAPBEXexcBad9 7" xfId="1427"/>
    <cellStyle name="SAPBEXexcBad9 7 2" xfId="3142"/>
    <cellStyle name="SAPBEXexcBad9 8" xfId="1511"/>
    <cellStyle name="SAPBEXexcBad9 8 2" xfId="3200"/>
    <cellStyle name="SAPBEXexcBad9 9" xfId="2741"/>
    <cellStyle name="SAPBEXexcCritical4" xfId="236"/>
    <cellStyle name="SAPBEXexcCritical4 2" xfId="925"/>
    <cellStyle name="SAPBEXexcCritical4 2 2" xfId="1675"/>
    <cellStyle name="SAPBEXexcCritical4 2 2 2" xfId="3351"/>
    <cellStyle name="SAPBEXexcCritical4 2 3" xfId="1902"/>
    <cellStyle name="SAPBEXexcCritical4 2 3 2" xfId="3556"/>
    <cellStyle name="SAPBEXexcCritical4 2 4" xfId="2120"/>
    <cellStyle name="SAPBEXexcCritical4 2 4 2" xfId="3758"/>
    <cellStyle name="SAPBEXexcCritical4 2 5" xfId="2333"/>
    <cellStyle name="SAPBEXexcCritical4 2 5 2" xfId="3958"/>
    <cellStyle name="SAPBEXexcCritical4 2 6" xfId="2538"/>
    <cellStyle name="SAPBEXexcCritical4 2 6 2" xfId="4151"/>
    <cellStyle name="SAPBEXexcCritical4 2 7" xfId="2834"/>
    <cellStyle name="SAPBEXexcCritical4 3" xfId="1000"/>
    <cellStyle name="SAPBEXexcCritical4 3 2" xfId="1569"/>
    <cellStyle name="SAPBEXexcCritical4 3 2 2" xfId="3252"/>
    <cellStyle name="SAPBEXexcCritical4 3 3" xfId="1740"/>
    <cellStyle name="SAPBEXexcCritical4 3 3 2" xfId="3411"/>
    <cellStyle name="SAPBEXexcCritical4 3 4" xfId="1963"/>
    <cellStyle name="SAPBEXexcCritical4 3 4 2" xfId="3615"/>
    <cellStyle name="SAPBEXexcCritical4 3 5" xfId="2179"/>
    <cellStyle name="SAPBEXexcCritical4 3 5 2" xfId="3817"/>
    <cellStyle name="SAPBEXexcCritical4 3 6" xfId="2391"/>
    <cellStyle name="SAPBEXexcCritical4 3 6 2" xfId="4016"/>
    <cellStyle name="SAPBEXexcCritical4 3 7" xfId="2595"/>
    <cellStyle name="SAPBEXexcCritical4 3 8" xfId="2892"/>
    <cellStyle name="SAPBEXexcCritical4 4" xfId="1160"/>
    <cellStyle name="SAPBEXexcCritical4 4 2" xfId="3026"/>
    <cellStyle name="SAPBEXexcCritical4 5" xfId="1256"/>
    <cellStyle name="SAPBEXexcCritical4 5 2" xfId="3072"/>
    <cellStyle name="SAPBEXexcCritical4 6" xfId="1192"/>
    <cellStyle name="SAPBEXexcCritical4 6 2" xfId="3042"/>
    <cellStyle name="SAPBEXexcCritical4 7" xfId="1471"/>
    <cellStyle name="SAPBEXexcCritical4 7 2" xfId="3179"/>
    <cellStyle name="SAPBEXexcCritical4 8" xfId="1114"/>
    <cellStyle name="SAPBEXexcCritical4 8 2" xfId="2996"/>
    <cellStyle name="SAPBEXexcCritical4 9" xfId="2742"/>
    <cellStyle name="SAPBEXexcCritical5" xfId="237"/>
    <cellStyle name="SAPBEXexcCritical5 2" xfId="936"/>
    <cellStyle name="SAPBEXexcCritical5 2 2" xfId="1686"/>
    <cellStyle name="SAPBEXexcCritical5 2 2 2" xfId="3362"/>
    <cellStyle name="SAPBEXexcCritical5 2 3" xfId="1913"/>
    <cellStyle name="SAPBEXexcCritical5 2 3 2" xfId="3567"/>
    <cellStyle name="SAPBEXexcCritical5 2 4" xfId="2131"/>
    <cellStyle name="SAPBEXexcCritical5 2 4 2" xfId="3769"/>
    <cellStyle name="SAPBEXexcCritical5 2 5" xfId="2344"/>
    <cellStyle name="SAPBEXexcCritical5 2 5 2" xfId="3969"/>
    <cellStyle name="SAPBEXexcCritical5 2 6" xfId="2549"/>
    <cellStyle name="SAPBEXexcCritical5 2 6 2" xfId="4160"/>
    <cellStyle name="SAPBEXexcCritical5 2 7" xfId="2845"/>
    <cellStyle name="SAPBEXexcCritical5 3" xfId="1055"/>
    <cellStyle name="SAPBEXexcCritical5 3 2" xfId="1616"/>
    <cellStyle name="SAPBEXexcCritical5 3 2 2" xfId="3297"/>
    <cellStyle name="SAPBEXexcCritical5 3 3" xfId="1795"/>
    <cellStyle name="SAPBEXexcCritical5 3 3 2" xfId="3466"/>
    <cellStyle name="SAPBEXexcCritical5 3 4" xfId="2018"/>
    <cellStyle name="SAPBEXexcCritical5 3 4 2" xfId="3670"/>
    <cellStyle name="SAPBEXexcCritical5 3 5" xfId="2234"/>
    <cellStyle name="SAPBEXexcCritical5 3 5 2" xfId="3872"/>
    <cellStyle name="SAPBEXexcCritical5 3 6" xfId="2446"/>
    <cellStyle name="SAPBEXexcCritical5 3 6 2" xfId="4071"/>
    <cellStyle name="SAPBEXexcCritical5 3 7" xfId="2650"/>
    <cellStyle name="SAPBEXexcCritical5 3 8" xfId="2947"/>
    <cellStyle name="SAPBEXexcCritical5 4" xfId="1159"/>
    <cellStyle name="SAPBEXexcCritical5 4 2" xfId="3025"/>
    <cellStyle name="SAPBEXexcCritical5 5" xfId="1257"/>
    <cellStyle name="SAPBEXexcCritical5 5 2" xfId="3073"/>
    <cellStyle name="SAPBEXexcCritical5 6" xfId="1191"/>
    <cellStyle name="SAPBEXexcCritical5 6 2" xfId="3041"/>
    <cellStyle name="SAPBEXexcCritical5 7" xfId="1104"/>
    <cellStyle name="SAPBEXexcCritical5 7 2" xfId="2992"/>
    <cellStyle name="SAPBEXexcCritical5 8" xfId="1113"/>
    <cellStyle name="SAPBEXexcCritical5 8 2" xfId="2995"/>
    <cellStyle name="SAPBEXexcCritical5 9" xfId="2743"/>
    <cellStyle name="SAPBEXexcCritical6" xfId="238"/>
    <cellStyle name="SAPBEXexcCritical6 2" xfId="942"/>
    <cellStyle name="SAPBEXexcCritical6 2 2" xfId="1692"/>
    <cellStyle name="SAPBEXexcCritical6 2 2 2" xfId="3368"/>
    <cellStyle name="SAPBEXexcCritical6 2 3" xfId="1919"/>
    <cellStyle name="SAPBEXexcCritical6 2 3 2" xfId="3573"/>
    <cellStyle name="SAPBEXexcCritical6 2 4" xfId="2137"/>
    <cellStyle name="SAPBEXexcCritical6 2 4 2" xfId="3775"/>
    <cellStyle name="SAPBEXexcCritical6 2 5" xfId="2350"/>
    <cellStyle name="SAPBEXexcCritical6 2 5 2" xfId="3975"/>
    <cellStyle name="SAPBEXexcCritical6 2 6" xfId="2555"/>
    <cellStyle name="SAPBEXexcCritical6 2 6 2" xfId="4164"/>
    <cellStyle name="SAPBEXexcCritical6 2 7" xfId="2851"/>
    <cellStyle name="SAPBEXexcCritical6 3" xfId="969"/>
    <cellStyle name="SAPBEXexcCritical6 3 2" xfId="1544"/>
    <cellStyle name="SAPBEXexcCritical6 3 2 2" xfId="3228"/>
    <cellStyle name="SAPBEXexcCritical6 3 3" xfId="1716"/>
    <cellStyle name="SAPBEXexcCritical6 3 3 2" xfId="3389"/>
    <cellStyle name="SAPBEXexcCritical6 3 4" xfId="1940"/>
    <cellStyle name="SAPBEXexcCritical6 3 4 2" xfId="3594"/>
    <cellStyle name="SAPBEXexcCritical6 3 5" xfId="2157"/>
    <cellStyle name="SAPBEXexcCritical6 3 5 2" xfId="3795"/>
    <cellStyle name="SAPBEXexcCritical6 3 6" xfId="2370"/>
    <cellStyle name="SAPBEXexcCritical6 3 6 2" xfId="3995"/>
    <cellStyle name="SAPBEXexcCritical6 3 7" xfId="2575"/>
    <cellStyle name="SAPBEXexcCritical6 3 8" xfId="2871"/>
    <cellStyle name="SAPBEXexcCritical6 4" xfId="1158"/>
    <cellStyle name="SAPBEXexcCritical6 4 2" xfId="3024"/>
    <cellStyle name="SAPBEXexcCritical6 5" xfId="1258"/>
    <cellStyle name="SAPBEXexcCritical6 5 2" xfId="3074"/>
    <cellStyle name="SAPBEXexcCritical6 6" xfId="1190"/>
    <cellStyle name="SAPBEXexcCritical6 6 2" xfId="3040"/>
    <cellStyle name="SAPBEXexcCritical6 7" xfId="1453"/>
    <cellStyle name="SAPBEXexcCritical6 7 2" xfId="3163"/>
    <cellStyle name="SAPBEXexcCritical6 8" xfId="1833"/>
    <cellStyle name="SAPBEXexcCritical6 8 2" xfId="3499"/>
    <cellStyle name="SAPBEXexcCritical6 9" xfId="2744"/>
    <cellStyle name="SAPBEXexcGood1" xfId="239"/>
    <cellStyle name="SAPBEXexcGood1 2" xfId="939"/>
    <cellStyle name="SAPBEXexcGood1 2 2" xfId="1689"/>
    <cellStyle name="SAPBEXexcGood1 2 2 2" xfId="3365"/>
    <cellStyle name="SAPBEXexcGood1 2 3" xfId="1916"/>
    <cellStyle name="SAPBEXexcGood1 2 3 2" xfId="3570"/>
    <cellStyle name="SAPBEXexcGood1 2 4" xfId="2134"/>
    <cellStyle name="SAPBEXexcGood1 2 4 2" xfId="3772"/>
    <cellStyle name="SAPBEXexcGood1 2 5" xfId="2347"/>
    <cellStyle name="SAPBEXexcGood1 2 5 2" xfId="3972"/>
    <cellStyle name="SAPBEXexcGood1 2 6" xfId="2552"/>
    <cellStyle name="SAPBEXexcGood1 2 6 2" xfId="4161"/>
    <cellStyle name="SAPBEXexcGood1 2 7" xfId="2848"/>
    <cellStyle name="SAPBEXexcGood1 3" xfId="938"/>
    <cellStyle name="SAPBEXexcGood1 3 2" xfId="1520"/>
    <cellStyle name="SAPBEXexcGood1 3 2 2" xfId="3206"/>
    <cellStyle name="SAPBEXexcGood1 3 3" xfId="1688"/>
    <cellStyle name="SAPBEXexcGood1 3 3 2" xfId="3364"/>
    <cellStyle name="SAPBEXexcGood1 3 4" xfId="1915"/>
    <cellStyle name="SAPBEXexcGood1 3 4 2" xfId="3569"/>
    <cellStyle name="SAPBEXexcGood1 3 5" xfId="2133"/>
    <cellStyle name="SAPBEXexcGood1 3 5 2" xfId="3771"/>
    <cellStyle name="SAPBEXexcGood1 3 6" xfId="2346"/>
    <cellStyle name="SAPBEXexcGood1 3 6 2" xfId="3971"/>
    <cellStyle name="SAPBEXexcGood1 3 7" xfId="2551"/>
    <cellStyle name="SAPBEXexcGood1 3 8" xfId="2847"/>
    <cellStyle name="SAPBEXexcGood1 4" xfId="1157"/>
    <cellStyle name="SAPBEXexcGood1 4 2" xfId="3023"/>
    <cellStyle name="SAPBEXexcGood1 5" xfId="1259"/>
    <cellStyle name="SAPBEXexcGood1 5 2" xfId="3075"/>
    <cellStyle name="SAPBEXexcGood1 6" xfId="1398"/>
    <cellStyle name="SAPBEXexcGood1 6 2" xfId="3127"/>
    <cellStyle name="SAPBEXexcGood1 7" xfId="209"/>
    <cellStyle name="SAPBEXexcGood1 7 2" xfId="2733"/>
    <cellStyle name="SAPBEXexcGood1 8" xfId="1534"/>
    <cellStyle name="SAPBEXexcGood1 8 2" xfId="3219"/>
    <cellStyle name="SAPBEXexcGood1 9" xfId="2745"/>
    <cellStyle name="SAPBEXexcGood2" xfId="240"/>
    <cellStyle name="SAPBEXexcGood2 2" xfId="941"/>
    <cellStyle name="SAPBEXexcGood2 2 2" xfId="1691"/>
    <cellStyle name="SAPBEXexcGood2 2 2 2" xfId="3367"/>
    <cellStyle name="SAPBEXexcGood2 2 3" xfId="1918"/>
    <cellStyle name="SAPBEXexcGood2 2 3 2" xfId="3572"/>
    <cellStyle name="SAPBEXexcGood2 2 4" xfId="2136"/>
    <cellStyle name="SAPBEXexcGood2 2 4 2" xfId="3774"/>
    <cellStyle name="SAPBEXexcGood2 2 5" xfId="2349"/>
    <cellStyle name="SAPBEXexcGood2 2 5 2" xfId="3974"/>
    <cellStyle name="SAPBEXexcGood2 2 6" xfId="2554"/>
    <cellStyle name="SAPBEXexcGood2 2 6 2" xfId="4163"/>
    <cellStyle name="SAPBEXexcGood2 2 7" xfId="2850"/>
    <cellStyle name="SAPBEXexcGood2 3" xfId="1054"/>
    <cellStyle name="SAPBEXexcGood2 3 2" xfId="1615"/>
    <cellStyle name="SAPBEXexcGood2 3 2 2" xfId="3296"/>
    <cellStyle name="SAPBEXexcGood2 3 3" xfId="1794"/>
    <cellStyle name="SAPBEXexcGood2 3 3 2" xfId="3465"/>
    <cellStyle name="SAPBEXexcGood2 3 4" xfId="2017"/>
    <cellStyle name="SAPBEXexcGood2 3 4 2" xfId="3669"/>
    <cellStyle name="SAPBEXexcGood2 3 5" xfId="2233"/>
    <cellStyle name="SAPBEXexcGood2 3 5 2" xfId="3871"/>
    <cellStyle name="SAPBEXexcGood2 3 6" xfId="2445"/>
    <cellStyle name="SAPBEXexcGood2 3 6 2" xfId="4070"/>
    <cellStyle name="SAPBEXexcGood2 3 7" xfId="2649"/>
    <cellStyle name="SAPBEXexcGood2 3 8" xfId="2946"/>
    <cellStyle name="SAPBEXexcGood2 4" xfId="1156"/>
    <cellStyle name="SAPBEXexcGood2 4 2" xfId="3022"/>
    <cellStyle name="SAPBEXexcGood2 5" xfId="1260"/>
    <cellStyle name="SAPBEXexcGood2 5 2" xfId="3076"/>
    <cellStyle name="SAPBEXexcGood2 6" xfId="1397"/>
    <cellStyle name="SAPBEXexcGood2 6 2" xfId="3126"/>
    <cellStyle name="SAPBEXexcGood2 7" xfId="1129"/>
    <cellStyle name="SAPBEXexcGood2 7 2" xfId="3004"/>
    <cellStyle name="SAPBEXexcGood2 8" xfId="1732"/>
    <cellStyle name="SAPBEXexcGood2 8 2" xfId="3403"/>
    <cellStyle name="SAPBEXexcGood2 9" xfId="2746"/>
    <cellStyle name="SAPBEXexcGood3" xfId="241"/>
    <cellStyle name="SAPBEXexcGood3 2" xfId="933"/>
    <cellStyle name="SAPBEXexcGood3 2 2" xfId="1683"/>
    <cellStyle name="SAPBEXexcGood3 2 2 2" xfId="3359"/>
    <cellStyle name="SAPBEXexcGood3 2 3" xfId="1910"/>
    <cellStyle name="SAPBEXexcGood3 2 3 2" xfId="3564"/>
    <cellStyle name="SAPBEXexcGood3 2 4" xfId="2128"/>
    <cellStyle name="SAPBEXexcGood3 2 4 2" xfId="3766"/>
    <cellStyle name="SAPBEXexcGood3 2 5" xfId="2341"/>
    <cellStyle name="SAPBEXexcGood3 2 5 2" xfId="3966"/>
    <cellStyle name="SAPBEXexcGood3 2 6" xfId="2546"/>
    <cellStyle name="SAPBEXexcGood3 2 6 2" xfId="4159"/>
    <cellStyle name="SAPBEXexcGood3 2 7" xfId="2842"/>
    <cellStyle name="SAPBEXexcGood3 3" xfId="1052"/>
    <cellStyle name="SAPBEXexcGood3 3 2" xfId="1613"/>
    <cellStyle name="SAPBEXexcGood3 3 2 2" xfId="3295"/>
    <cellStyle name="SAPBEXexcGood3 3 3" xfId="1792"/>
    <cellStyle name="SAPBEXexcGood3 3 3 2" xfId="3463"/>
    <cellStyle name="SAPBEXexcGood3 3 4" xfId="2015"/>
    <cellStyle name="SAPBEXexcGood3 3 4 2" xfId="3667"/>
    <cellStyle name="SAPBEXexcGood3 3 5" xfId="2231"/>
    <cellStyle name="SAPBEXexcGood3 3 5 2" xfId="3869"/>
    <cellStyle name="SAPBEXexcGood3 3 6" xfId="2443"/>
    <cellStyle name="SAPBEXexcGood3 3 6 2" xfId="4068"/>
    <cellStyle name="SAPBEXexcGood3 3 7" xfId="2647"/>
    <cellStyle name="SAPBEXexcGood3 3 8" xfId="2944"/>
    <cellStyle name="SAPBEXexcGood3 4" xfId="1155"/>
    <cellStyle name="SAPBEXexcGood3 4 2" xfId="3021"/>
    <cellStyle name="SAPBEXexcGood3 5" xfId="1173"/>
    <cellStyle name="SAPBEXexcGood3 5 2" xfId="3035"/>
    <cellStyle name="SAPBEXexcGood3 6" xfId="1235"/>
    <cellStyle name="SAPBEXexcGood3 6 2" xfId="3063"/>
    <cellStyle name="SAPBEXexcGood3 7" xfId="1210"/>
    <cellStyle name="SAPBEXexcGood3 7 2" xfId="3051"/>
    <cellStyle name="SAPBEXexcGood3 8" xfId="1408"/>
    <cellStyle name="SAPBEXexcGood3 8 2" xfId="3131"/>
    <cellStyle name="SAPBEXexcGood3 9" xfId="2747"/>
    <cellStyle name="SAPBEXfilterDrill" xfId="242"/>
    <cellStyle name="SAPBEXfilterDrill 2" xfId="924"/>
    <cellStyle name="SAPBEXfilterDrill 2 2" xfId="1674"/>
    <cellStyle name="SAPBEXfilterDrill 2 2 2" xfId="3350"/>
    <cellStyle name="SAPBEXfilterDrill 2 3" xfId="1901"/>
    <cellStyle name="SAPBEXfilterDrill 2 3 2" xfId="3555"/>
    <cellStyle name="SAPBEXfilterDrill 2 4" xfId="2119"/>
    <cellStyle name="SAPBEXfilterDrill 2 4 2" xfId="3757"/>
    <cellStyle name="SAPBEXfilterDrill 2 5" xfId="2332"/>
    <cellStyle name="SAPBEXfilterDrill 2 5 2" xfId="3957"/>
    <cellStyle name="SAPBEXfilterDrill 2 6" xfId="2537"/>
    <cellStyle name="SAPBEXfilterDrill 2 6 2" xfId="4150"/>
    <cellStyle name="SAPBEXfilterDrill 2 7" xfId="2833"/>
    <cellStyle name="SAPBEXfilterDrill 3" xfId="1056"/>
    <cellStyle name="SAPBEXfilterDrill 3 2" xfId="1617"/>
    <cellStyle name="SAPBEXfilterDrill 3 2 2" xfId="3298"/>
    <cellStyle name="SAPBEXfilterDrill 3 3" xfId="1796"/>
    <cellStyle name="SAPBEXfilterDrill 3 3 2" xfId="3467"/>
    <cellStyle name="SAPBEXfilterDrill 3 4" xfId="2019"/>
    <cellStyle name="SAPBEXfilterDrill 3 4 2" xfId="3671"/>
    <cellStyle name="SAPBEXfilterDrill 3 5" xfId="2235"/>
    <cellStyle name="SAPBEXfilterDrill 3 5 2" xfId="3873"/>
    <cellStyle name="SAPBEXfilterDrill 3 6" xfId="2447"/>
    <cellStyle name="SAPBEXfilterDrill 3 6 2" xfId="4072"/>
    <cellStyle name="SAPBEXfilterDrill 3 7" xfId="2651"/>
    <cellStyle name="SAPBEXfilterDrill 3 8" xfId="2948"/>
    <cellStyle name="SAPBEXfilterDrill 4" xfId="1154"/>
    <cellStyle name="SAPBEXfilterDrill 4 2" xfId="3020"/>
    <cellStyle name="SAPBEXfilterDrill 5" xfId="1261"/>
    <cellStyle name="SAPBEXfilterDrill 5 2" xfId="3077"/>
    <cellStyle name="SAPBEXfilterDrill 6" xfId="1396"/>
    <cellStyle name="SAPBEXfilterDrill 6 2" xfId="3125"/>
    <cellStyle name="SAPBEXfilterDrill 7" xfId="1130"/>
    <cellStyle name="SAPBEXfilterDrill 7 2" xfId="3005"/>
    <cellStyle name="SAPBEXfilterDrill 8" xfId="1371"/>
    <cellStyle name="SAPBEXfilterDrill 8 2" xfId="3111"/>
    <cellStyle name="SAPBEXfilterDrill 9" xfId="2748"/>
    <cellStyle name="SAPBEXfilterItem" xfId="243"/>
    <cellStyle name="SAPBEXfilterItem 2" xfId="923"/>
    <cellStyle name="SAPBEXfilterItem 2 2" xfId="1510"/>
    <cellStyle name="SAPBEXfilterItem 2 2 2" xfId="3199"/>
    <cellStyle name="SAPBEXfilterItem 2 3" xfId="1673"/>
    <cellStyle name="SAPBEXfilterItem 2 3 2" xfId="3349"/>
    <cellStyle name="SAPBEXfilterItem 2 4" xfId="1900"/>
    <cellStyle name="SAPBEXfilterItem 2 4 2" xfId="3554"/>
    <cellStyle name="SAPBEXfilterItem 2 5" xfId="2118"/>
    <cellStyle name="SAPBEXfilterItem 2 5 2" xfId="3756"/>
    <cellStyle name="SAPBEXfilterItem 2 6" xfId="2331"/>
    <cellStyle name="SAPBEXfilterItem 2 6 2" xfId="3956"/>
    <cellStyle name="SAPBEXfilterItem 2 7" xfId="2536"/>
    <cellStyle name="SAPBEXfilterItem 2 8" xfId="2832"/>
    <cellStyle name="SAPBEXfilterItem 3" xfId="1043"/>
    <cellStyle name="SAPBEXfilterItem 3 2" xfId="1605"/>
    <cellStyle name="SAPBEXfilterItem 3 2 2" xfId="3287"/>
    <cellStyle name="SAPBEXfilterItem 3 3" xfId="1783"/>
    <cellStyle name="SAPBEXfilterItem 3 3 2" xfId="3454"/>
    <cellStyle name="SAPBEXfilterItem 3 4" xfId="2006"/>
    <cellStyle name="SAPBEXfilterItem 3 4 2" xfId="3658"/>
    <cellStyle name="SAPBEXfilterItem 3 5" xfId="2222"/>
    <cellStyle name="SAPBEXfilterItem 3 5 2" xfId="3860"/>
    <cellStyle name="SAPBEXfilterItem 3 6" xfId="2434"/>
    <cellStyle name="SAPBEXfilterItem 3 6 2" xfId="4059"/>
    <cellStyle name="SAPBEXfilterItem 3 7" xfId="2638"/>
    <cellStyle name="SAPBEXfilterItem 3 8" xfId="2935"/>
    <cellStyle name="SAPBEXfilterItem 4" xfId="1153"/>
    <cellStyle name="SAPBEXfilterItem 4 2" xfId="3019"/>
    <cellStyle name="SAPBEXfilterItem 5" xfId="1262"/>
    <cellStyle name="SAPBEXfilterItem 5 2" xfId="3078"/>
    <cellStyle name="SAPBEXfilterItem 6" xfId="1395"/>
    <cellStyle name="SAPBEXfilterItem 6 2" xfId="3124"/>
    <cellStyle name="SAPBEXfilterItem 7" xfId="1285"/>
    <cellStyle name="SAPBEXfilterItem 7 2" xfId="3088"/>
    <cellStyle name="SAPBEXfilterItem 8" xfId="1370"/>
    <cellStyle name="SAPBEXfilterItem 8 2" xfId="3110"/>
    <cellStyle name="SAPBEXfilterItem 9" xfId="2749"/>
    <cellStyle name="SAPBEXfilterText" xfId="244"/>
    <cellStyle name="SAPBEXformats" xfId="245"/>
    <cellStyle name="SAPBEXformats 10" xfId="1369"/>
    <cellStyle name="SAPBEXformats 10 2" xfId="3109"/>
    <cellStyle name="SAPBEXformats 11" xfId="2750"/>
    <cellStyle name="SAPBEXformats 2" xfId="846"/>
    <cellStyle name="SAPBEXformats 2 10" xfId="2487"/>
    <cellStyle name="SAPBEXformats 2 10 2" xfId="4110"/>
    <cellStyle name="SAPBEXformats 2 11" xfId="2790"/>
    <cellStyle name="SAPBEXformats 2 2" xfId="1012"/>
    <cellStyle name="SAPBEXformats 2 2 2" xfId="1578"/>
    <cellStyle name="SAPBEXformats 2 2 2 2" xfId="3261"/>
    <cellStyle name="SAPBEXformats 2 2 3" xfId="1752"/>
    <cellStyle name="SAPBEXformats 2 2 3 2" xfId="3423"/>
    <cellStyle name="SAPBEXformats 2 2 4" xfId="1975"/>
    <cellStyle name="SAPBEXformats 2 2 4 2" xfId="3627"/>
    <cellStyle name="SAPBEXformats 2 2 5" xfId="2191"/>
    <cellStyle name="SAPBEXformats 2 2 5 2" xfId="3829"/>
    <cellStyle name="SAPBEXformats 2 2 6" xfId="2403"/>
    <cellStyle name="SAPBEXformats 2 2 6 2" xfId="4028"/>
    <cellStyle name="SAPBEXformats 2 2 7" xfId="2607"/>
    <cellStyle name="SAPBEXformats 2 2 7 2" xfId="4173"/>
    <cellStyle name="SAPBEXformats 2 2 8" xfId="2904"/>
    <cellStyle name="SAPBEXformats 2 3" xfId="961"/>
    <cellStyle name="SAPBEXformats 2 3 2" xfId="1536"/>
    <cellStyle name="SAPBEXformats 2 3 2 2" xfId="3220"/>
    <cellStyle name="SAPBEXformats 2 3 3" xfId="1708"/>
    <cellStyle name="SAPBEXformats 2 3 3 2" xfId="3381"/>
    <cellStyle name="SAPBEXformats 2 3 4" xfId="1932"/>
    <cellStyle name="SAPBEXformats 2 3 4 2" xfId="3586"/>
    <cellStyle name="SAPBEXformats 2 3 5" xfId="2149"/>
    <cellStyle name="SAPBEXformats 2 3 5 2" xfId="3787"/>
    <cellStyle name="SAPBEXformats 2 3 6" xfId="2362"/>
    <cellStyle name="SAPBEXformats 2 3 6 2" xfId="3987"/>
    <cellStyle name="SAPBEXformats 2 3 7" xfId="2567"/>
    <cellStyle name="SAPBEXformats 2 3 8" xfId="2863"/>
    <cellStyle name="SAPBEXformats 2 4" xfId="1064"/>
    <cellStyle name="SAPBEXformats 2 4 2" xfId="1625"/>
    <cellStyle name="SAPBEXformats 2 4 2 2" xfId="3306"/>
    <cellStyle name="SAPBEXformats 2 4 3" xfId="1804"/>
    <cellStyle name="SAPBEXformats 2 4 3 2" xfId="3475"/>
    <cellStyle name="SAPBEXformats 2 4 4" xfId="2027"/>
    <cellStyle name="SAPBEXformats 2 4 4 2" xfId="3679"/>
    <cellStyle name="SAPBEXformats 2 4 5" xfId="2243"/>
    <cellStyle name="SAPBEXformats 2 4 5 2" xfId="3881"/>
    <cellStyle name="SAPBEXformats 2 4 6" xfId="2455"/>
    <cellStyle name="SAPBEXformats 2 4 6 2" xfId="4080"/>
    <cellStyle name="SAPBEXformats 2 4 7" xfId="2659"/>
    <cellStyle name="SAPBEXformats 2 4 8" xfId="2956"/>
    <cellStyle name="SAPBEXformats 2 5" xfId="1461"/>
    <cellStyle name="SAPBEXformats 2 5 2" xfId="3169"/>
    <cellStyle name="SAPBEXformats 2 6" xfId="1221"/>
    <cellStyle name="SAPBEXformats 2 6 2" xfId="3053"/>
    <cellStyle name="SAPBEXformats 2 7" xfId="1845"/>
    <cellStyle name="SAPBEXformats 2 7 2" xfId="3509"/>
    <cellStyle name="SAPBEXformats 2 8" xfId="2062"/>
    <cellStyle name="SAPBEXformats 2 8 2" xfId="3710"/>
    <cellStyle name="SAPBEXformats 2 9" xfId="2278"/>
    <cellStyle name="SAPBEXformats 2 9 2" xfId="3912"/>
    <cellStyle name="SAPBEXformats 3" xfId="872"/>
    <cellStyle name="SAPBEXformats 3 10" xfId="2504"/>
    <cellStyle name="SAPBEXformats 3 10 2" xfId="4125"/>
    <cellStyle name="SAPBEXformats 3 11" xfId="2805"/>
    <cellStyle name="SAPBEXformats 3 2" xfId="1028"/>
    <cellStyle name="SAPBEXformats 3 2 2" xfId="1592"/>
    <cellStyle name="SAPBEXformats 3 2 2 2" xfId="3275"/>
    <cellStyle name="SAPBEXformats 3 2 3" xfId="1768"/>
    <cellStyle name="SAPBEXformats 3 2 3 2" xfId="3439"/>
    <cellStyle name="SAPBEXformats 3 2 4" xfId="1991"/>
    <cellStyle name="SAPBEXformats 3 2 4 2" xfId="3643"/>
    <cellStyle name="SAPBEXformats 3 2 5" xfId="2207"/>
    <cellStyle name="SAPBEXformats 3 2 5 2" xfId="3845"/>
    <cellStyle name="SAPBEXformats 3 2 6" xfId="2419"/>
    <cellStyle name="SAPBEXformats 3 2 6 2" xfId="4044"/>
    <cellStyle name="SAPBEXformats 3 2 7" xfId="2623"/>
    <cellStyle name="SAPBEXformats 3 2 7 2" xfId="4189"/>
    <cellStyle name="SAPBEXformats 3 2 8" xfId="2920"/>
    <cellStyle name="SAPBEXformats 3 3" xfId="1048"/>
    <cellStyle name="SAPBEXformats 3 3 2" xfId="1610"/>
    <cellStyle name="SAPBEXformats 3 3 2 2" xfId="3292"/>
    <cellStyle name="SAPBEXformats 3 3 3" xfId="1788"/>
    <cellStyle name="SAPBEXformats 3 3 3 2" xfId="3459"/>
    <cellStyle name="SAPBEXformats 3 3 4" xfId="2011"/>
    <cellStyle name="SAPBEXformats 3 3 4 2" xfId="3663"/>
    <cellStyle name="SAPBEXformats 3 3 5" xfId="2227"/>
    <cellStyle name="SAPBEXformats 3 3 5 2" xfId="3865"/>
    <cellStyle name="SAPBEXformats 3 3 6" xfId="2439"/>
    <cellStyle name="SAPBEXformats 3 3 6 2" xfId="4064"/>
    <cellStyle name="SAPBEXformats 3 3 7" xfId="2643"/>
    <cellStyle name="SAPBEXformats 3 3 8" xfId="2940"/>
    <cellStyle name="SAPBEXformats 3 4" xfId="1079"/>
    <cellStyle name="SAPBEXformats 3 4 2" xfId="1640"/>
    <cellStyle name="SAPBEXformats 3 4 2 2" xfId="3321"/>
    <cellStyle name="SAPBEXformats 3 4 3" xfId="1819"/>
    <cellStyle name="SAPBEXformats 3 4 3 2" xfId="3490"/>
    <cellStyle name="SAPBEXformats 3 4 4" xfId="2042"/>
    <cellStyle name="SAPBEXformats 3 4 4 2" xfId="3694"/>
    <cellStyle name="SAPBEXformats 3 4 5" xfId="2258"/>
    <cellStyle name="SAPBEXformats 3 4 5 2" xfId="3896"/>
    <cellStyle name="SAPBEXformats 3 4 6" xfId="2470"/>
    <cellStyle name="SAPBEXformats 3 4 6 2" xfId="4095"/>
    <cellStyle name="SAPBEXformats 3 4 7" xfId="2674"/>
    <cellStyle name="SAPBEXformats 3 4 8" xfId="2971"/>
    <cellStyle name="SAPBEXformats 3 5" xfId="1485"/>
    <cellStyle name="SAPBEXformats 3 5 2" xfId="3188"/>
    <cellStyle name="SAPBEXformats 3 6" xfId="889"/>
    <cellStyle name="SAPBEXformats 3 6 2" xfId="2810"/>
    <cellStyle name="SAPBEXformats 3 7" xfId="1864"/>
    <cellStyle name="SAPBEXformats 3 7 2" xfId="3525"/>
    <cellStyle name="SAPBEXformats 3 8" xfId="2081"/>
    <cellStyle name="SAPBEXformats 3 8 2" xfId="3726"/>
    <cellStyle name="SAPBEXformats 3 9" xfId="2297"/>
    <cellStyle name="SAPBEXformats 3 9 2" xfId="3928"/>
    <cellStyle name="SAPBEXformats 4" xfId="922"/>
    <cellStyle name="SAPBEXformats 4 2" xfId="1672"/>
    <cellStyle name="SAPBEXformats 4 2 2" xfId="3348"/>
    <cellStyle name="SAPBEXformats 4 3" xfId="1899"/>
    <cellStyle name="SAPBEXformats 4 3 2" xfId="3553"/>
    <cellStyle name="SAPBEXformats 4 4" xfId="2117"/>
    <cellStyle name="SAPBEXformats 4 4 2" xfId="3755"/>
    <cellStyle name="SAPBEXformats 4 5" xfId="2330"/>
    <cellStyle name="SAPBEXformats 4 5 2" xfId="3955"/>
    <cellStyle name="SAPBEXformats 4 6" xfId="2535"/>
    <cellStyle name="SAPBEXformats 4 6 2" xfId="4149"/>
    <cellStyle name="SAPBEXformats 4 7" xfId="2831"/>
    <cellStyle name="SAPBEXformats 5" xfId="947"/>
    <cellStyle name="SAPBEXformats 5 2" xfId="1526"/>
    <cellStyle name="SAPBEXformats 5 2 2" xfId="3211"/>
    <cellStyle name="SAPBEXformats 5 3" xfId="1697"/>
    <cellStyle name="SAPBEXformats 5 3 2" xfId="3373"/>
    <cellStyle name="SAPBEXformats 5 4" xfId="1924"/>
    <cellStyle name="SAPBEXformats 5 4 2" xfId="3578"/>
    <cellStyle name="SAPBEXformats 5 5" xfId="2142"/>
    <cellStyle name="SAPBEXformats 5 5 2" xfId="3780"/>
    <cellStyle name="SAPBEXformats 5 6" xfId="2355"/>
    <cellStyle name="SAPBEXformats 5 6 2" xfId="3980"/>
    <cellStyle name="SAPBEXformats 5 7" xfId="2560"/>
    <cellStyle name="SAPBEXformats 5 8" xfId="2856"/>
    <cellStyle name="SAPBEXformats 6" xfId="1449"/>
    <cellStyle name="SAPBEXformats 6 2" xfId="3160"/>
    <cellStyle name="SAPBEXformats 7" xfId="1263"/>
    <cellStyle name="SAPBEXformats 7 2" xfId="3079"/>
    <cellStyle name="SAPBEXformats 8" xfId="1394"/>
    <cellStyle name="SAPBEXformats 8 2" xfId="3123"/>
    <cellStyle name="SAPBEXformats 9" xfId="1131"/>
    <cellStyle name="SAPBEXformats 9 2" xfId="3006"/>
    <cellStyle name="SAPBEXformats_Sch-3" xfId="827"/>
    <cellStyle name="SAPBEXheaderItem" xfId="246"/>
    <cellStyle name="SAPBEXheaderItem 2" xfId="921"/>
    <cellStyle name="SAPBEXheaderItem 2 2" xfId="1671"/>
    <cellStyle name="SAPBEXheaderItem 2 2 2" xfId="3347"/>
    <cellStyle name="SAPBEXheaderItem 2 3" xfId="1898"/>
    <cellStyle name="SAPBEXheaderItem 2 3 2" xfId="3552"/>
    <cellStyle name="SAPBEXheaderItem 2 4" xfId="2116"/>
    <cellStyle name="SAPBEXheaderItem 2 4 2" xfId="3754"/>
    <cellStyle name="SAPBEXheaderItem 2 5" xfId="2329"/>
    <cellStyle name="SAPBEXheaderItem 2 5 2" xfId="3954"/>
    <cellStyle name="SAPBEXheaderItem 2 6" xfId="2534"/>
    <cellStyle name="SAPBEXheaderItem 2 6 2" xfId="4148"/>
    <cellStyle name="SAPBEXheaderItem 2 7" xfId="2830"/>
    <cellStyle name="SAPBEXheaderItem 3" xfId="1001"/>
    <cellStyle name="SAPBEXheaderItem 3 2" xfId="1570"/>
    <cellStyle name="SAPBEXheaderItem 3 2 2" xfId="3253"/>
    <cellStyle name="SAPBEXheaderItem 3 3" xfId="1741"/>
    <cellStyle name="SAPBEXheaderItem 3 3 2" xfId="3412"/>
    <cellStyle name="SAPBEXheaderItem 3 4" xfId="1964"/>
    <cellStyle name="SAPBEXheaderItem 3 4 2" xfId="3616"/>
    <cellStyle name="SAPBEXheaderItem 3 5" xfId="2180"/>
    <cellStyle name="SAPBEXheaderItem 3 5 2" xfId="3818"/>
    <cellStyle name="SAPBEXheaderItem 3 6" xfId="2392"/>
    <cellStyle name="SAPBEXheaderItem 3 6 2" xfId="4017"/>
    <cellStyle name="SAPBEXheaderItem 3 7" xfId="2596"/>
    <cellStyle name="SAPBEXheaderItem 3 8" xfId="2893"/>
    <cellStyle name="SAPBEXheaderItem 4" xfId="1448"/>
    <cellStyle name="SAPBEXheaderItem 4 2" xfId="3159"/>
    <cellStyle name="SAPBEXheaderItem 5" xfId="1264"/>
    <cellStyle name="SAPBEXheaderItem 5 2" xfId="3080"/>
    <cellStyle name="SAPBEXheaderItem 6" xfId="1516"/>
    <cellStyle name="SAPBEXheaderItem 6 2" xfId="3203"/>
    <cellStyle name="SAPBEXheaderItem 7" xfId="1132"/>
    <cellStyle name="SAPBEXheaderItem 7 2" xfId="3007"/>
    <cellStyle name="SAPBEXheaderItem 8" xfId="1090"/>
    <cellStyle name="SAPBEXheaderItem 8 2" xfId="2980"/>
    <cellStyle name="SAPBEXheaderItem 9" xfId="2751"/>
    <cellStyle name="SAPBEXheaderText" xfId="247"/>
    <cellStyle name="SAPBEXheaderText 2" xfId="920"/>
    <cellStyle name="SAPBEXheaderText 2 2" xfId="1670"/>
    <cellStyle name="SAPBEXheaderText 2 2 2" xfId="3346"/>
    <cellStyle name="SAPBEXheaderText 2 3" xfId="1897"/>
    <cellStyle name="SAPBEXheaderText 2 3 2" xfId="3551"/>
    <cellStyle name="SAPBEXheaderText 2 4" xfId="2115"/>
    <cellStyle name="SAPBEXheaderText 2 4 2" xfId="3753"/>
    <cellStyle name="SAPBEXheaderText 2 5" xfId="2328"/>
    <cellStyle name="SAPBEXheaderText 2 5 2" xfId="3953"/>
    <cellStyle name="SAPBEXheaderText 2 6" xfId="2533"/>
    <cellStyle name="SAPBEXheaderText 2 6 2" xfId="4147"/>
    <cellStyle name="SAPBEXheaderText 2 7" xfId="2829"/>
    <cellStyle name="SAPBEXheaderText 3" xfId="948"/>
    <cellStyle name="SAPBEXheaderText 3 2" xfId="1527"/>
    <cellStyle name="SAPBEXheaderText 3 2 2" xfId="3212"/>
    <cellStyle name="SAPBEXheaderText 3 3" xfId="1698"/>
    <cellStyle name="SAPBEXheaderText 3 3 2" xfId="3374"/>
    <cellStyle name="SAPBEXheaderText 3 4" xfId="1925"/>
    <cellStyle name="SAPBEXheaderText 3 4 2" xfId="3579"/>
    <cellStyle name="SAPBEXheaderText 3 5" xfId="2143"/>
    <cellStyle name="SAPBEXheaderText 3 5 2" xfId="3781"/>
    <cellStyle name="SAPBEXheaderText 3 6" xfId="2356"/>
    <cellStyle name="SAPBEXheaderText 3 6 2" xfId="3981"/>
    <cellStyle name="SAPBEXheaderText 3 7" xfId="2561"/>
    <cellStyle name="SAPBEXheaderText 3 8" xfId="2857"/>
    <cellStyle name="SAPBEXheaderText 4" xfId="1447"/>
    <cellStyle name="SAPBEXheaderText 4 2" xfId="3158"/>
    <cellStyle name="SAPBEXheaderText 5" xfId="1265"/>
    <cellStyle name="SAPBEXheaderText 5 2" xfId="3081"/>
    <cellStyle name="SAPBEXheaderText 6" xfId="1450"/>
    <cellStyle name="SAPBEXheaderText 6 2" xfId="3161"/>
    <cellStyle name="SAPBEXheaderText 7" xfId="1145"/>
    <cellStyle name="SAPBEXheaderText 7 2" xfId="3016"/>
    <cellStyle name="SAPBEXheaderText 8" xfId="197"/>
    <cellStyle name="SAPBEXheaderText 8 2" xfId="2732"/>
    <cellStyle name="SAPBEXheaderText 9" xfId="2752"/>
    <cellStyle name="SAPBEXHLevel0" xfId="248"/>
    <cellStyle name="SAPBEXHLevel0 10" xfId="1117"/>
    <cellStyle name="SAPBEXHLevel0 10 2" xfId="2997"/>
    <cellStyle name="SAPBEXHLevel0 11" xfId="2753"/>
    <cellStyle name="SAPBEXHLevel0 2" xfId="845"/>
    <cellStyle name="SAPBEXHLevel0 2 10" xfId="2486"/>
    <cellStyle name="SAPBEXHLevel0 2 10 2" xfId="4109"/>
    <cellStyle name="SAPBEXHLevel0 2 11" xfId="2789"/>
    <cellStyle name="SAPBEXHLevel0 2 2" xfId="1011"/>
    <cellStyle name="SAPBEXHLevel0 2 2 2" xfId="1577"/>
    <cellStyle name="SAPBEXHLevel0 2 2 2 2" xfId="3260"/>
    <cellStyle name="SAPBEXHLevel0 2 2 3" xfId="1751"/>
    <cellStyle name="SAPBEXHLevel0 2 2 3 2" xfId="3422"/>
    <cellStyle name="SAPBEXHLevel0 2 2 4" xfId="1974"/>
    <cellStyle name="SAPBEXHLevel0 2 2 4 2" xfId="3626"/>
    <cellStyle name="SAPBEXHLevel0 2 2 5" xfId="2190"/>
    <cellStyle name="SAPBEXHLevel0 2 2 5 2" xfId="3828"/>
    <cellStyle name="SAPBEXHLevel0 2 2 6" xfId="2402"/>
    <cellStyle name="SAPBEXHLevel0 2 2 6 2" xfId="4027"/>
    <cellStyle name="SAPBEXHLevel0 2 2 7" xfId="2606"/>
    <cellStyle name="SAPBEXHLevel0 2 2 7 2" xfId="4172"/>
    <cellStyle name="SAPBEXHLevel0 2 2 8" xfId="2903"/>
    <cellStyle name="SAPBEXHLevel0 2 3" xfId="962"/>
    <cellStyle name="SAPBEXHLevel0 2 3 2" xfId="1537"/>
    <cellStyle name="SAPBEXHLevel0 2 3 2 2" xfId="3221"/>
    <cellStyle name="SAPBEXHLevel0 2 3 3" xfId="1709"/>
    <cellStyle name="SAPBEXHLevel0 2 3 3 2" xfId="3382"/>
    <cellStyle name="SAPBEXHLevel0 2 3 4" xfId="1933"/>
    <cellStyle name="SAPBEXHLevel0 2 3 4 2" xfId="3587"/>
    <cellStyle name="SAPBEXHLevel0 2 3 5" xfId="2150"/>
    <cellStyle name="SAPBEXHLevel0 2 3 5 2" xfId="3788"/>
    <cellStyle name="SAPBEXHLevel0 2 3 6" xfId="2363"/>
    <cellStyle name="SAPBEXHLevel0 2 3 6 2" xfId="3988"/>
    <cellStyle name="SAPBEXHLevel0 2 3 7" xfId="2568"/>
    <cellStyle name="SAPBEXHLevel0 2 3 8" xfId="2864"/>
    <cellStyle name="SAPBEXHLevel0 2 4" xfId="1063"/>
    <cellStyle name="SAPBEXHLevel0 2 4 2" xfId="1624"/>
    <cellStyle name="SAPBEXHLevel0 2 4 2 2" xfId="3305"/>
    <cellStyle name="SAPBEXHLevel0 2 4 3" xfId="1803"/>
    <cellStyle name="SAPBEXHLevel0 2 4 3 2" xfId="3474"/>
    <cellStyle name="SAPBEXHLevel0 2 4 4" xfId="2026"/>
    <cellStyle name="SAPBEXHLevel0 2 4 4 2" xfId="3678"/>
    <cellStyle name="SAPBEXHLevel0 2 4 5" xfId="2242"/>
    <cellStyle name="SAPBEXHLevel0 2 4 5 2" xfId="3880"/>
    <cellStyle name="SAPBEXHLevel0 2 4 6" xfId="2454"/>
    <cellStyle name="SAPBEXHLevel0 2 4 6 2" xfId="4079"/>
    <cellStyle name="SAPBEXHLevel0 2 4 7" xfId="2658"/>
    <cellStyle name="SAPBEXHLevel0 2 4 8" xfId="2955"/>
    <cellStyle name="SAPBEXHLevel0 2 5" xfId="1460"/>
    <cellStyle name="SAPBEXHLevel0 2 5 2" xfId="3168"/>
    <cellStyle name="SAPBEXHLevel0 2 6" xfId="1222"/>
    <cellStyle name="SAPBEXHLevel0 2 6 2" xfId="3054"/>
    <cellStyle name="SAPBEXHLevel0 2 7" xfId="1844"/>
    <cellStyle name="SAPBEXHLevel0 2 7 2" xfId="3508"/>
    <cellStyle name="SAPBEXHLevel0 2 8" xfId="2061"/>
    <cellStyle name="SAPBEXHLevel0 2 8 2" xfId="3709"/>
    <cellStyle name="SAPBEXHLevel0 2 9" xfId="2277"/>
    <cellStyle name="SAPBEXHLevel0 2 9 2" xfId="3911"/>
    <cellStyle name="SAPBEXHLevel0 3" xfId="855"/>
    <cellStyle name="SAPBEXHLevel0 3 10" xfId="2496"/>
    <cellStyle name="SAPBEXHLevel0 3 10 2" xfId="4119"/>
    <cellStyle name="SAPBEXHLevel0 3 11" xfId="2799"/>
    <cellStyle name="SAPBEXHLevel0 3 2" xfId="1021"/>
    <cellStyle name="SAPBEXHLevel0 3 2 2" xfId="1587"/>
    <cellStyle name="SAPBEXHLevel0 3 2 2 2" xfId="3270"/>
    <cellStyle name="SAPBEXHLevel0 3 2 3" xfId="1761"/>
    <cellStyle name="SAPBEXHLevel0 3 2 3 2" xfId="3432"/>
    <cellStyle name="SAPBEXHLevel0 3 2 4" xfId="1984"/>
    <cellStyle name="SAPBEXHLevel0 3 2 4 2" xfId="3636"/>
    <cellStyle name="SAPBEXHLevel0 3 2 5" xfId="2200"/>
    <cellStyle name="SAPBEXHLevel0 3 2 5 2" xfId="3838"/>
    <cellStyle name="SAPBEXHLevel0 3 2 6" xfId="2412"/>
    <cellStyle name="SAPBEXHLevel0 3 2 6 2" xfId="4037"/>
    <cellStyle name="SAPBEXHLevel0 3 2 7" xfId="2616"/>
    <cellStyle name="SAPBEXHLevel0 3 2 7 2" xfId="4182"/>
    <cellStyle name="SAPBEXHLevel0 3 2 8" xfId="2913"/>
    <cellStyle name="SAPBEXHLevel0 3 3" xfId="1041"/>
    <cellStyle name="SAPBEXHLevel0 3 3 2" xfId="1603"/>
    <cellStyle name="SAPBEXHLevel0 3 3 2 2" xfId="3285"/>
    <cellStyle name="SAPBEXHLevel0 3 3 3" xfId="1781"/>
    <cellStyle name="SAPBEXHLevel0 3 3 3 2" xfId="3452"/>
    <cellStyle name="SAPBEXHLevel0 3 3 4" xfId="2004"/>
    <cellStyle name="SAPBEXHLevel0 3 3 4 2" xfId="3656"/>
    <cellStyle name="SAPBEXHLevel0 3 3 5" xfId="2220"/>
    <cellStyle name="SAPBEXHLevel0 3 3 5 2" xfId="3858"/>
    <cellStyle name="SAPBEXHLevel0 3 3 6" xfId="2432"/>
    <cellStyle name="SAPBEXHLevel0 3 3 6 2" xfId="4057"/>
    <cellStyle name="SAPBEXHLevel0 3 3 7" xfId="2636"/>
    <cellStyle name="SAPBEXHLevel0 3 3 8" xfId="2933"/>
    <cellStyle name="SAPBEXHLevel0 3 4" xfId="1073"/>
    <cellStyle name="SAPBEXHLevel0 3 4 2" xfId="1634"/>
    <cellStyle name="SAPBEXHLevel0 3 4 2 2" xfId="3315"/>
    <cellStyle name="SAPBEXHLevel0 3 4 3" xfId="1813"/>
    <cellStyle name="SAPBEXHLevel0 3 4 3 2" xfId="3484"/>
    <cellStyle name="SAPBEXHLevel0 3 4 4" xfId="2036"/>
    <cellStyle name="SAPBEXHLevel0 3 4 4 2" xfId="3688"/>
    <cellStyle name="SAPBEXHLevel0 3 4 5" xfId="2252"/>
    <cellStyle name="SAPBEXHLevel0 3 4 5 2" xfId="3890"/>
    <cellStyle name="SAPBEXHLevel0 3 4 6" xfId="2464"/>
    <cellStyle name="SAPBEXHLevel0 3 4 6 2" xfId="4089"/>
    <cellStyle name="SAPBEXHLevel0 3 4 7" xfId="2668"/>
    <cellStyle name="SAPBEXHLevel0 3 4 8" xfId="2965"/>
    <cellStyle name="SAPBEXHLevel0 3 5" xfId="1470"/>
    <cellStyle name="SAPBEXHLevel0 3 5 2" xfId="3178"/>
    <cellStyle name="SAPBEXHLevel0 3 6" xfId="1093"/>
    <cellStyle name="SAPBEXHLevel0 3 6 2" xfId="2982"/>
    <cellStyle name="SAPBEXHLevel0 3 7" xfId="1854"/>
    <cellStyle name="SAPBEXHLevel0 3 7 2" xfId="3518"/>
    <cellStyle name="SAPBEXHLevel0 3 8" xfId="2071"/>
    <cellStyle name="SAPBEXHLevel0 3 8 2" xfId="3719"/>
    <cellStyle name="SAPBEXHLevel0 3 9" xfId="2287"/>
    <cellStyle name="SAPBEXHLevel0 3 9 2" xfId="3921"/>
    <cellStyle name="SAPBEXHLevel0 4" xfId="919"/>
    <cellStyle name="SAPBEXHLevel0 4 2" xfId="1669"/>
    <cellStyle name="SAPBEXHLevel0 4 2 2" xfId="3345"/>
    <cellStyle name="SAPBEXHLevel0 4 3" xfId="1896"/>
    <cellStyle name="SAPBEXHLevel0 4 3 2" xfId="3550"/>
    <cellStyle name="SAPBEXHLevel0 4 4" xfId="2114"/>
    <cellStyle name="SAPBEXHLevel0 4 4 2" xfId="3752"/>
    <cellStyle name="SAPBEXHLevel0 4 5" xfId="2327"/>
    <cellStyle name="SAPBEXHLevel0 4 5 2" xfId="3952"/>
    <cellStyle name="SAPBEXHLevel0 4 6" xfId="2532"/>
    <cellStyle name="SAPBEXHLevel0 4 6 2" xfId="4146"/>
    <cellStyle name="SAPBEXHLevel0 4 7" xfId="2828"/>
    <cellStyle name="SAPBEXHLevel0 5" xfId="935"/>
    <cellStyle name="SAPBEXHLevel0 5 2" xfId="1518"/>
    <cellStyle name="SAPBEXHLevel0 5 2 2" xfId="3205"/>
    <cellStyle name="SAPBEXHLevel0 5 3" xfId="1685"/>
    <cellStyle name="SAPBEXHLevel0 5 3 2" xfId="3361"/>
    <cellStyle name="SAPBEXHLevel0 5 4" xfId="1912"/>
    <cellStyle name="SAPBEXHLevel0 5 4 2" xfId="3566"/>
    <cellStyle name="SAPBEXHLevel0 5 5" xfId="2130"/>
    <cellStyle name="SAPBEXHLevel0 5 5 2" xfId="3768"/>
    <cellStyle name="SAPBEXHLevel0 5 6" xfId="2343"/>
    <cellStyle name="SAPBEXHLevel0 5 6 2" xfId="3968"/>
    <cellStyle name="SAPBEXHLevel0 5 7" xfId="2548"/>
    <cellStyle name="SAPBEXHLevel0 5 8" xfId="2844"/>
    <cellStyle name="SAPBEXHLevel0 6" xfId="1446"/>
    <cellStyle name="SAPBEXHLevel0 6 2" xfId="3157"/>
    <cellStyle name="SAPBEXHLevel0 7" xfId="1472"/>
    <cellStyle name="SAPBEXHLevel0 7 2" xfId="3180"/>
    <cellStyle name="SAPBEXHLevel0 8" xfId="1393"/>
    <cellStyle name="SAPBEXHLevel0 8 2" xfId="3122"/>
    <cellStyle name="SAPBEXHLevel0 9" xfId="1429"/>
    <cellStyle name="SAPBEXHLevel0 9 2" xfId="3143"/>
    <cellStyle name="SAPBEXHLevel0_Sch-3" xfId="828"/>
    <cellStyle name="SAPBEXHLevel0X" xfId="249"/>
    <cellStyle name="SAPBEXHLevel0X 10" xfId="1399"/>
    <cellStyle name="SAPBEXHLevel0X 10 2" xfId="3128"/>
    <cellStyle name="SAPBEXHLevel0X 11" xfId="2754"/>
    <cellStyle name="SAPBEXHLevel0X 2" xfId="842"/>
    <cellStyle name="SAPBEXHLevel0X 2 10" xfId="2786"/>
    <cellStyle name="SAPBEXHLevel0X 2 2" xfId="1008"/>
    <cellStyle name="SAPBEXHLevel0X 2 2 2" xfId="1748"/>
    <cellStyle name="SAPBEXHLevel0X 2 2 2 2" xfId="3419"/>
    <cellStyle name="SAPBEXHLevel0X 2 2 3" xfId="1971"/>
    <cellStyle name="SAPBEXHLevel0X 2 2 3 2" xfId="3623"/>
    <cellStyle name="SAPBEXHLevel0X 2 2 4" xfId="2187"/>
    <cellStyle name="SAPBEXHLevel0X 2 2 4 2" xfId="3825"/>
    <cellStyle name="SAPBEXHLevel0X 2 2 5" xfId="2399"/>
    <cellStyle name="SAPBEXHLevel0X 2 2 5 2" xfId="4024"/>
    <cellStyle name="SAPBEXHLevel0X 2 2 6" xfId="2603"/>
    <cellStyle name="SAPBEXHLevel0X 2 2 6 2" xfId="4169"/>
    <cellStyle name="SAPBEXHLevel0X 2 2 7" xfId="2900"/>
    <cellStyle name="SAPBEXHLevel0X 2 3" xfId="965"/>
    <cellStyle name="SAPBEXHLevel0X 2 3 2" xfId="1540"/>
    <cellStyle name="SAPBEXHLevel0X 2 3 2 2" xfId="3224"/>
    <cellStyle name="SAPBEXHLevel0X 2 3 3" xfId="1712"/>
    <cellStyle name="SAPBEXHLevel0X 2 3 3 2" xfId="3385"/>
    <cellStyle name="SAPBEXHLevel0X 2 3 4" xfId="1936"/>
    <cellStyle name="SAPBEXHLevel0X 2 3 4 2" xfId="3590"/>
    <cellStyle name="SAPBEXHLevel0X 2 3 5" xfId="2153"/>
    <cellStyle name="SAPBEXHLevel0X 2 3 5 2" xfId="3791"/>
    <cellStyle name="SAPBEXHLevel0X 2 3 6" xfId="2366"/>
    <cellStyle name="SAPBEXHLevel0X 2 3 6 2" xfId="3991"/>
    <cellStyle name="SAPBEXHLevel0X 2 3 7" xfId="2571"/>
    <cellStyle name="SAPBEXHLevel0X 2 3 8" xfId="2867"/>
    <cellStyle name="SAPBEXHLevel0X 2 4" xfId="1060"/>
    <cellStyle name="SAPBEXHLevel0X 2 4 2" xfId="1621"/>
    <cellStyle name="SAPBEXHLevel0X 2 4 2 2" xfId="3302"/>
    <cellStyle name="SAPBEXHLevel0X 2 4 3" xfId="1800"/>
    <cellStyle name="SAPBEXHLevel0X 2 4 3 2" xfId="3471"/>
    <cellStyle name="SAPBEXHLevel0X 2 4 4" xfId="2023"/>
    <cellStyle name="SAPBEXHLevel0X 2 4 4 2" xfId="3675"/>
    <cellStyle name="SAPBEXHLevel0X 2 4 5" xfId="2239"/>
    <cellStyle name="SAPBEXHLevel0X 2 4 5 2" xfId="3877"/>
    <cellStyle name="SAPBEXHLevel0X 2 4 6" xfId="2451"/>
    <cellStyle name="SAPBEXHLevel0X 2 4 6 2" xfId="4076"/>
    <cellStyle name="SAPBEXHLevel0X 2 4 7" xfId="2655"/>
    <cellStyle name="SAPBEXHLevel0X 2 4 8" xfId="2952"/>
    <cellStyle name="SAPBEXHLevel0X 2 5" xfId="1225"/>
    <cellStyle name="SAPBEXHLevel0X 2 5 2" xfId="3057"/>
    <cellStyle name="SAPBEXHLevel0X 2 6" xfId="1841"/>
    <cellStyle name="SAPBEXHLevel0X 2 6 2" xfId="3505"/>
    <cellStyle name="SAPBEXHLevel0X 2 7" xfId="2058"/>
    <cellStyle name="SAPBEXHLevel0X 2 7 2" xfId="3706"/>
    <cellStyle name="SAPBEXHLevel0X 2 8" xfId="2274"/>
    <cellStyle name="SAPBEXHLevel0X 2 8 2" xfId="3908"/>
    <cellStyle name="SAPBEXHLevel0X 2 9" xfId="2483"/>
    <cellStyle name="SAPBEXHLevel0X 2 9 2" xfId="4106"/>
    <cellStyle name="SAPBEXHLevel0X 3" xfId="876"/>
    <cellStyle name="SAPBEXHLevel0X 3 10" xfId="2808"/>
    <cellStyle name="SAPBEXHLevel0X 3 2" xfId="1030"/>
    <cellStyle name="SAPBEXHLevel0X 3 2 2" xfId="1770"/>
    <cellStyle name="SAPBEXHLevel0X 3 2 2 2" xfId="3441"/>
    <cellStyle name="SAPBEXHLevel0X 3 2 3" xfId="1993"/>
    <cellStyle name="SAPBEXHLevel0X 3 2 3 2" xfId="3645"/>
    <cellStyle name="SAPBEXHLevel0X 3 2 4" xfId="2209"/>
    <cellStyle name="SAPBEXHLevel0X 3 2 4 2" xfId="3847"/>
    <cellStyle name="SAPBEXHLevel0X 3 2 5" xfId="2421"/>
    <cellStyle name="SAPBEXHLevel0X 3 2 5 2" xfId="4046"/>
    <cellStyle name="SAPBEXHLevel0X 3 2 6" xfId="2625"/>
    <cellStyle name="SAPBEXHLevel0X 3 2 6 2" xfId="4191"/>
    <cellStyle name="SAPBEXHLevel0X 3 2 7" xfId="2922"/>
    <cellStyle name="SAPBEXHLevel0X 3 3" xfId="1051"/>
    <cellStyle name="SAPBEXHLevel0X 3 3 2" xfId="1612"/>
    <cellStyle name="SAPBEXHLevel0X 3 3 2 2" xfId="3294"/>
    <cellStyle name="SAPBEXHLevel0X 3 3 3" xfId="1791"/>
    <cellStyle name="SAPBEXHLevel0X 3 3 3 2" xfId="3462"/>
    <cellStyle name="SAPBEXHLevel0X 3 3 4" xfId="2014"/>
    <cellStyle name="SAPBEXHLevel0X 3 3 4 2" xfId="3666"/>
    <cellStyle name="SAPBEXHLevel0X 3 3 5" xfId="2230"/>
    <cellStyle name="SAPBEXHLevel0X 3 3 5 2" xfId="3868"/>
    <cellStyle name="SAPBEXHLevel0X 3 3 6" xfId="2442"/>
    <cellStyle name="SAPBEXHLevel0X 3 3 6 2" xfId="4067"/>
    <cellStyle name="SAPBEXHLevel0X 3 3 7" xfId="2646"/>
    <cellStyle name="SAPBEXHLevel0X 3 3 8" xfId="2943"/>
    <cellStyle name="SAPBEXHLevel0X 3 4" xfId="1082"/>
    <cellStyle name="SAPBEXHLevel0X 3 4 2" xfId="1643"/>
    <cellStyle name="SAPBEXHLevel0X 3 4 2 2" xfId="3324"/>
    <cellStyle name="SAPBEXHLevel0X 3 4 3" xfId="1822"/>
    <cellStyle name="SAPBEXHLevel0X 3 4 3 2" xfId="3493"/>
    <cellStyle name="SAPBEXHLevel0X 3 4 4" xfId="2045"/>
    <cellStyle name="SAPBEXHLevel0X 3 4 4 2" xfId="3697"/>
    <cellStyle name="SAPBEXHLevel0X 3 4 5" xfId="2261"/>
    <cellStyle name="SAPBEXHLevel0X 3 4 5 2" xfId="3899"/>
    <cellStyle name="SAPBEXHLevel0X 3 4 6" xfId="2473"/>
    <cellStyle name="SAPBEXHLevel0X 3 4 6 2" xfId="4098"/>
    <cellStyle name="SAPBEXHLevel0X 3 4 7" xfId="2677"/>
    <cellStyle name="SAPBEXHLevel0X 3 4 8" xfId="2974"/>
    <cellStyle name="SAPBEXHLevel0X 3 5" xfId="181"/>
    <cellStyle name="SAPBEXHLevel0X 3 5 2" xfId="2731"/>
    <cellStyle name="SAPBEXHLevel0X 3 6" xfId="1867"/>
    <cellStyle name="SAPBEXHLevel0X 3 6 2" xfId="3528"/>
    <cellStyle name="SAPBEXHLevel0X 3 7" xfId="2084"/>
    <cellStyle name="SAPBEXHLevel0X 3 7 2" xfId="3729"/>
    <cellStyle name="SAPBEXHLevel0X 3 8" xfId="2300"/>
    <cellStyle name="SAPBEXHLevel0X 3 8 2" xfId="3931"/>
    <cellStyle name="SAPBEXHLevel0X 3 9" xfId="2507"/>
    <cellStyle name="SAPBEXHLevel0X 3 9 2" xfId="4128"/>
    <cellStyle name="SAPBEXHLevel0X 4" xfId="918"/>
    <cellStyle name="SAPBEXHLevel0X 4 2" xfId="1668"/>
    <cellStyle name="SAPBEXHLevel0X 4 2 2" xfId="3344"/>
    <cellStyle name="SAPBEXHLevel0X 4 3" xfId="1895"/>
    <cellStyle name="SAPBEXHLevel0X 4 3 2" xfId="3549"/>
    <cellStyle name="SAPBEXHLevel0X 4 4" xfId="2113"/>
    <cellStyle name="SAPBEXHLevel0X 4 4 2" xfId="3751"/>
    <cellStyle name="SAPBEXHLevel0X 4 5" xfId="2326"/>
    <cellStyle name="SAPBEXHLevel0X 4 5 2" xfId="3951"/>
    <cellStyle name="SAPBEXHLevel0X 4 6" xfId="2531"/>
    <cellStyle name="SAPBEXHLevel0X 4 6 2" xfId="4145"/>
    <cellStyle name="SAPBEXHLevel0X 4 7" xfId="2827"/>
    <cellStyle name="SAPBEXHLevel0X 5" xfId="949"/>
    <cellStyle name="SAPBEXHLevel0X 5 2" xfId="1528"/>
    <cellStyle name="SAPBEXHLevel0X 5 2 2" xfId="3213"/>
    <cellStyle name="SAPBEXHLevel0X 5 3" xfId="1699"/>
    <cellStyle name="SAPBEXHLevel0X 5 3 2" xfId="3375"/>
    <cellStyle name="SAPBEXHLevel0X 5 4" xfId="1926"/>
    <cellStyle name="SAPBEXHLevel0X 5 4 2" xfId="3580"/>
    <cellStyle name="SAPBEXHLevel0X 5 5" xfId="2144"/>
    <cellStyle name="SAPBEXHLevel0X 5 5 2" xfId="3782"/>
    <cellStyle name="SAPBEXHLevel0X 5 6" xfId="2357"/>
    <cellStyle name="SAPBEXHLevel0X 5 6 2" xfId="3982"/>
    <cellStyle name="SAPBEXHLevel0X 5 7" xfId="2562"/>
    <cellStyle name="SAPBEXHLevel0X 5 8" xfId="2858"/>
    <cellStyle name="SAPBEXHLevel0X 6" xfId="1445"/>
    <cellStyle name="SAPBEXHLevel0X 6 2" xfId="3156"/>
    <cellStyle name="SAPBEXHLevel0X 7" xfId="1473"/>
    <cellStyle name="SAPBEXHLevel0X 7 2" xfId="3181"/>
    <cellStyle name="SAPBEXHLevel0X 8" xfId="1392"/>
    <cellStyle name="SAPBEXHLevel0X 8 2" xfId="3121"/>
    <cellStyle name="SAPBEXHLevel0X 9" xfId="1133"/>
    <cellStyle name="SAPBEXHLevel0X 9 2" xfId="3008"/>
    <cellStyle name="SAPBEXHLevel0X_Sch-3" xfId="829"/>
    <cellStyle name="SAPBEXHLevel1" xfId="250"/>
    <cellStyle name="SAPBEXHLevel1 10" xfId="1368"/>
    <cellStyle name="SAPBEXHLevel1 10 2" xfId="3108"/>
    <cellStyle name="SAPBEXHLevel1 11" xfId="2755"/>
    <cellStyle name="SAPBEXHLevel1 2" xfId="849"/>
    <cellStyle name="SAPBEXHLevel1 2 10" xfId="2490"/>
    <cellStyle name="SAPBEXHLevel1 2 10 2" xfId="4113"/>
    <cellStyle name="SAPBEXHLevel1 2 11" xfId="2793"/>
    <cellStyle name="SAPBEXHLevel1 2 2" xfId="1015"/>
    <cellStyle name="SAPBEXHLevel1 2 2 2" xfId="1581"/>
    <cellStyle name="SAPBEXHLevel1 2 2 2 2" xfId="3264"/>
    <cellStyle name="SAPBEXHLevel1 2 2 3" xfId="1755"/>
    <cellStyle name="SAPBEXHLevel1 2 2 3 2" xfId="3426"/>
    <cellStyle name="SAPBEXHLevel1 2 2 4" xfId="1978"/>
    <cellStyle name="SAPBEXHLevel1 2 2 4 2" xfId="3630"/>
    <cellStyle name="SAPBEXHLevel1 2 2 5" xfId="2194"/>
    <cellStyle name="SAPBEXHLevel1 2 2 5 2" xfId="3832"/>
    <cellStyle name="SAPBEXHLevel1 2 2 6" xfId="2406"/>
    <cellStyle name="SAPBEXHLevel1 2 2 6 2" xfId="4031"/>
    <cellStyle name="SAPBEXHLevel1 2 2 7" xfId="2610"/>
    <cellStyle name="SAPBEXHLevel1 2 2 7 2" xfId="4176"/>
    <cellStyle name="SAPBEXHLevel1 2 2 8" xfId="2907"/>
    <cellStyle name="SAPBEXHLevel1 2 3" xfId="1035"/>
    <cellStyle name="SAPBEXHLevel1 2 3 2" xfId="1597"/>
    <cellStyle name="SAPBEXHLevel1 2 3 2 2" xfId="3279"/>
    <cellStyle name="SAPBEXHLevel1 2 3 3" xfId="1775"/>
    <cellStyle name="SAPBEXHLevel1 2 3 3 2" xfId="3446"/>
    <cellStyle name="SAPBEXHLevel1 2 3 4" xfId="1998"/>
    <cellStyle name="SAPBEXHLevel1 2 3 4 2" xfId="3650"/>
    <cellStyle name="SAPBEXHLevel1 2 3 5" xfId="2214"/>
    <cellStyle name="SAPBEXHLevel1 2 3 5 2" xfId="3852"/>
    <cellStyle name="SAPBEXHLevel1 2 3 6" xfId="2426"/>
    <cellStyle name="SAPBEXHLevel1 2 3 6 2" xfId="4051"/>
    <cellStyle name="SAPBEXHLevel1 2 3 7" xfId="2630"/>
    <cellStyle name="SAPBEXHLevel1 2 3 8" xfId="2927"/>
    <cellStyle name="SAPBEXHLevel1 2 4" xfId="1067"/>
    <cellStyle name="SAPBEXHLevel1 2 4 2" xfId="1628"/>
    <cellStyle name="SAPBEXHLevel1 2 4 2 2" xfId="3309"/>
    <cellStyle name="SAPBEXHLevel1 2 4 3" xfId="1807"/>
    <cellStyle name="SAPBEXHLevel1 2 4 3 2" xfId="3478"/>
    <cellStyle name="SAPBEXHLevel1 2 4 4" xfId="2030"/>
    <cellStyle name="SAPBEXHLevel1 2 4 4 2" xfId="3682"/>
    <cellStyle name="SAPBEXHLevel1 2 4 5" xfId="2246"/>
    <cellStyle name="SAPBEXHLevel1 2 4 5 2" xfId="3884"/>
    <cellStyle name="SAPBEXHLevel1 2 4 6" xfId="2458"/>
    <cellStyle name="SAPBEXHLevel1 2 4 6 2" xfId="4083"/>
    <cellStyle name="SAPBEXHLevel1 2 4 7" xfId="2662"/>
    <cellStyle name="SAPBEXHLevel1 2 4 8" xfId="2959"/>
    <cellStyle name="SAPBEXHLevel1 2 5" xfId="1464"/>
    <cellStyle name="SAPBEXHLevel1 2 5 2" xfId="3172"/>
    <cellStyle name="SAPBEXHLevel1 2 6" xfId="1099"/>
    <cellStyle name="SAPBEXHLevel1 2 6 2" xfId="2988"/>
    <cellStyle name="SAPBEXHLevel1 2 7" xfId="1848"/>
    <cellStyle name="SAPBEXHLevel1 2 7 2" xfId="3512"/>
    <cellStyle name="SAPBEXHLevel1 2 8" xfId="2065"/>
    <cellStyle name="SAPBEXHLevel1 2 8 2" xfId="3713"/>
    <cellStyle name="SAPBEXHLevel1 2 9" xfId="2281"/>
    <cellStyle name="SAPBEXHLevel1 2 9 2" xfId="3915"/>
    <cellStyle name="SAPBEXHLevel1 3" xfId="869"/>
    <cellStyle name="SAPBEXHLevel1 3 10" xfId="2503"/>
    <cellStyle name="SAPBEXHLevel1 3 10 2" xfId="4124"/>
    <cellStyle name="SAPBEXHLevel1 3 11" xfId="2804"/>
    <cellStyle name="SAPBEXHLevel1 3 2" xfId="1027"/>
    <cellStyle name="SAPBEXHLevel1 3 2 2" xfId="1591"/>
    <cellStyle name="SAPBEXHLevel1 3 2 2 2" xfId="3274"/>
    <cellStyle name="SAPBEXHLevel1 3 2 3" xfId="1767"/>
    <cellStyle name="SAPBEXHLevel1 3 2 3 2" xfId="3438"/>
    <cellStyle name="SAPBEXHLevel1 3 2 4" xfId="1990"/>
    <cellStyle name="SAPBEXHLevel1 3 2 4 2" xfId="3642"/>
    <cellStyle name="SAPBEXHLevel1 3 2 5" xfId="2206"/>
    <cellStyle name="SAPBEXHLevel1 3 2 5 2" xfId="3844"/>
    <cellStyle name="SAPBEXHLevel1 3 2 6" xfId="2418"/>
    <cellStyle name="SAPBEXHLevel1 3 2 6 2" xfId="4043"/>
    <cellStyle name="SAPBEXHLevel1 3 2 7" xfId="2622"/>
    <cellStyle name="SAPBEXHLevel1 3 2 7 2" xfId="4188"/>
    <cellStyle name="SAPBEXHLevel1 3 2 8" xfId="2919"/>
    <cellStyle name="SAPBEXHLevel1 3 3" xfId="1047"/>
    <cellStyle name="SAPBEXHLevel1 3 3 2" xfId="1609"/>
    <cellStyle name="SAPBEXHLevel1 3 3 2 2" xfId="3291"/>
    <cellStyle name="SAPBEXHLevel1 3 3 3" xfId="1787"/>
    <cellStyle name="SAPBEXHLevel1 3 3 3 2" xfId="3458"/>
    <cellStyle name="SAPBEXHLevel1 3 3 4" xfId="2010"/>
    <cellStyle name="SAPBEXHLevel1 3 3 4 2" xfId="3662"/>
    <cellStyle name="SAPBEXHLevel1 3 3 5" xfId="2226"/>
    <cellStyle name="SAPBEXHLevel1 3 3 5 2" xfId="3864"/>
    <cellStyle name="SAPBEXHLevel1 3 3 6" xfId="2438"/>
    <cellStyle name="SAPBEXHLevel1 3 3 6 2" xfId="4063"/>
    <cellStyle name="SAPBEXHLevel1 3 3 7" xfId="2642"/>
    <cellStyle name="SAPBEXHLevel1 3 3 8" xfId="2939"/>
    <cellStyle name="SAPBEXHLevel1 3 4" xfId="1078"/>
    <cellStyle name="SAPBEXHLevel1 3 4 2" xfId="1639"/>
    <cellStyle name="SAPBEXHLevel1 3 4 2 2" xfId="3320"/>
    <cellStyle name="SAPBEXHLevel1 3 4 3" xfId="1818"/>
    <cellStyle name="SAPBEXHLevel1 3 4 3 2" xfId="3489"/>
    <cellStyle name="SAPBEXHLevel1 3 4 4" xfId="2041"/>
    <cellStyle name="SAPBEXHLevel1 3 4 4 2" xfId="3693"/>
    <cellStyle name="SAPBEXHLevel1 3 4 5" xfId="2257"/>
    <cellStyle name="SAPBEXHLevel1 3 4 5 2" xfId="3895"/>
    <cellStyle name="SAPBEXHLevel1 3 4 6" xfId="2469"/>
    <cellStyle name="SAPBEXHLevel1 3 4 6 2" xfId="4094"/>
    <cellStyle name="SAPBEXHLevel1 3 4 7" xfId="2673"/>
    <cellStyle name="SAPBEXHLevel1 3 4 8" xfId="2970"/>
    <cellStyle name="SAPBEXHLevel1 3 5" xfId="1482"/>
    <cellStyle name="SAPBEXHLevel1 3 5 2" xfId="3186"/>
    <cellStyle name="SAPBEXHLevel1 3 6" xfId="1084"/>
    <cellStyle name="SAPBEXHLevel1 3 6 2" xfId="2976"/>
    <cellStyle name="SAPBEXHLevel1 3 7" xfId="1862"/>
    <cellStyle name="SAPBEXHLevel1 3 7 2" xfId="3523"/>
    <cellStyle name="SAPBEXHLevel1 3 8" xfId="2079"/>
    <cellStyle name="SAPBEXHLevel1 3 8 2" xfId="3724"/>
    <cellStyle name="SAPBEXHLevel1 3 9" xfId="2295"/>
    <cellStyle name="SAPBEXHLevel1 3 9 2" xfId="3926"/>
    <cellStyle name="SAPBEXHLevel1 4" xfId="917"/>
    <cellStyle name="SAPBEXHLevel1 4 2" xfId="1667"/>
    <cellStyle name="SAPBEXHLevel1 4 2 2" xfId="3343"/>
    <cellStyle name="SAPBEXHLevel1 4 3" xfId="1894"/>
    <cellStyle name="SAPBEXHLevel1 4 3 2" xfId="3548"/>
    <cellStyle name="SAPBEXHLevel1 4 4" xfId="2112"/>
    <cellStyle name="SAPBEXHLevel1 4 4 2" xfId="3750"/>
    <cellStyle name="SAPBEXHLevel1 4 5" xfId="2325"/>
    <cellStyle name="SAPBEXHLevel1 4 5 2" xfId="3950"/>
    <cellStyle name="SAPBEXHLevel1 4 6" xfId="2530"/>
    <cellStyle name="SAPBEXHLevel1 4 6 2" xfId="4144"/>
    <cellStyle name="SAPBEXHLevel1 4 7" xfId="2826"/>
    <cellStyle name="SAPBEXHLevel1 5" xfId="979"/>
    <cellStyle name="SAPBEXHLevel1 5 2" xfId="1550"/>
    <cellStyle name="SAPBEXHLevel1 5 2 2" xfId="3233"/>
    <cellStyle name="SAPBEXHLevel1 5 3" xfId="1721"/>
    <cellStyle name="SAPBEXHLevel1 5 3 2" xfId="3392"/>
    <cellStyle name="SAPBEXHLevel1 5 4" xfId="1945"/>
    <cellStyle name="SAPBEXHLevel1 5 4 2" xfId="3597"/>
    <cellStyle name="SAPBEXHLevel1 5 5" xfId="2161"/>
    <cellStyle name="SAPBEXHLevel1 5 5 2" xfId="3799"/>
    <cellStyle name="SAPBEXHLevel1 5 6" xfId="2373"/>
    <cellStyle name="SAPBEXHLevel1 5 6 2" xfId="3998"/>
    <cellStyle name="SAPBEXHLevel1 5 7" xfId="2578"/>
    <cellStyle name="SAPBEXHLevel1 5 8" xfId="2875"/>
    <cellStyle name="SAPBEXHLevel1 6" xfId="1444"/>
    <cellStyle name="SAPBEXHLevel1 6 2" xfId="3155"/>
    <cellStyle name="SAPBEXHLevel1 7" xfId="1266"/>
    <cellStyle name="SAPBEXHLevel1 7 2" xfId="3082"/>
    <cellStyle name="SAPBEXHLevel1 8" xfId="1391"/>
    <cellStyle name="SAPBEXHLevel1 8 2" xfId="3120"/>
    <cellStyle name="SAPBEXHLevel1 9" xfId="1134"/>
    <cellStyle name="SAPBEXHLevel1 9 2" xfId="3009"/>
    <cellStyle name="SAPBEXHLevel1_Sch-3" xfId="830"/>
    <cellStyle name="SAPBEXHLevel1X" xfId="251"/>
    <cellStyle name="SAPBEXHLevel1X 10" xfId="1367"/>
    <cellStyle name="SAPBEXHLevel1X 10 2" xfId="3107"/>
    <cellStyle name="SAPBEXHLevel1X 11" xfId="2756"/>
    <cellStyle name="SAPBEXHLevel1X 2" xfId="843"/>
    <cellStyle name="SAPBEXHLevel1X 2 10" xfId="2787"/>
    <cellStyle name="SAPBEXHLevel1X 2 2" xfId="1009"/>
    <cellStyle name="SAPBEXHLevel1X 2 2 2" xfId="1749"/>
    <cellStyle name="SAPBEXHLevel1X 2 2 2 2" xfId="3420"/>
    <cellStyle name="SAPBEXHLevel1X 2 2 3" xfId="1972"/>
    <cellStyle name="SAPBEXHLevel1X 2 2 3 2" xfId="3624"/>
    <cellStyle name="SAPBEXHLevel1X 2 2 4" xfId="2188"/>
    <cellStyle name="SAPBEXHLevel1X 2 2 4 2" xfId="3826"/>
    <cellStyle name="SAPBEXHLevel1X 2 2 5" xfId="2400"/>
    <cellStyle name="SAPBEXHLevel1X 2 2 5 2" xfId="4025"/>
    <cellStyle name="SAPBEXHLevel1X 2 2 6" xfId="2604"/>
    <cellStyle name="SAPBEXHLevel1X 2 2 6 2" xfId="4170"/>
    <cellStyle name="SAPBEXHLevel1X 2 2 7" xfId="2901"/>
    <cellStyle name="SAPBEXHLevel1X 2 3" xfId="964"/>
    <cellStyle name="SAPBEXHLevel1X 2 3 2" xfId="1539"/>
    <cellStyle name="SAPBEXHLevel1X 2 3 2 2" xfId="3223"/>
    <cellStyle name="SAPBEXHLevel1X 2 3 3" xfId="1711"/>
    <cellStyle name="SAPBEXHLevel1X 2 3 3 2" xfId="3384"/>
    <cellStyle name="SAPBEXHLevel1X 2 3 4" xfId="1935"/>
    <cellStyle name="SAPBEXHLevel1X 2 3 4 2" xfId="3589"/>
    <cellStyle name="SAPBEXHLevel1X 2 3 5" xfId="2152"/>
    <cellStyle name="SAPBEXHLevel1X 2 3 5 2" xfId="3790"/>
    <cellStyle name="SAPBEXHLevel1X 2 3 6" xfId="2365"/>
    <cellStyle name="SAPBEXHLevel1X 2 3 6 2" xfId="3990"/>
    <cellStyle name="SAPBEXHLevel1X 2 3 7" xfId="2570"/>
    <cellStyle name="SAPBEXHLevel1X 2 3 8" xfId="2866"/>
    <cellStyle name="SAPBEXHLevel1X 2 4" xfId="1061"/>
    <cellStyle name="SAPBEXHLevel1X 2 4 2" xfId="1622"/>
    <cellStyle name="SAPBEXHLevel1X 2 4 2 2" xfId="3303"/>
    <cellStyle name="SAPBEXHLevel1X 2 4 3" xfId="1801"/>
    <cellStyle name="SAPBEXHLevel1X 2 4 3 2" xfId="3472"/>
    <cellStyle name="SAPBEXHLevel1X 2 4 4" xfId="2024"/>
    <cellStyle name="SAPBEXHLevel1X 2 4 4 2" xfId="3676"/>
    <cellStyle name="SAPBEXHLevel1X 2 4 5" xfId="2240"/>
    <cellStyle name="SAPBEXHLevel1X 2 4 5 2" xfId="3878"/>
    <cellStyle name="SAPBEXHLevel1X 2 4 6" xfId="2452"/>
    <cellStyle name="SAPBEXHLevel1X 2 4 6 2" xfId="4077"/>
    <cellStyle name="SAPBEXHLevel1X 2 4 7" xfId="2656"/>
    <cellStyle name="SAPBEXHLevel1X 2 4 8" xfId="2953"/>
    <cellStyle name="SAPBEXHLevel1X 2 5" xfId="1224"/>
    <cellStyle name="SAPBEXHLevel1X 2 5 2" xfId="3056"/>
    <cellStyle name="SAPBEXHLevel1X 2 6" xfId="1842"/>
    <cellStyle name="SAPBEXHLevel1X 2 6 2" xfId="3506"/>
    <cellStyle name="SAPBEXHLevel1X 2 7" xfId="2059"/>
    <cellStyle name="SAPBEXHLevel1X 2 7 2" xfId="3707"/>
    <cellStyle name="SAPBEXHLevel1X 2 8" xfId="2275"/>
    <cellStyle name="SAPBEXHLevel1X 2 8 2" xfId="3909"/>
    <cellStyle name="SAPBEXHLevel1X 2 9" xfId="2484"/>
    <cellStyle name="SAPBEXHLevel1X 2 9 2" xfId="4107"/>
    <cellStyle name="SAPBEXHLevel1X 3" xfId="858"/>
    <cellStyle name="SAPBEXHLevel1X 3 10" xfId="2800"/>
    <cellStyle name="SAPBEXHLevel1X 3 2" xfId="1022"/>
    <cellStyle name="SAPBEXHLevel1X 3 2 2" xfId="1762"/>
    <cellStyle name="SAPBEXHLevel1X 3 2 2 2" xfId="3433"/>
    <cellStyle name="SAPBEXHLevel1X 3 2 3" xfId="1985"/>
    <cellStyle name="SAPBEXHLevel1X 3 2 3 2" xfId="3637"/>
    <cellStyle name="SAPBEXHLevel1X 3 2 4" xfId="2201"/>
    <cellStyle name="SAPBEXHLevel1X 3 2 4 2" xfId="3839"/>
    <cellStyle name="SAPBEXHLevel1X 3 2 5" xfId="2413"/>
    <cellStyle name="SAPBEXHLevel1X 3 2 5 2" xfId="4038"/>
    <cellStyle name="SAPBEXHLevel1X 3 2 6" xfId="2617"/>
    <cellStyle name="SAPBEXHLevel1X 3 2 6 2" xfId="4183"/>
    <cellStyle name="SAPBEXHLevel1X 3 2 7" xfId="2914"/>
    <cellStyle name="SAPBEXHLevel1X 3 3" xfId="1042"/>
    <cellStyle name="SAPBEXHLevel1X 3 3 2" xfId="1604"/>
    <cellStyle name="SAPBEXHLevel1X 3 3 2 2" xfId="3286"/>
    <cellStyle name="SAPBEXHLevel1X 3 3 3" xfId="1782"/>
    <cellStyle name="SAPBEXHLevel1X 3 3 3 2" xfId="3453"/>
    <cellStyle name="SAPBEXHLevel1X 3 3 4" xfId="2005"/>
    <cellStyle name="SAPBEXHLevel1X 3 3 4 2" xfId="3657"/>
    <cellStyle name="SAPBEXHLevel1X 3 3 5" xfId="2221"/>
    <cellStyle name="SAPBEXHLevel1X 3 3 5 2" xfId="3859"/>
    <cellStyle name="SAPBEXHLevel1X 3 3 6" xfId="2433"/>
    <cellStyle name="SAPBEXHLevel1X 3 3 6 2" xfId="4058"/>
    <cellStyle name="SAPBEXHLevel1X 3 3 7" xfId="2637"/>
    <cellStyle name="SAPBEXHLevel1X 3 3 8" xfId="2934"/>
    <cellStyle name="SAPBEXHLevel1X 3 4" xfId="1074"/>
    <cellStyle name="SAPBEXHLevel1X 3 4 2" xfId="1635"/>
    <cellStyle name="SAPBEXHLevel1X 3 4 2 2" xfId="3316"/>
    <cellStyle name="SAPBEXHLevel1X 3 4 3" xfId="1814"/>
    <cellStyle name="SAPBEXHLevel1X 3 4 3 2" xfId="3485"/>
    <cellStyle name="SAPBEXHLevel1X 3 4 4" xfId="2037"/>
    <cellStyle name="SAPBEXHLevel1X 3 4 4 2" xfId="3689"/>
    <cellStyle name="SAPBEXHLevel1X 3 4 5" xfId="2253"/>
    <cellStyle name="SAPBEXHLevel1X 3 4 5 2" xfId="3891"/>
    <cellStyle name="SAPBEXHLevel1X 3 4 6" xfId="2465"/>
    <cellStyle name="SAPBEXHLevel1X 3 4 6 2" xfId="4090"/>
    <cellStyle name="SAPBEXHLevel1X 3 4 7" xfId="2669"/>
    <cellStyle name="SAPBEXHLevel1X 3 4 8" xfId="2966"/>
    <cellStyle name="SAPBEXHLevel1X 3 5" xfId="1092"/>
    <cellStyle name="SAPBEXHLevel1X 3 5 2" xfId="2981"/>
    <cellStyle name="SAPBEXHLevel1X 3 6" xfId="1855"/>
    <cellStyle name="SAPBEXHLevel1X 3 6 2" xfId="3519"/>
    <cellStyle name="SAPBEXHLevel1X 3 7" xfId="2072"/>
    <cellStyle name="SAPBEXHLevel1X 3 7 2" xfId="3720"/>
    <cellStyle name="SAPBEXHLevel1X 3 8" xfId="2288"/>
    <cellStyle name="SAPBEXHLevel1X 3 8 2" xfId="3922"/>
    <cellStyle name="SAPBEXHLevel1X 3 9" xfId="2497"/>
    <cellStyle name="SAPBEXHLevel1X 3 9 2" xfId="4120"/>
    <cellStyle name="SAPBEXHLevel1X 4" xfId="916"/>
    <cellStyle name="SAPBEXHLevel1X 4 2" xfId="1666"/>
    <cellStyle name="SAPBEXHLevel1X 4 2 2" xfId="3342"/>
    <cellStyle name="SAPBEXHLevel1X 4 3" xfId="1893"/>
    <cellStyle name="SAPBEXHLevel1X 4 3 2" xfId="3547"/>
    <cellStyle name="SAPBEXHLevel1X 4 4" xfId="2111"/>
    <cellStyle name="SAPBEXHLevel1X 4 4 2" xfId="3749"/>
    <cellStyle name="SAPBEXHLevel1X 4 5" xfId="2324"/>
    <cellStyle name="SAPBEXHLevel1X 4 5 2" xfId="3949"/>
    <cellStyle name="SAPBEXHLevel1X 4 6" xfId="2529"/>
    <cellStyle name="SAPBEXHLevel1X 4 6 2" xfId="4143"/>
    <cellStyle name="SAPBEXHLevel1X 4 7" xfId="2825"/>
    <cellStyle name="SAPBEXHLevel1X 5" xfId="903"/>
    <cellStyle name="SAPBEXHLevel1X 5 2" xfId="1504"/>
    <cellStyle name="SAPBEXHLevel1X 5 2 2" xfId="3198"/>
    <cellStyle name="SAPBEXHLevel1X 5 3" xfId="1653"/>
    <cellStyle name="SAPBEXHLevel1X 5 3 2" xfId="3329"/>
    <cellStyle name="SAPBEXHLevel1X 5 4" xfId="1880"/>
    <cellStyle name="SAPBEXHLevel1X 5 4 2" xfId="3534"/>
    <cellStyle name="SAPBEXHLevel1X 5 5" xfId="2098"/>
    <cellStyle name="SAPBEXHLevel1X 5 5 2" xfId="3736"/>
    <cellStyle name="SAPBEXHLevel1X 5 6" xfId="2311"/>
    <cellStyle name="SAPBEXHLevel1X 5 6 2" xfId="3936"/>
    <cellStyle name="SAPBEXHLevel1X 5 7" xfId="2516"/>
    <cellStyle name="SAPBEXHLevel1X 5 8" xfId="2812"/>
    <cellStyle name="SAPBEXHLevel1X 6" xfId="1562"/>
    <cellStyle name="SAPBEXHLevel1X 6 2" xfId="3245"/>
    <cellStyle name="SAPBEXHLevel1X 7" xfId="1495"/>
    <cellStyle name="SAPBEXHLevel1X 7 2" xfId="3195"/>
    <cellStyle name="SAPBEXHLevel1X 8" xfId="1390"/>
    <cellStyle name="SAPBEXHLevel1X 8 2" xfId="3119"/>
    <cellStyle name="SAPBEXHLevel1X 9" xfId="1135"/>
    <cellStyle name="SAPBEXHLevel1X 9 2" xfId="3010"/>
    <cellStyle name="SAPBEXHLevel1X_Sch-3" xfId="831"/>
    <cellStyle name="SAPBEXHLevel2" xfId="252"/>
    <cellStyle name="SAPBEXHLevel2 10" xfId="1361"/>
    <cellStyle name="SAPBEXHLevel2 10 2" xfId="3102"/>
    <cellStyle name="SAPBEXHLevel2 11" xfId="2757"/>
    <cellStyle name="SAPBEXHLevel2 2" xfId="850"/>
    <cellStyle name="SAPBEXHLevel2 2 10" xfId="2491"/>
    <cellStyle name="SAPBEXHLevel2 2 10 2" xfId="4114"/>
    <cellStyle name="SAPBEXHLevel2 2 11" xfId="2794"/>
    <cellStyle name="SAPBEXHLevel2 2 2" xfId="1016"/>
    <cellStyle name="SAPBEXHLevel2 2 2 2" xfId="1582"/>
    <cellStyle name="SAPBEXHLevel2 2 2 2 2" xfId="3265"/>
    <cellStyle name="SAPBEXHLevel2 2 2 3" xfId="1756"/>
    <cellStyle name="SAPBEXHLevel2 2 2 3 2" xfId="3427"/>
    <cellStyle name="SAPBEXHLevel2 2 2 4" xfId="1979"/>
    <cellStyle name="SAPBEXHLevel2 2 2 4 2" xfId="3631"/>
    <cellStyle name="SAPBEXHLevel2 2 2 5" xfId="2195"/>
    <cellStyle name="SAPBEXHLevel2 2 2 5 2" xfId="3833"/>
    <cellStyle name="SAPBEXHLevel2 2 2 6" xfId="2407"/>
    <cellStyle name="SAPBEXHLevel2 2 2 6 2" xfId="4032"/>
    <cellStyle name="SAPBEXHLevel2 2 2 7" xfId="2611"/>
    <cellStyle name="SAPBEXHLevel2 2 2 7 2" xfId="4177"/>
    <cellStyle name="SAPBEXHLevel2 2 2 8" xfId="2908"/>
    <cellStyle name="SAPBEXHLevel2 2 3" xfId="1036"/>
    <cellStyle name="SAPBEXHLevel2 2 3 2" xfId="1598"/>
    <cellStyle name="SAPBEXHLevel2 2 3 2 2" xfId="3280"/>
    <cellStyle name="SAPBEXHLevel2 2 3 3" xfId="1776"/>
    <cellStyle name="SAPBEXHLevel2 2 3 3 2" xfId="3447"/>
    <cellStyle name="SAPBEXHLevel2 2 3 4" xfId="1999"/>
    <cellStyle name="SAPBEXHLevel2 2 3 4 2" xfId="3651"/>
    <cellStyle name="SAPBEXHLevel2 2 3 5" xfId="2215"/>
    <cellStyle name="SAPBEXHLevel2 2 3 5 2" xfId="3853"/>
    <cellStyle name="SAPBEXHLevel2 2 3 6" xfId="2427"/>
    <cellStyle name="SAPBEXHLevel2 2 3 6 2" xfId="4052"/>
    <cellStyle name="SAPBEXHLevel2 2 3 7" xfId="2631"/>
    <cellStyle name="SAPBEXHLevel2 2 3 8" xfId="2928"/>
    <cellStyle name="SAPBEXHLevel2 2 4" xfId="1068"/>
    <cellStyle name="SAPBEXHLevel2 2 4 2" xfId="1629"/>
    <cellStyle name="SAPBEXHLevel2 2 4 2 2" xfId="3310"/>
    <cellStyle name="SAPBEXHLevel2 2 4 3" xfId="1808"/>
    <cellStyle name="SAPBEXHLevel2 2 4 3 2" xfId="3479"/>
    <cellStyle name="SAPBEXHLevel2 2 4 4" xfId="2031"/>
    <cellStyle name="SAPBEXHLevel2 2 4 4 2" xfId="3683"/>
    <cellStyle name="SAPBEXHLevel2 2 4 5" xfId="2247"/>
    <cellStyle name="SAPBEXHLevel2 2 4 5 2" xfId="3885"/>
    <cellStyle name="SAPBEXHLevel2 2 4 6" xfId="2459"/>
    <cellStyle name="SAPBEXHLevel2 2 4 6 2" xfId="4084"/>
    <cellStyle name="SAPBEXHLevel2 2 4 7" xfId="2663"/>
    <cellStyle name="SAPBEXHLevel2 2 4 8" xfId="2960"/>
    <cellStyle name="SAPBEXHLevel2 2 5" xfId="1465"/>
    <cellStyle name="SAPBEXHLevel2 2 5 2" xfId="3173"/>
    <cellStyle name="SAPBEXHLevel2 2 6" xfId="1098"/>
    <cellStyle name="SAPBEXHLevel2 2 6 2" xfId="2987"/>
    <cellStyle name="SAPBEXHLevel2 2 7" xfId="1849"/>
    <cellStyle name="SAPBEXHLevel2 2 7 2" xfId="3513"/>
    <cellStyle name="SAPBEXHLevel2 2 8" xfId="2066"/>
    <cellStyle name="SAPBEXHLevel2 2 8 2" xfId="3714"/>
    <cellStyle name="SAPBEXHLevel2 2 9" xfId="2282"/>
    <cellStyle name="SAPBEXHLevel2 2 9 2" xfId="3916"/>
    <cellStyle name="SAPBEXHLevel2 3" xfId="868"/>
    <cellStyle name="SAPBEXHLevel2 3 10" xfId="2502"/>
    <cellStyle name="SAPBEXHLevel2 3 10 2" xfId="4123"/>
    <cellStyle name="SAPBEXHLevel2 3 11" xfId="2803"/>
    <cellStyle name="SAPBEXHLevel2 3 2" xfId="1026"/>
    <cellStyle name="SAPBEXHLevel2 3 2 2" xfId="1590"/>
    <cellStyle name="SAPBEXHLevel2 3 2 2 2" xfId="3273"/>
    <cellStyle name="SAPBEXHLevel2 3 2 3" xfId="1766"/>
    <cellStyle name="SAPBEXHLevel2 3 2 3 2" xfId="3437"/>
    <cellStyle name="SAPBEXHLevel2 3 2 4" xfId="1989"/>
    <cellStyle name="SAPBEXHLevel2 3 2 4 2" xfId="3641"/>
    <cellStyle name="SAPBEXHLevel2 3 2 5" xfId="2205"/>
    <cellStyle name="SAPBEXHLevel2 3 2 5 2" xfId="3843"/>
    <cellStyle name="SAPBEXHLevel2 3 2 6" xfId="2417"/>
    <cellStyle name="SAPBEXHLevel2 3 2 6 2" xfId="4042"/>
    <cellStyle name="SAPBEXHLevel2 3 2 7" xfId="2621"/>
    <cellStyle name="SAPBEXHLevel2 3 2 7 2" xfId="4187"/>
    <cellStyle name="SAPBEXHLevel2 3 2 8" xfId="2918"/>
    <cellStyle name="SAPBEXHLevel2 3 3" xfId="1046"/>
    <cellStyle name="SAPBEXHLevel2 3 3 2" xfId="1608"/>
    <cellStyle name="SAPBEXHLevel2 3 3 2 2" xfId="3290"/>
    <cellStyle name="SAPBEXHLevel2 3 3 3" xfId="1786"/>
    <cellStyle name="SAPBEXHLevel2 3 3 3 2" xfId="3457"/>
    <cellStyle name="SAPBEXHLevel2 3 3 4" xfId="2009"/>
    <cellStyle name="SAPBEXHLevel2 3 3 4 2" xfId="3661"/>
    <cellStyle name="SAPBEXHLevel2 3 3 5" xfId="2225"/>
    <cellStyle name="SAPBEXHLevel2 3 3 5 2" xfId="3863"/>
    <cellStyle name="SAPBEXHLevel2 3 3 6" xfId="2437"/>
    <cellStyle name="SAPBEXHLevel2 3 3 6 2" xfId="4062"/>
    <cellStyle name="SAPBEXHLevel2 3 3 7" xfId="2641"/>
    <cellStyle name="SAPBEXHLevel2 3 3 8" xfId="2938"/>
    <cellStyle name="SAPBEXHLevel2 3 4" xfId="1077"/>
    <cellStyle name="SAPBEXHLevel2 3 4 2" xfId="1638"/>
    <cellStyle name="SAPBEXHLevel2 3 4 2 2" xfId="3319"/>
    <cellStyle name="SAPBEXHLevel2 3 4 3" xfId="1817"/>
    <cellStyle name="SAPBEXHLevel2 3 4 3 2" xfId="3488"/>
    <cellStyle name="SAPBEXHLevel2 3 4 4" xfId="2040"/>
    <cellStyle name="SAPBEXHLevel2 3 4 4 2" xfId="3692"/>
    <cellStyle name="SAPBEXHLevel2 3 4 5" xfId="2256"/>
    <cellStyle name="SAPBEXHLevel2 3 4 5 2" xfId="3894"/>
    <cellStyle name="SAPBEXHLevel2 3 4 6" xfId="2468"/>
    <cellStyle name="SAPBEXHLevel2 3 4 6 2" xfId="4093"/>
    <cellStyle name="SAPBEXHLevel2 3 4 7" xfId="2672"/>
    <cellStyle name="SAPBEXHLevel2 3 4 8" xfId="2969"/>
    <cellStyle name="SAPBEXHLevel2 3 5" xfId="1481"/>
    <cellStyle name="SAPBEXHLevel2 3 5 2" xfId="3185"/>
    <cellStyle name="SAPBEXHLevel2 3 6" xfId="1085"/>
    <cellStyle name="SAPBEXHLevel2 3 6 2" xfId="2977"/>
    <cellStyle name="SAPBEXHLevel2 3 7" xfId="1861"/>
    <cellStyle name="SAPBEXHLevel2 3 7 2" xfId="3522"/>
    <cellStyle name="SAPBEXHLevel2 3 8" xfId="2078"/>
    <cellStyle name="SAPBEXHLevel2 3 8 2" xfId="3723"/>
    <cellStyle name="SAPBEXHLevel2 3 9" xfId="2294"/>
    <cellStyle name="SAPBEXHLevel2 3 9 2" xfId="3925"/>
    <cellStyle name="SAPBEXHLevel2 4" xfId="915"/>
    <cellStyle name="SAPBEXHLevel2 4 2" xfId="1665"/>
    <cellStyle name="SAPBEXHLevel2 4 2 2" xfId="3341"/>
    <cellStyle name="SAPBEXHLevel2 4 3" xfId="1892"/>
    <cellStyle name="SAPBEXHLevel2 4 3 2" xfId="3546"/>
    <cellStyle name="SAPBEXHLevel2 4 4" xfId="2110"/>
    <cellStyle name="SAPBEXHLevel2 4 4 2" xfId="3748"/>
    <cellStyle name="SAPBEXHLevel2 4 5" xfId="2323"/>
    <cellStyle name="SAPBEXHLevel2 4 5 2" xfId="3948"/>
    <cellStyle name="SAPBEXHLevel2 4 6" xfId="2528"/>
    <cellStyle name="SAPBEXHLevel2 4 6 2" xfId="4142"/>
    <cellStyle name="SAPBEXHLevel2 4 7" xfId="2824"/>
    <cellStyle name="SAPBEXHLevel2 5" xfId="980"/>
    <cellStyle name="SAPBEXHLevel2 5 2" xfId="1551"/>
    <cellStyle name="SAPBEXHLevel2 5 2 2" xfId="3234"/>
    <cellStyle name="SAPBEXHLevel2 5 3" xfId="1722"/>
    <cellStyle name="SAPBEXHLevel2 5 3 2" xfId="3393"/>
    <cellStyle name="SAPBEXHLevel2 5 4" xfId="1946"/>
    <cellStyle name="SAPBEXHLevel2 5 4 2" xfId="3598"/>
    <cellStyle name="SAPBEXHLevel2 5 5" xfId="2162"/>
    <cellStyle name="SAPBEXHLevel2 5 5 2" xfId="3800"/>
    <cellStyle name="SAPBEXHLevel2 5 6" xfId="2374"/>
    <cellStyle name="SAPBEXHLevel2 5 6 2" xfId="3999"/>
    <cellStyle name="SAPBEXHLevel2 5 7" xfId="2579"/>
    <cellStyle name="SAPBEXHLevel2 5 8" xfId="2876"/>
    <cellStyle name="SAPBEXHLevel2 6" xfId="1492"/>
    <cellStyle name="SAPBEXHLevel2 6 2" xfId="3194"/>
    <cellStyle name="SAPBEXHLevel2 7" xfId="1271"/>
    <cellStyle name="SAPBEXHLevel2 7 2" xfId="3086"/>
    <cellStyle name="SAPBEXHLevel2 8" xfId="1388"/>
    <cellStyle name="SAPBEXHLevel2 8 2" xfId="3118"/>
    <cellStyle name="SAPBEXHLevel2 9" xfId="1140"/>
    <cellStyle name="SAPBEXHLevel2 9 2" xfId="3014"/>
    <cellStyle name="SAPBEXHLevel2_Sch-3" xfId="832"/>
    <cellStyle name="SAPBEXHLevel2X" xfId="253"/>
    <cellStyle name="SAPBEXHLevel2X 10" xfId="2384"/>
    <cellStyle name="SAPBEXHLevel2X 10 2" xfId="4009"/>
    <cellStyle name="SAPBEXHLevel2X 11" xfId="2758"/>
    <cellStyle name="SAPBEXHLevel2X 2" xfId="844"/>
    <cellStyle name="SAPBEXHLevel2X 2 10" xfId="2788"/>
    <cellStyle name="SAPBEXHLevel2X 2 2" xfId="1010"/>
    <cellStyle name="SAPBEXHLevel2X 2 2 2" xfId="1750"/>
    <cellStyle name="SAPBEXHLevel2X 2 2 2 2" xfId="3421"/>
    <cellStyle name="SAPBEXHLevel2X 2 2 3" xfId="1973"/>
    <cellStyle name="SAPBEXHLevel2X 2 2 3 2" xfId="3625"/>
    <cellStyle name="SAPBEXHLevel2X 2 2 4" xfId="2189"/>
    <cellStyle name="SAPBEXHLevel2X 2 2 4 2" xfId="3827"/>
    <cellStyle name="SAPBEXHLevel2X 2 2 5" xfId="2401"/>
    <cellStyle name="SAPBEXHLevel2X 2 2 5 2" xfId="4026"/>
    <cellStyle name="SAPBEXHLevel2X 2 2 6" xfId="2605"/>
    <cellStyle name="SAPBEXHLevel2X 2 2 6 2" xfId="4171"/>
    <cellStyle name="SAPBEXHLevel2X 2 2 7" xfId="2902"/>
    <cellStyle name="SAPBEXHLevel2X 2 3" xfId="963"/>
    <cellStyle name="SAPBEXHLevel2X 2 3 2" xfId="1538"/>
    <cellStyle name="SAPBEXHLevel2X 2 3 2 2" xfId="3222"/>
    <cellStyle name="SAPBEXHLevel2X 2 3 3" xfId="1710"/>
    <cellStyle name="SAPBEXHLevel2X 2 3 3 2" xfId="3383"/>
    <cellStyle name="SAPBEXHLevel2X 2 3 4" xfId="1934"/>
    <cellStyle name="SAPBEXHLevel2X 2 3 4 2" xfId="3588"/>
    <cellStyle name="SAPBEXHLevel2X 2 3 5" xfId="2151"/>
    <cellStyle name="SAPBEXHLevel2X 2 3 5 2" xfId="3789"/>
    <cellStyle name="SAPBEXHLevel2X 2 3 6" xfId="2364"/>
    <cellStyle name="SAPBEXHLevel2X 2 3 6 2" xfId="3989"/>
    <cellStyle name="SAPBEXHLevel2X 2 3 7" xfId="2569"/>
    <cellStyle name="SAPBEXHLevel2X 2 3 8" xfId="2865"/>
    <cellStyle name="SAPBEXHLevel2X 2 4" xfId="1062"/>
    <cellStyle name="SAPBEXHLevel2X 2 4 2" xfId="1623"/>
    <cellStyle name="SAPBEXHLevel2X 2 4 2 2" xfId="3304"/>
    <cellStyle name="SAPBEXHLevel2X 2 4 3" xfId="1802"/>
    <cellStyle name="SAPBEXHLevel2X 2 4 3 2" xfId="3473"/>
    <cellStyle name="SAPBEXHLevel2X 2 4 4" xfId="2025"/>
    <cellStyle name="SAPBEXHLevel2X 2 4 4 2" xfId="3677"/>
    <cellStyle name="SAPBEXHLevel2X 2 4 5" xfId="2241"/>
    <cellStyle name="SAPBEXHLevel2X 2 4 5 2" xfId="3879"/>
    <cellStyle name="SAPBEXHLevel2X 2 4 6" xfId="2453"/>
    <cellStyle name="SAPBEXHLevel2X 2 4 6 2" xfId="4078"/>
    <cellStyle name="SAPBEXHLevel2X 2 4 7" xfId="2657"/>
    <cellStyle name="SAPBEXHLevel2X 2 4 8" xfId="2954"/>
    <cellStyle name="SAPBEXHLevel2X 2 5" xfId="1223"/>
    <cellStyle name="SAPBEXHLevel2X 2 5 2" xfId="3055"/>
    <cellStyle name="SAPBEXHLevel2X 2 6" xfId="1843"/>
    <cellStyle name="SAPBEXHLevel2X 2 6 2" xfId="3507"/>
    <cellStyle name="SAPBEXHLevel2X 2 7" xfId="2060"/>
    <cellStyle name="SAPBEXHLevel2X 2 7 2" xfId="3708"/>
    <cellStyle name="SAPBEXHLevel2X 2 8" xfId="2276"/>
    <cellStyle name="SAPBEXHLevel2X 2 8 2" xfId="3910"/>
    <cellStyle name="SAPBEXHLevel2X 2 9" xfId="2485"/>
    <cellStyle name="SAPBEXHLevel2X 2 9 2" xfId="4108"/>
    <cellStyle name="SAPBEXHLevel2X 3" xfId="874"/>
    <cellStyle name="SAPBEXHLevel2X 3 10" xfId="2807"/>
    <cellStyle name="SAPBEXHLevel2X 3 2" xfId="1029"/>
    <cellStyle name="SAPBEXHLevel2X 3 2 2" xfId="1769"/>
    <cellStyle name="SAPBEXHLevel2X 3 2 2 2" xfId="3440"/>
    <cellStyle name="SAPBEXHLevel2X 3 2 3" xfId="1992"/>
    <cellStyle name="SAPBEXHLevel2X 3 2 3 2" xfId="3644"/>
    <cellStyle name="SAPBEXHLevel2X 3 2 4" xfId="2208"/>
    <cellStyle name="SAPBEXHLevel2X 3 2 4 2" xfId="3846"/>
    <cellStyle name="SAPBEXHLevel2X 3 2 5" xfId="2420"/>
    <cellStyle name="SAPBEXHLevel2X 3 2 5 2" xfId="4045"/>
    <cellStyle name="SAPBEXHLevel2X 3 2 6" xfId="2624"/>
    <cellStyle name="SAPBEXHLevel2X 3 2 6 2" xfId="4190"/>
    <cellStyle name="SAPBEXHLevel2X 3 2 7" xfId="2921"/>
    <cellStyle name="SAPBEXHLevel2X 3 3" xfId="1050"/>
    <cellStyle name="SAPBEXHLevel2X 3 3 2" xfId="1611"/>
    <cellStyle name="SAPBEXHLevel2X 3 3 2 2" xfId="3293"/>
    <cellStyle name="SAPBEXHLevel2X 3 3 3" xfId="1790"/>
    <cellStyle name="SAPBEXHLevel2X 3 3 3 2" xfId="3461"/>
    <cellStyle name="SAPBEXHLevel2X 3 3 4" xfId="2013"/>
    <cellStyle name="SAPBEXHLevel2X 3 3 4 2" xfId="3665"/>
    <cellStyle name="SAPBEXHLevel2X 3 3 5" xfId="2229"/>
    <cellStyle name="SAPBEXHLevel2X 3 3 5 2" xfId="3867"/>
    <cellStyle name="SAPBEXHLevel2X 3 3 6" xfId="2441"/>
    <cellStyle name="SAPBEXHLevel2X 3 3 6 2" xfId="4066"/>
    <cellStyle name="SAPBEXHLevel2X 3 3 7" xfId="2645"/>
    <cellStyle name="SAPBEXHLevel2X 3 3 8" xfId="2942"/>
    <cellStyle name="SAPBEXHLevel2X 3 4" xfId="1081"/>
    <cellStyle name="SAPBEXHLevel2X 3 4 2" xfId="1642"/>
    <cellStyle name="SAPBEXHLevel2X 3 4 2 2" xfId="3323"/>
    <cellStyle name="SAPBEXHLevel2X 3 4 3" xfId="1821"/>
    <cellStyle name="SAPBEXHLevel2X 3 4 3 2" xfId="3492"/>
    <cellStyle name="SAPBEXHLevel2X 3 4 4" xfId="2044"/>
    <cellStyle name="SAPBEXHLevel2X 3 4 4 2" xfId="3696"/>
    <cellStyle name="SAPBEXHLevel2X 3 4 5" xfId="2260"/>
    <cellStyle name="SAPBEXHLevel2X 3 4 5 2" xfId="3898"/>
    <cellStyle name="SAPBEXHLevel2X 3 4 6" xfId="2472"/>
    <cellStyle name="SAPBEXHLevel2X 3 4 6 2" xfId="4097"/>
    <cellStyle name="SAPBEXHLevel2X 3 4 7" xfId="2676"/>
    <cellStyle name="SAPBEXHLevel2X 3 4 8" xfId="2973"/>
    <cellStyle name="SAPBEXHLevel2X 3 5" xfId="147"/>
    <cellStyle name="SAPBEXHLevel2X 3 5 2" xfId="2729"/>
    <cellStyle name="SAPBEXHLevel2X 3 6" xfId="1866"/>
    <cellStyle name="SAPBEXHLevel2X 3 6 2" xfId="3527"/>
    <cellStyle name="SAPBEXHLevel2X 3 7" xfId="2083"/>
    <cellStyle name="SAPBEXHLevel2X 3 7 2" xfId="3728"/>
    <cellStyle name="SAPBEXHLevel2X 3 8" xfId="2299"/>
    <cellStyle name="SAPBEXHLevel2X 3 8 2" xfId="3930"/>
    <cellStyle name="SAPBEXHLevel2X 3 9" xfId="2506"/>
    <cellStyle name="SAPBEXHLevel2X 3 9 2" xfId="4127"/>
    <cellStyle name="SAPBEXHLevel2X 4" xfId="914"/>
    <cellStyle name="SAPBEXHLevel2X 4 2" xfId="1664"/>
    <cellStyle name="SAPBEXHLevel2X 4 2 2" xfId="3340"/>
    <cellStyle name="SAPBEXHLevel2X 4 3" xfId="1891"/>
    <cellStyle name="SAPBEXHLevel2X 4 3 2" xfId="3545"/>
    <cellStyle name="SAPBEXHLevel2X 4 4" xfId="2109"/>
    <cellStyle name="SAPBEXHLevel2X 4 4 2" xfId="3747"/>
    <cellStyle name="SAPBEXHLevel2X 4 5" xfId="2322"/>
    <cellStyle name="SAPBEXHLevel2X 4 5 2" xfId="3947"/>
    <cellStyle name="SAPBEXHLevel2X 4 6" xfId="2527"/>
    <cellStyle name="SAPBEXHLevel2X 4 6 2" xfId="4141"/>
    <cellStyle name="SAPBEXHLevel2X 4 7" xfId="2823"/>
    <cellStyle name="SAPBEXHLevel2X 5" xfId="950"/>
    <cellStyle name="SAPBEXHLevel2X 5 2" xfId="1529"/>
    <cellStyle name="SAPBEXHLevel2X 5 2 2" xfId="3214"/>
    <cellStyle name="SAPBEXHLevel2X 5 3" xfId="1700"/>
    <cellStyle name="SAPBEXHLevel2X 5 3 2" xfId="3376"/>
    <cellStyle name="SAPBEXHLevel2X 5 4" xfId="1927"/>
    <cellStyle name="SAPBEXHLevel2X 5 4 2" xfId="3581"/>
    <cellStyle name="SAPBEXHLevel2X 5 5" xfId="2145"/>
    <cellStyle name="SAPBEXHLevel2X 5 5 2" xfId="3783"/>
    <cellStyle name="SAPBEXHLevel2X 5 6" xfId="2358"/>
    <cellStyle name="SAPBEXHLevel2X 5 6 2" xfId="3983"/>
    <cellStyle name="SAPBEXHLevel2X 5 7" xfId="2563"/>
    <cellStyle name="SAPBEXHLevel2X 5 8" xfId="2859"/>
    <cellStyle name="SAPBEXHLevel2X 6" xfId="1486"/>
    <cellStyle name="SAPBEXHLevel2X 6 2" xfId="3189"/>
    <cellStyle name="SAPBEXHLevel2X 7" xfId="1733"/>
    <cellStyle name="SAPBEXHLevel2X 7 2" xfId="3404"/>
    <cellStyle name="SAPBEXHLevel2X 8" xfId="1956"/>
    <cellStyle name="SAPBEXHLevel2X 8 2" xfId="3608"/>
    <cellStyle name="SAPBEXHLevel2X 9" xfId="2172"/>
    <cellStyle name="SAPBEXHLevel2X 9 2" xfId="3810"/>
    <cellStyle name="SAPBEXHLevel2X_Sch-3" xfId="833"/>
    <cellStyle name="SAPBEXHLevel3" xfId="254"/>
    <cellStyle name="SAPBEXHLevel3 10" xfId="2301"/>
    <cellStyle name="SAPBEXHLevel3 10 2" xfId="3932"/>
    <cellStyle name="SAPBEXHLevel3 11" xfId="2759"/>
    <cellStyle name="SAPBEXHLevel3 2" xfId="851"/>
    <cellStyle name="SAPBEXHLevel3 2 10" xfId="2492"/>
    <cellStyle name="SAPBEXHLevel3 2 10 2" xfId="4115"/>
    <cellStyle name="SAPBEXHLevel3 2 11" xfId="2795"/>
    <cellStyle name="SAPBEXHLevel3 2 2" xfId="1017"/>
    <cellStyle name="SAPBEXHLevel3 2 2 2" xfId="1583"/>
    <cellStyle name="SAPBEXHLevel3 2 2 2 2" xfId="3266"/>
    <cellStyle name="SAPBEXHLevel3 2 2 3" xfId="1757"/>
    <cellStyle name="SAPBEXHLevel3 2 2 3 2" xfId="3428"/>
    <cellStyle name="SAPBEXHLevel3 2 2 4" xfId="1980"/>
    <cellStyle name="SAPBEXHLevel3 2 2 4 2" xfId="3632"/>
    <cellStyle name="SAPBEXHLevel3 2 2 5" xfId="2196"/>
    <cellStyle name="SAPBEXHLevel3 2 2 5 2" xfId="3834"/>
    <cellStyle name="SAPBEXHLevel3 2 2 6" xfId="2408"/>
    <cellStyle name="SAPBEXHLevel3 2 2 6 2" xfId="4033"/>
    <cellStyle name="SAPBEXHLevel3 2 2 7" xfId="2612"/>
    <cellStyle name="SAPBEXHLevel3 2 2 7 2" xfId="4178"/>
    <cellStyle name="SAPBEXHLevel3 2 2 8" xfId="2909"/>
    <cellStyle name="SAPBEXHLevel3 2 3" xfId="1037"/>
    <cellStyle name="SAPBEXHLevel3 2 3 2" xfId="1599"/>
    <cellStyle name="SAPBEXHLevel3 2 3 2 2" xfId="3281"/>
    <cellStyle name="SAPBEXHLevel3 2 3 3" xfId="1777"/>
    <cellStyle name="SAPBEXHLevel3 2 3 3 2" xfId="3448"/>
    <cellStyle name="SAPBEXHLevel3 2 3 4" xfId="2000"/>
    <cellStyle name="SAPBEXHLevel3 2 3 4 2" xfId="3652"/>
    <cellStyle name="SAPBEXHLevel3 2 3 5" xfId="2216"/>
    <cellStyle name="SAPBEXHLevel3 2 3 5 2" xfId="3854"/>
    <cellStyle name="SAPBEXHLevel3 2 3 6" xfId="2428"/>
    <cellStyle name="SAPBEXHLevel3 2 3 6 2" xfId="4053"/>
    <cellStyle name="SAPBEXHLevel3 2 3 7" xfId="2632"/>
    <cellStyle name="SAPBEXHLevel3 2 3 8" xfId="2929"/>
    <cellStyle name="SAPBEXHLevel3 2 4" xfId="1069"/>
    <cellStyle name="SAPBEXHLevel3 2 4 2" xfId="1630"/>
    <cellStyle name="SAPBEXHLevel3 2 4 2 2" xfId="3311"/>
    <cellStyle name="SAPBEXHLevel3 2 4 3" xfId="1809"/>
    <cellStyle name="SAPBEXHLevel3 2 4 3 2" xfId="3480"/>
    <cellStyle name="SAPBEXHLevel3 2 4 4" xfId="2032"/>
    <cellStyle name="SAPBEXHLevel3 2 4 4 2" xfId="3684"/>
    <cellStyle name="SAPBEXHLevel3 2 4 5" xfId="2248"/>
    <cellStyle name="SAPBEXHLevel3 2 4 5 2" xfId="3886"/>
    <cellStyle name="SAPBEXHLevel3 2 4 6" xfId="2460"/>
    <cellStyle name="SAPBEXHLevel3 2 4 6 2" xfId="4085"/>
    <cellStyle name="SAPBEXHLevel3 2 4 7" xfId="2664"/>
    <cellStyle name="SAPBEXHLevel3 2 4 8" xfId="2961"/>
    <cellStyle name="SAPBEXHLevel3 2 5" xfId="1466"/>
    <cellStyle name="SAPBEXHLevel3 2 5 2" xfId="3174"/>
    <cellStyle name="SAPBEXHLevel3 2 6" xfId="1097"/>
    <cellStyle name="SAPBEXHLevel3 2 6 2" xfId="2986"/>
    <cellStyle name="SAPBEXHLevel3 2 7" xfId="1850"/>
    <cellStyle name="SAPBEXHLevel3 2 7 2" xfId="3514"/>
    <cellStyle name="SAPBEXHLevel3 2 8" xfId="2067"/>
    <cellStyle name="SAPBEXHLevel3 2 8 2" xfId="3715"/>
    <cellStyle name="SAPBEXHLevel3 2 9" xfId="2283"/>
    <cellStyle name="SAPBEXHLevel3 2 9 2" xfId="3917"/>
    <cellStyle name="SAPBEXHLevel3 3" xfId="867"/>
    <cellStyle name="SAPBEXHLevel3 3 10" xfId="2501"/>
    <cellStyle name="SAPBEXHLevel3 3 10 2" xfId="4122"/>
    <cellStyle name="SAPBEXHLevel3 3 11" xfId="2802"/>
    <cellStyle name="SAPBEXHLevel3 3 2" xfId="1025"/>
    <cellStyle name="SAPBEXHLevel3 3 2 2" xfId="1589"/>
    <cellStyle name="SAPBEXHLevel3 3 2 2 2" xfId="3272"/>
    <cellStyle name="SAPBEXHLevel3 3 2 3" xfId="1765"/>
    <cellStyle name="SAPBEXHLevel3 3 2 3 2" xfId="3436"/>
    <cellStyle name="SAPBEXHLevel3 3 2 4" xfId="1988"/>
    <cellStyle name="SAPBEXHLevel3 3 2 4 2" xfId="3640"/>
    <cellStyle name="SAPBEXHLevel3 3 2 5" xfId="2204"/>
    <cellStyle name="SAPBEXHLevel3 3 2 5 2" xfId="3842"/>
    <cellStyle name="SAPBEXHLevel3 3 2 6" xfId="2416"/>
    <cellStyle name="SAPBEXHLevel3 3 2 6 2" xfId="4041"/>
    <cellStyle name="SAPBEXHLevel3 3 2 7" xfId="2620"/>
    <cellStyle name="SAPBEXHLevel3 3 2 7 2" xfId="4186"/>
    <cellStyle name="SAPBEXHLevel3 3 2 8" xfId="2917"/>
    <cellStyle name="SAPBEXHLevel3 3 3" xfId="1045"/>
    <cellStyle name="SAPBEXHLevel3 3 3 2" xfId="1607"/>
    <cellStyle name="SAPBEXHLevel3 3 3 2 2" xfId="3289"/>
    <cellStyle name="SAPBEXHLevel3 3 3 3" xfId="1785"/>
    <cellStyle name="SAPBEXHLevel3 3 3 3 2" xfId="3456"/>
    <cellStyle name="SAPBEXHLevel3 3 3 4" xfId="2008"/>
    <cellStyle name="SAPBEXHLevel3 3 3 4 2" xfId="3660"/>
    <cellStyle name="SAPBEXHLevel3 3 3 5" xfId="2224"/>
    <cellStyle name="SAPBEXHLevel3 3 3 5 2" xfId="3862"/>
    <cellStyle name="SAPBEXHLevel3 3 3 6" xfId="2436"/>
    <cellStyle name="SAPBEXHLevel3 3 3 6 2" xfId="4061"/>
    <cellStyle name="SAPBEXHLevel3 3 3 7" xfId="2640"/>
    <cellStyle name="SAPBEXHLevel3 3 3 8" xfId="2937"/>
    <cellStyle name="SAPBEXHLevel3 3 4" xfId="1076"/>
    <cellStyle name="SAPBEXHLevel3 3 4 2" xfId="1637"/>
    <cellStyle name="SAPBEXHLevel3 3 4 2 2" xfId="3318"/>
    <cellStyle name="SAPBEXHLevel3 3 4 3" xfId="1816"/>
    <cellStyle name="SAPBEXHLevel3 3 4 3 2" xfId="3487"/>
    <cellStyle name="SAPBEXHLevel3 3 4 4" xfId="2039"/>
    <cellStyle name="SAPBEXHLevel3 3 4 4 2" xfId="3691"/>
    <cellStyle name="SAPBEXHLevel3 3 4 5" xfId="2255"/>
    <cellStyle name="SAPBEXHLevel3 3 4 5 2" xfId="3893"/>
    <cellStyle name="SAPBEXHLevel3 3 4 6" xfId="2467"/>
    <cellStyle name="SAPBEXHLevel3 3 4 6 2" xfId="4092"/>
    <cellStyle name="SAPBEXHLevel3 3 4 7" xfId="2671"/>
    <cellStyle name="SAPBEXHLevel3 3 4 8" xfId="2968"/>
    <cellStyle name="SAPBEXHLevel3 3 5" xfId="1480"/>
    <cellStyle name="SAPBEXHLevel3 3 5 2" xfId="3184"/>
    <cellStyle name="SAPBEXHLevel3 3 6" xfId="1086"/>
    <cellStyle name="SAPBEXHLevel3 3 6 2" xfId="2978"/>
    <cellStyle name="SAPBEXHLevel3 3 7" xfId="1860"/>
    <cellStyle name="SAPBEXHLevel3 3 7 2" xfId="3521"/>
    <cellStyle name="SAPBEXHLevel3 3 8" xfId="2077"/>
    <cellStyle name="SAPBEXHLevel3 3 8 2" xfId="3722"/>
    <cellStyle name="SAPBEXHLevel3 3 9" xfId="2293"/>
    <cellStyle name="SAPBEXHLevel3 3 9 2" xfId="3924"/>
    <cellStyle name="SAPBEXHLevel3 4" xfId="913"/>
    <cellStyle name="SAPBEXHLevel3 4 2" xfId="1663"/>
    <cellStyle name="SAPBEXHLevel3 4 2 2" xfId="3339"/>
    <cellStyle name="SAPBEXHLevel3 4 3" xfId="1890"/>
    <cellStyle name="SAPBEXHLevel3 4 3 2" xfId="3544"/>
    <cellStyle name="SAPBEXHLevel3 4 4" xfId="2108"/>
    <cellStyle name="SAPBEXHLevel3 4 4 2" xfId="3746"/>
    <cellStyle name="SAPBEXHLevel3 4 5" xfId="2321"/>
    <cellStyle name="SAPBEXHLevel3 4 5 2" xfId="3946"/>
    <cellStyle name="SAPBEXHLevel3 4 6" xfId="2526"/>
    <cellStyle name="SAPBEXHLevel3 4 6 2" xfId="4140"/>
    <cellStyle name="SAPBEXHLevel3 4 7" xfId="2822"/>
    <cellStyle name="SAPBEXHLevel3 5" xfId="981"/>
    <cellStyle name="SAPBEXHLevel3 5 2" xfId="1552"/>
    <cellStyle name="SAPBEXHLevel3 5 2 2" xfId="3235"/>
    <cellStyle name="SAPBEXHLevel3 5 3" xfId="1723"/>
    <cellStyle name="SAPBEXHLevel3 5 3 2" xfId="3394"/>
    <cellStyle name="SAPBEXHLevel3 5 4" xfId="1947"/>
    <cellStyle name="SAPBEXHLevel3 5 4 2" xfId="3599"/>
    <cellStyle name="SAPBEXHLevel3 5 5" xfId="2163"/>
    <cellStyle name="SAPBEXHLevel3 5 5 2" xfId="3801"/>
    <cellStyle name="SAPBEXHLevel3 5 6" xfId="2375"/>
    <cellStyle name="SAPBEXHLevel3 5 6 2" xfId="4000"/>
    <cellStyle name="SAPBEXHLevel3 5 7" xfId="2580"/>
    <cellStyle name="SAPBEXHLevel3 5 8" xfId="2877"/>
    <cellStyle name="SAPBEXHLevel3 6" xfId="1442"/>
    <cellStyle name="SAPBEXHLevel3 6 2" xfId="3154"/>
    <cellStyle name="SAPBEXHLevel3 7" xfId="470"/>
    <cellStyle name="SAPBEXHLevel3 7 2" xfId="2778"/>
    <cellStyle name="SAPBEXHLevel3 8" xfId="1870"/>
    <cellStyle name="SAPBEXHLevel3 8 2" xfId="3530"/>
    <cellStyle name="SAPBEXHLevel3 9" xfId="2087"/>
    <cellStyle name="SAPBEXHLevel3 9 2" xfId="3731"/>
    <cellStyle name="SAPBEXHLevel3_Sch-3" xfId="834"/>
    <cellStyle name="SAPBEXHLevel3X" xfId="255"/>
    <cellStyle name="SAPBEXHLevel3X 2" xfId="912"/>
    <cellStyle name="SAPBEXHLevel3X 2 2" xfId="1662"/>
    <cellStyle name="SAPBEXHLevel3X 2 2 2" xfId="3338"/>
    <cellStyle name="SAPBEXHLevel3X 2 3" xfId="1889"/>
    <cellStyle name="SAPBEXHLevel3X 2 3 2" xfId="3543"/>
    <cellStyle name="SAPBEXHLevel3X 2 4" xfId="2107"/>
    <cellStyle name="SAPBEXHLevel3X 2 4 2" xfId="3745"/>
    <cellStyle name="SAPBEXHLevel3X 2 5" xfId="2320"/>
    <cellStyle name="SAPBEXHLevel3X 2 5 2" xfId="3945"/>
    <cellStyle name="SAPBEXHLevel3X 2 6" xfId="2525"/>
    <cellStyle name="SAPBEXHLevel3X 2 6 2" xfId="4139"/>
    <cellStyle name="SAPBEXHLevel3X 2 7" xfId="2821"/>
    <cellStyle name="SAPBEXHLevel3X 3" xfId="982"/>
    <cellStyle name="SAPBEXHLevel3X 3 2" xfId="1553"/>
    <cellStyle name="SAPBEXHLevel3X 3 2 2" xfId="3236"/>
    <cellStyle name="SAPBEXHLevel3X 3 3" xfId="1724"/>
    <cellStyle name="SAPBEXHLevel3X 3 3 2" xfId="3395"/>
    <cellStyle name="SAPBEXHLevel3X 3 4" xfId="1948"/>
    <cellStyle name="SAPBEXHLevel3X 3 4 2" xfId="3600"/>
    <cellStyle name="SAPBEXHLevel3X 3 5" xfId="2164"/>
    <cellStyle name="SAPBEXHLevel3X 3 5 2" xfId="3802"/>
    <cellStyle name="SAPBEXHLevel3X 3 6" xfId="2376"/>
    <cellStyle name="SAPBEXHLevel3X 3 6 2" xfId="4001"/>
    <cellStyle name="SAPBEXHLevel3X 3 7" xfId="2581"/>
    <cellStyle name="SAPBEXHLevel3X 3 8" xfId="2878"/>
    <cellStyle name="SAPBEXHLevel3X 4" xfId="1441"/>
    <cellStyle name="SAPBEXHLevel3X 4 2" xfId="3153"/>
    <cellStyle name="SAPBEXHLevel3X 5" xfId="390"/>
    <cellStyle name="SAPBEXHLevel3X 5 2" xfId="2775"/>
    <cellStyle name="SAPBEXHLevel3X 6" xfId="1863"/>
    <cellStyle name="SAPBEXHLevel3X 6 2" xfId="3524"/>
    <cellStyle name="SAPBEXHLevel3X 7" xfId="2080"/>
    <cellStyle name="SAPBEXHLevel3X 7 2" xfId="3725"/>
    <cellStyle name="SAPBEXHLevel3X 8" xfId="2296"/>
    <cellStyle name="SAPBEXHLevel3X 8 2" xfId="3927"/>
    <cellStyle name="SAPBEXHLevel3X 9" xfId="2760"/>
    <cellStyle name="SAPBEXresData" xfId="256"/>
    <cellStyle name="SAPBEXresData 2" xfId="911"/>
    <cellStyle name="SAPBEXresData 2 2" xfId="1661"/>
    <cellStyle name="SAPBEXresData 2 2 2" xfId="3337"/>
    <cellStyle name="SAPBEXresData 2 3" xfId="1888"/>
    <cellStyle name="SAPBEXresData 2 3 2" xfId="3542"/>
    <cellStyle name="SAPBEXresData 2 4" xfId="2106"/>
    <cellStyle name="SAPBEXresData 2 4 2" xfId="3744"/>
    <cellStyle name="SAPBEXresData 2 5" xfId="2319"/>
    <cellStyle name="SAPBEXresData 2 5 2" xfId="3944"/>
    <cellStyle name="SAPBEXresData 2 6" xfId="2524"/>
    <cellStyle name="SAPBEXresData 2 6 2" xfId="4138"/>
    <cellStyle name="SAPBEXresData 2 7" xfId="2820"/>
    <cellStyle name="SAPBEXresData 3" xfId="983"/>
    <cellStyle name="SAPBEXresData 3 2" xfId="1554"/>
    <cellStyle name="SAPBEXresData 3 2 2" xfId="3237"/>
    <cellStyle name="SAPBEXresData 3 3" xfId="1725"/>
    <cellStyle name="SAPBEXresData 3 3 2" xfId="3396"/>
    <cellStyle name="SAPBEXresData 3 4" xfId="1949"/>
    <cellStyle name="SAPBEXresData 3 4 2" xfId="3601"/>
    <cellStyle name="SAPBEXresData 3 5" xfId="2165"/>
    <cellStyle name="SAPBEXresData 3 5 2" xfId="3803"/>
    <cellStyle name="SAPBEXresData 3 6" xfId="2377"/>
    <cellStyle name="SAPBEXresData 3 6 2" xfId="4002"/>
    <cellStyle name="SAPBEXresData 3 7" xfId="2582"/>
    <cellStyle name="SAPBEXresData 3 8" xfId="2879"/>
    <cellStyle name="SAPBEXresData 4" xfId="1440"/>
    <cellStyle name="SAPBEXresData 4 2" xfId="3152"/>
    <cellStyle name="SAPBEXresData 5" xfId="1533"/>
    <cellStyle name="SAPBEXresData 5 2" xfId="3218"/>
    <cellStyle name="SAPBEXresData 6" xfId="1384"/>
    <cellStyle name="SAPBEXresData 6 2" xfId="3115"/>
    <cellStyle name="SAPBEXresData 7" xfId="1286"/>
    <cellStyle name="SAPBEXresData 7 2" xfId="3089"/>
    <cellStyle name="SAPBEXresData 8" xfId="1366"/>
    <cellStyle name="SAPBEXresData 8 2" xfId="3106"/>
    <cellStyle name="SAPBEXresData 9" xfId="2761"/>
    <cellStyle name="SAPBEXresDataEmph" xfId="257"/>
    <cellStyle name="SAPBEXresDataEmph 2" xfId="910"/>
    <cellStyle name="SAPBEXresDataEmph 2 2" xfId="1660"/>
    <cellStyle name="SAPBEXresDataEmph 2 2 2" xfId="3336"/>
    <cellStyle name="SAPBEXresDataEmph 2 3" xfId="1887"/>
    <cellStyle name="SAPBEXresDataEmph 2 3 2" xfId="3541"/>
    <cellStyle name="SAPBEXresDataEmph 2 4" xfId="2105"/>
    <cellStyle name="SAPBEXresDataEmph 2 4 2" xfId="3743"/>
    <cellStyle name="SAPBEXresDataEmph 2 5" xfId="2318"/>
    <cellStyle name="SAPBEXresDataEmph 2 5 2" xfId="3943"/>
    <cellStyle name="SAPBEXresDataEmph 2 6" xfId="2523"/>
    <cellStyle name="SAPBEXresDataEmph 2 6 2" xfId="4137"/>
    <cellStyle name="SAPBEXresDataEmph 2 7" xfId="2819"/>
    <cellStyle name="SAPBEXresDataEmph 3" xfId="984"/>
    <cellStyle name="SAPBEXresDataEmph 3 2" xfId="1555"/>
    <cellStyle name="SAPBEXresDataEmph 3 2 2" xfId="3238"/>
    <cellStyle name="SAPBEXresDataEmph 3 3" xfId="1726"/>
    <cellStyle name="SAPBEXresDataEmph 3 3 2" xfId="3397"/>
    <cellStyle name="SAPBEXresDataEmph 3 4" xfId="1950"/>
    <cellStyle name="SAPBEXresDataEmph 3 4 2" xfId="3602"/>
    <cellStyle name="SAPBEXresDataEmph 3 5" xfId="2166"/>
    <cellStyle name="SAPBEXresDataEmph 3 5 2" xfId="3804"/>
    <cellStyle name="SAPBEXresDataEmph 3 6" xfId="2378"/>
    <cellStyle name="SAPBEXresDataEmph 3 6 2" xfId="4003"/>
    <cellStyle name="SAPBEXresDataEmph 3 7" xfId="2583"/>
    <cellStyle name="SAPBEXresDataEmph 3 8" xfId="2880"/>
    <cellStyle name="SAPBEXresDataEmph 4" xfId="1439"/>
    <cellStyle name="SAPBEXresDataEmph 4 2" xfId="3151"/>
    <cellStyle name="SAPBEXresDataEmph 5" xfId="1267"/>
    <cellStyle name="SAPBEXresDataEmph 5 2" xfId="3083"/>
    <cellStyle name="SAPBEXresDataEmph 6" xfId="1561"/>
    <cellStyle name="SAPBEXresDataEmph 6 2" xfId="3244"/>
    <cellStyle name="SAPBEXresDataEmph 7" xfId="1136"/>
    <cellStyle name="SAPBEXresDataEmph 7 2" xfId="3011"/>
    <cellStyle name="SAPBEXresDataEmph 8" xfId="1365"/>
    <cellStyle name="SAPBEXresDataEmph 8 2" xfId="3105"/>
    <cellStyle name="SAPBEXresDataEmph 9" xfId="2762"/>
    <cellStyle name="SAPBEXresItem" xfId="258"/>
    <cellStyle name="SAPBEXresItem 2" xfId="909"/>
    <cellStyle name="SAPBEXresItem 2 2" xfId="1659"/>
    <cellStyle name="SAPBEXresItem 2 2 2" xfId="3335"/>
    <cellStyle name="SAPBEXresItem 2 3" xfId="1886"/>
    <cellStyle name="SAPBEXresItem 2 3 2" xfId="3540"/>
    <cellStyle name="SAPBEXresItem 2 4" xfId="2104"/>
    <cellStyle name="SAPBEXresItem 2 4 2" xfId="3742"/>
    <cellStyle name="SAPBEXresItem 2 5" xfId="2317"/>
    <cellStyle name="SAPBEXresItem 2 5 2" xfId="3942"/>
    <cellStyle name="SAPBEXresItem 2 6" xfId="2522"/>
    <cellStyle name="SAPBEXresItem 2 6 2" xfId="4136"/>
    <cellStyle name="SAPBEXresItem 2 7" xfId="2818"/>
    <cellStyle name="SAPBEXresItem 3" xfId="985"/>
    <cellStyle name="SAPBEXresItem 3 2" xfId="1556"/>
    <cellStyle name="SAPBEXresItem 3 2 2" xfId="3239"/>
    <cellStyle name="SAPBEXresItem 3 3" xfId="1727"/>
    <cellStyle name="SAPBEXresItem 3 3 2" xfId="3398"/>
    <cellStyle name="SAPBEXresItem 3 4" xfId="1951"/>
    <cellStyle name="SAPBEXresItem 3 4 2" xfId="3603"/>
    <cellStyle name="SAPBEXresItem 3 5" xfId="2167"/>
    <cellStyle name="SAPBEXresItem 3 5 2" xfId="3805"/>
    <cellStyle name="SAPBEXresItem 3 6" xfId="2379"/>
    <cellStyle name="SAPBEXresItem 3 6 2" xfId="4004"/>
    <cellStyle name="SAPBEXresItem 3 7" xfId="2584"/>
    <cellStyle name="SAPBEXresItem 3 8" xfId="2881"/>
    <cellStyle name="SAPBEXresItem 4" xfId="1438"/>
    <cellStyle name="SAPBEXresItem 4 2" xfId="3150"/>
    <cellStyle name="SAPBEXresItem 5" xfId="1268"/>
    <cellStyle name="SAPBEXresItem 5 2" xfId="3084"/>
    <cellStyle name="SAPBEXresItem 6" xfId="1491"/>
    <cellStyle name="SAPBEXresItem 6 2" xfId="3193"/>
    <cellStyle name="SAPBEXresItem 7" xfId="1137"/>
    <cellStyle name="SAPBEXresItem 7 2" xfId="3012"/>
    <cellStyle name="SAPBEXresItem 8" xfId="1364"/>
    <cellStyle name="SAPBEXresItem 8 2" xfId="3104"/>
    <cellStyle name="SAPBEXresItem 9" xfId="2763"/>
    <cellStyle name="SAPBEXresItemX" xfId="259"/>
    <cellStyle name="SAPBEXresItemX 2" xfId="902"/>
    <cellStyle name="SAPBEXresItemX 2 2" xfId="1652"/>
    <cellStyle name="SAPBEXresItemX 2 2 2" xfId="3328"/>
    <cellStyle name="SAPBEXresItemX 2 3" xfId="1879"/>
    <cellStyle name="SAPBEXresItemX 2 3 2" xfId="3533"/>
    <cellStyle name="SAPBEXresItemX 2 4" xfId="2097"/>
    <cellStyle name="SAPBEXresItemX 2 4 2" xfId="3735"/>
    <cellStyle name="SAPBEXresItemX 2 5" xfId="2310"/>
    <cellStyle name="SAPBEXresItemX 2 5 2" xfId="3935"/>
    <cellStyle name="SAPBEXresItemX 2 6" xfId="2515"/>
    <cellStyle name="SAPBEXresItemX 2 6 2" xfId="4130"/>
    <cellStyle name="SAPBEXresItemX 2 7" xfId="2811"/>
    <cellStyle name="SAPBEXresItemX 3" xfId="951"/>
    <cellStyle name="SAPBEXresItemX 3 2" xfId="1530"/>
    <cellStyle name="SAPBEXresItemX 3 2 2" xfId="3215"/>
    <cellStyle name="SAPBEXresItemX 3 3" xfId="1701"/>
    <cellStyle name="SAPBEXresItemX 3 3 2" xfId="3377"/>
    <cellStyle name="SAPBEXresItemX 3 4" xfId="1928"/>
    <cellStyle name="SAPBEXresItemX 3 4 2" xfId="3582"/>
    <cellStyle name="SAPBEXresItemX 3 5" xfId="2146"/>
    <cellStyle name="SAPBEXresItemX 3 5 2" xfId="3784"/>
    <cellStyle name="SAPBEXresItemX 3 6" xfId="2359"/>
    <cellStyle name="SAPBEXresItemX 3 6 2" xfId="3984"/>
    <cellStyle name="SAPBEXresItemX 3 7" xfId="2564"/>
    <cellStyle name="SAPBEXresItemX 3 8" xfId="2860"/>
    <cellStyle name="SAPBEXresItemX 4" xfId="1437"/>
    <cellStyle name="SAPBEXresItemX 4 2" xfId="3149"/>
    <cellStyle name="SAPBEXresItemX 5" xfId="1269"/>
    <cellStyle name="SAPBEXresItemX 5 2" xfId="3085"/>
    <cellStyle name="SAPBEXresItemX 6" xfId="1484"/>
    <cellStyle name="SAPBEXresItemX 6 2" xfId="3187"/>
    <cellStyle name="SAPBEXresItemX 7" xfId="1138"/>
    <cellStyle name="SAPBEXresItemX 7 2" xfId="3013"/>
    <cellStyle name="SAPBEXresItemX 8" xfId="1363"/>
    <cellStyle name="SAPBEXresItemX 8 2" xfId="3103"/>
    <cellStyle name="SAPBEXresItemX 9" xfId="2764"/>
    <cellStyle name="SAPBEXstdData" xfId="260"/>
    <cellStyle name="SAPBEXstdData 10" xfId="1211"/>
    <cellStyle name="SAPBEXstdData 10 2" xfId="3052"/>
    <cellStyle name="SAPBEXstdData 11" xfId="1407"/>
    <cellStyle name="SAPBEXstdData 11 2" xfId="3130"/>
    <cellStyle name="SAPBEXstdData 12" xfId="2765"/>
    <cellStyle name="SAPBEXstdData 2" xfId="836"/>
    <cellStyle name="SAPBEXstdData 2 10" xfId="2480"/>
    <cellStyle name="SAPBEXstdData 2 10 2" xfId="4103"/>
    <cellStyle name="SAPBEXstdData 2 11" xfId="2783"/>
    <cellStyle name="SAPBEXstdData 2 2" xfId="1005"/>
    <cellStyle name="SAPBEXstdData 2 2 2" xfId="1574"/>
    <cellStyle name="SAPBEXstdData 2 2 2 2" xfId="3257"/>
    <cellStyle name="SAPBEXstdData 2 2 3" xfId="1745"/>
    <cellStyle name="SAPBEXstdData 2 2 3 2" xfId="3416"/>
    <cellStyle name="SAPBEXstdData 2 2 4" xfId="1968"/>
    <cellStyle name="SAPBEXstdData 2 2 4 2" xfId="3620"/>
    <cellStyle name="SAPBEXstdData 2 2 5" xfId="2184"/>
    <cellStyle name="SAPBEXstdData 2 2 5 2" xfId="3822"/>
    <cellStyle name="SAPBEXstdData 2 2 6" xfId="2396"/>
    <cellStyle name="SAPBEXstdData 2 2 6 2" xfId="4021"/>
    <cellStyle name="SAPBEXstdData 2 2 7" xfId="2600"/>
    <cellStyle name="SAPBEXstdData 2 2 7 2" xfId="4166"/>
    <cellStyle name="SAPBEXstdData 2 2 8" xfId="2897"/>
    <cellStyle name="SAPBEXstdData 2 3" xfId="968"/>
    <cellStyle name="SAPBEXstdData 2 3 2" xfId="1543"/>
    <cellStyle name="SAPBEXstdData 2 3 2 2" xfId="3227"/>
    <cellStyle name="SAPBEXstdData 2 3 3" xfId="1715"/>
    <cellStyle name="SAPBEXstdData 2 3 3 2" xfId="3388"/>
    <cellStyle name="SAPBEXstdData 2 3 4" xfId="1939"/>
    <cellStyle name="SAPBEXstdData 2 3 4 2" xfId="3593"/>
    <cellStyle name="SAPBEXstdData 2 3 5" xfId="2156"/>
    <cellStyle name="SAPBEXstdData 2 3 5 2" xfId="3794"/>
    <cellStyle name="SAPBEXstdData 2 3 6" xfId="2369"/>
    <cellStyle name="SAPBEXstdData 2 3 6 2" xfId="3994"/>
    <cellStyle name="SAPBEXstdData 2 3 7" xfId="2574"/>
    <cellStyle name="SAPBEXstdData 2 3 8" xfId="2870"/>
    <cellStyle name="SAPBEXstdData 2 4" xfId="1057"/>
    <cellStyle name="SAPBEXstdData 2 4 2" xfId="1618"/>
    <cellStyle name="SAPBEXstdData 2 4 2 2" xfId="3299"/>
    <cellStyle name="SAPBEXstdData 2 4 3" xfId="1797"/>
    <cellStyle name="SAPBEXstdData 2 4 3 2" xfId="3468"/>
    <cellStyle name="SAPBEXstdData 2 4 4" xfId="2020"/>
    <cellStyle name="SAPBEXstdData 2 4 4 2" xfId="3672"/>
    <cellStyle name="SAPBEXstdData 2 4 5" xfId="2236"/>
    <cellStyle name="SAPBEXstdData 2 4 5 2" xfId="3874"/>
    <cellStyle name="SAPBEXstdData 2 4 6" xfId="2448"/>
    <cellStyle name="SAPBEXstdData 2 4 6 2" xfId="4073"/>
    <cellStyle name="SAPBEXstdData 2 4 7" xfId="2652"/>
    <cellStyle name="SAPBEXstdData 2 4 8" xfId="2949"/>
    <cellStyle name="SAPBEXstdData 2 5" xfId="1456"/>
    <cellStyle name="SAPBEXstdData 2 5 2" xfId="3165"/>
    <cellStyle name="SAPBEXstdData 2 6" xfId="1227"/>
    <cellStyle name="SAPBEXstdData 2 6 2" xfId="3059"/>
    <cellStyle name="SAPBEXstdData 2 7" xfId="1837"/>
    <cellStyle name="SAPBEXstdData 2 7 2" xfId="3502"/>
    <cellStyle name="SAPBEXstdData 2 8" xfId="2054"/>
    <cellStyle name="SAPBEXstdData 2 8 2" xfId="3703"/>
    <cellStyle name="SAPBEXstdData 2 9" xfId="2271"/>
    <cellStyle name="SAPBEXstdData 2 9 2" xfId="3905"/>
    <cellStyle name="SAPBEXstdData 3" xfId="847"/>
    <cellStyle name="SAPBEXstdData 3 10" xfId="2488"/>
    <cellStyle name="SAPBEXstdData 3 10 2" xfId="4111"/>
    <cellStyle name="SAPBEXstdData 3 11" xfId="2791"/>
    <cellStyle name="SAPBEXstdData 3 2" xfId="1013"/>
    <cellStyle name="SAPBEXstdData 3 2 2" xfId="1579"/>
    <cellStyle name="SAPBEXstdData 3 2 2 2" xfId="3262"/>
    <cellStyle name="SAPBEXstdData 3 2 3" xfId="1753"/>
    <cellStyle name="SAPBEXstdData 3 2 3 2" xfId="3424"/>
    <cellStyle name="SAPBEXstdData 3 2 4" xfId="1976"/>
    <cellStyle name="SAPBEXstdData 3 2 4 2" xfId="3628"/>
    <cellStyle name="SAPBEXstdData 3 2 5" xfId="2192"/>
    <cellStyle name="SAPBEXstdData 3 2 5 2" xfId="3830"/>
    <cellStyle name="SAPBEXstdData 3 2 6" xfId="2404"/>
    <cellStyle name="SAPBEXstdData 3 2 6 2" xfId="4029"/>
    <cellStyle name="SAPBEXstdData 3 2 7" xfId="2608"/>
    <cellStyle name="SAPBEXstdData 3 2 7 2" xfId="4174"/>
    <cellStyle name="SAPBEXstdData 3 2 8" xfId="2905"/>
    <cellStyle name="SAPBEXstdData 3 3" xfId="1033"/>
    <cellStyle name="SAPBEXstdData 3 3 2" xfId="1595"/>
    <cellStyle name="SAPBEXstdData 3 3 2 2" xfId="3277"/>
    <cellStyle name="SAPBEXstdData 3 3 3" xfId="1773"/>
    <cellStyle name="SAPBEXstdData 3 3 3 2" xfId="3444"/>
    <cellStyle name="SAPBEXstdData 3 3 4" xfId="1996"/>
    <cellStyle name="SAPBEXstdData 3 3 4 2" xfId="3648"/>
    <cellStyle name="SAPBEXstdData 3 3 5" xfId="2212"/>
    <cellStyle name="SAPBEXstdData 3 3 5 2" xfId="3850"/>
    <cellStyle name="SAPBEXstdData 3 3 6" xfId="2424"/>
    <cellStyle name="SAPBEXstdData 3 3 6 2" xfId="4049"/>
    <cellStyle name="SAPBEXstdData 3 3 7" xfId="2628"/>
    <cellStyle name="SAPBEXstdData 3 3 8" xfId="2925"/>
    <cellStyle name="SAPBEXstdData 3 4" xfId="1065"/>
    <cellStyle name="SAPBEXstdData 3 4 2" xfId="1626"/>
    <cellStyle name="SAPBEXstdData 3 4 2 2" xfId="3307"/>
    <cellStyle name="SAPBEXstdData 3 4 3" xfId="1805"/>
    <cellStyle name="SAPBEXstdData 3 4 3 2" xfId="3476"/>
    <cellStyle name="SAPBEXstdData 3 4 4" xfId="2028"/>
    <cellStyle name="SAPBEXstdData 3 4 4 2" xfId="3680"/>
    <cellStyle name="SAPBEXstdData 3 4 5" xfId="2244"/>
    <cellStyle name="SAPBEXstdData 3 4 5 2" xfId="3882"/>
    <cellStyle name="SAPBEXstdData 3 4 6" xfId="2456"/>
    <cellStyle name="SAPBEXstdData 3 4 6 2" xfId="4081"/>
    <cellStyle name="SAPBEXstdData 3 4 7" xfId="2660"/>
    <cellStyle name="SAPBEXstdData 3 4 8" xfId="2957"/>
    <cellStyle name="SAPBEXstdData 3 5" xfId="1462"/>
    <cellStyle name="SAPBEXstdData 3 5 2" xfId="3170"/>
    <cellStyle name="SAPBEXstdData 3 6" xfId="1101"/>
    <cellStyle name="SAPBEXstdData 3 6 2" xfId="2990"/>
    <cellStyle name="SAPBEXstdData 3 7" xfId="1846"/>
    <cellStyle name="SAPBEXstdData 3 7 2" xfId="3510"/>
    <cellStyle name="SAPBEXstdData 3 8" xfId="2063"/>
    <cellStyle name="SAPBEXstdData 3 8 2" xfId="3711"/>
    <cellStyle name="SAPBEXstdData 3 9" xfId="2279"/>
    <cellStyle name="SAPBEXstdData 3 9 2" xfId="3913"/>
    <cellStyle name="SAPBEXstdData 4" xfId="854"/>
    <cellStyle name="SAPBEXstdData 4 10" xfId="2495"/>
    <cellStyle name="SAPBEXstdData 4 10 2" xfId="4118"/>
    <cellStyle name="SAPBEXstdData 4 11" xfId="2798"/>
    <cellStyle name="SAPBEXstdData 4 2" xfId="1020"/>
    <cellStyle name="SAPBEXstdData 4 2 2" xfId="1586"/>
    <cellStyle name="SAPBEXstdData 4 2 2 2" xfId="3269"/>
    <cellStyle name="SAPBEXstdData 4 2 3" xfId="1760"/>
    <cellStyle name="SAPBEXstdData 4 2 3 2" xfId="3431"/>
    <cellStyle name="SAPBEXstdData 4 2 4" xfId="1983"/>
    <cellStyle name="SAPBEXstdData 4 2 4 2" xfId="3635"/>
    <cellStyle name="SAPBEXstdData 4 2 5" xfId="2199"/>
    <cellStyle name="SAPBEXstdData 4 2 5 2" xfId="3837"/>
    <cellStyle name="SAPBEXstdData 4 2 6" xfId="2411"/>
    <cellStyle name="SAPBEXstdData 4 2 6 2" xfId="4036"/>
    <cellStyle name="SAPBEXstdData 4 2 7" xfId="2615"/>
    <cellStyle name="SAPBEXstdData 4 2 7 2" xfId="4181"/>
    <cellStyle name="SAPBEXstdData 4 2 8" xfId="2912"/>
    <cellStyle name="SAPBEXstdData 4 3" xfId="1040"/>
    <cellStyle name="SAPBEXstdData 4 3 2" xfId="1602"/>
    <cellStyle name="SAPBEXstdData 4 3 2 2" xfId="3284"/>
    <cellStyle name="SAPBEXstdData 4 3 3" xfId="1780"/>
    <cellStyle name="SAPBEXstdData 4 3 3 2" xfId="3451"/>
    <cellStyle name="SAPBEXstdData 4 3 4" xfId="2003"/>
    <cellStyle name="SAPBEXstdData 4 3 4 2" xfId="3655"/>
    <cellStyle name="SAPBEXstdData 4 3 5" xfId="2219"/>
    <cellStyle name="SAPBEXstdData 4 3 5 2" xfId="3857"/>
    <cellStyle name="SAPBEXstdData 4 3 6" xfId="2431"/>
    <cellStyle name="SAPBEXstdData 4 3 6 2" xfId="4056"/>
    <cellStyle name="SAPBEXstdData 4 3 7" xfId="2635"/>
    <cellStyle name="SAPBEXstdData 4 3 8" xfId="2932"/>
    <cellStyle name="SAPBEXstdData 4 4" xfId="1072"/>
    <cellStyle name="SAPBEXstdData 4 4 2" xfId="1633"/>
    <cellStyle name="SAPBEXstdData 4 4 2 2" xfId="3314"/>
    <cellStyle name="SAPBEXstdData 4 4 3" xfId="1812"/>
    <cellStyle name="SAPBEXstdData 4 4 3 2" xfId="3483"/>
    <cellStyle name="SAPBEXstdData 4 4 4" xfId="2035"/>
    <cellStyle name="SAPBEXstdData 4 4 4 2" xfId="3687"/>
    <cellStyle name="SAPBEXstdData 4 4 5" xfId="2251"/>
    <cellStyle name="SAPBEXstdData 4 4 5 2" xfId="3889"/>
    <cellStyle name="SAPBEXstdData 4 4 6" xfId="2463"/>
    <cellStyle name="SAPBEXstdData 4 4 6 2" xfId="4088"/>
    <cellStyle name="SAPBEXstdData 4 4 7" xfId="2667"/>
    <cellStyle name="SAPBEXstdData 4 4 8" xfId="2964"/>
    <cellStyle name="SAPBEXstdData 4 5" xfId="1469"/>
    <cellStyle name="SAPBEXstdData 4 5 2" xfId="3177"/>
    <cellStyle name="SAPBEXstdData 4 6" xfId="1094"/>
    <cellStyle name="SAPBEXstdData 4 6 2" xfId="2983"/>
    <cellStyle name="SAPBEXstdData 4 7" xfId="1853"/>
    <cellStyle name="SAPBEXstdData 4 7 2" xfId="3517"/>
    <cellStyle name="SAPBEXstdData 4 8" xfId="2070"/>
    <cellStyle name="SAPBEXstdData 4 8 2" xfId="3718"/>
    <cellStyle name="SAPBEXstdData 4 9" xfId="2286"/>
    <cellStyle name="SAPBEXstdData 4 9 2" xfId="3920"/>
    <cellStyle name="SAPBEXstdData 5" xfId="908"/>
    <cellStyle name="SAPBEXstdData 5 2" xfId="1658"/>
    <cellStyle name="SAPBEXstdData 5 2 2" xfId="3334"/>
    <cellStyle name="SAPBEXstdData 5 3" xfId="1885"/>
    <cellStyle name="SAPBEXstdData 5 3 2" xfId="3539"/>
    <cellStyle name="SAPBEXstdData 5 4" xfId="2103"/>
    <cellStyle name="SAPBEXstdData 5 4 2" xfId="3741"/>
    <cellStyle name="SAPBEXstdData 5 5" xfId="2316"/>
    <cellStyle name="SAPBEXstdData 5 5 2" xfId="3941"/>
    <cellStyle name="SAPBEXstdData 5 6" xfId="2521"/>
    <cellStyle name="SAPBEXstdData 5 6 2" xfId="4135"/>
    <cellStyle name="SAPBEXstdData 5 7" xfId="2817"/>
    <cellStyle name="SAPBEXstdData 6" xfId="986"/>
    <cellStyle name="SAPBEXstdData 6 2" xfId="1557"/>
    <cellStyle name="SAPBEXstdData 6 2 2" xfId="3240"/>
    <cellStyle name="SAPBEXstdData 6 3" xfId="1728"/>
    <cellStyle name="SAPBEXstdData 6 3 2" xfId="3399"/>
    <cellStyle name="SAPBEXstdData 6 4" xfId="1952"/>
    <cellStyle name="SAPBEXstdData 6 4 2" xfId="3604"/>
    <cellStyle name="SAPBEXstdData 6 5" xfId="2168"/>
    <cellStyle name="SAPBEXstdData 6 5 2" xfId="3806"/>
    <cellStyle name="SAPBEXstdData 6 6" xfId="2380"/>
    <cellStyle name="SAPBEXstdData 6 6 2" xfId="4005"/>
    <cellStyle name="SAPBEXstdData 6 7" xfId="2585"/>
    <cellStyle name="SAPBEXstdData 6 8" xfId="2882"/>
    <cellStyle name="SAPBEXstdData 7" xfId="1436"/>
    <cellStyle name="SAPBEXstdData 7 2" xfId="3148"/>
    <cellStyle name="SAPBEXstdData 8" xfId="1517"/>
    <cellStyle name="SAPBEXstdData 8 2" xfId="3204"/>
    <cellStyle name="SAPBEXstdData 9" xfId="1234"/>
    <cellStyle name="SAPBEXstdData 9 2" xfId="3062"/>
    <cellStyle name="SAPBEXstdData_Sch-3" xfId="835"/>
    <cellStyle name="SAPBEXstdDataEmph" xfId="261"/>
    <cellStyle name="SAPBEXstdDataEmph 10" xfId="1360"/>
    <cellStyle name="SAPBEXstdDataEmph 10 2" xfId="3101"/>
    <cellStyle name="SAPBEXstdDataEmph 11" xfId="2766"/>
    <cellStyle name="SAPBEXstdDataEmph 2" xfId="848"/>
    <cellStyle name="SAPBEXstdDataEmph 2 10" xfId="2489"/>
    <cellStyle name="SAPBEXstdDataEmph 2 10 2" xfId="4112"/>
    <cellStyle name="SAPBEXstdDataEmph 2 11" xfId="2792"/>
    <cellStyle name="SAPBEXstdDataEmph 2 2" xfId="1014"/>
    <cellStyle name="SAPBEXstdDataEmph 2 2 2" xfId="1580"/>
    <cellStyle name="SAPBEXstdDataEmph 2 2 2 2" xfId="3263"/>
    <cellStyle name="SAPBEXstdDataEmph 2 2 3" xfId="1754"/>
    <cellStyle name="SAPBEXstdDataEmph 2 2 3 2" xfId="3425"/>
    <cellStyle name="SAPBEXstdDataEmph 2 2 4" xfId="1977"/>
    <cellStyle name="SAPBEXstdDataEmph 2 2 4 2" xfId="3629"/>
    <cellStyle name="SAPBEXstdDataEmph 2 2 5" xfId="2193"/>
    <cellStyle name="SAPBEXstdDataEmph 2 2 5 2" xfId="3831"/>
    <cellStyle name="SAPBEXstdDataEmph 2 2 6" xfId="2405"/>
    <cellStyle name="SAPBEXstdDataEmph 2 2 6 2" xfId="4030"/>
    <cellStyle name="SAPBEXstdDataEmph 2 2 7" xfId="2609"/>
    <cellStyle name="SAPBEXstdDataEmph 2 2 7 2" xfId="4175"/>
    <cellStyle name="SAPBEXstdDataEmph 2 2 8" xfId="2906"/>
    <cellStyle name="SAPBEXstdDataEmph 2 3" xfId="1034"/>
    <cellStyle name="SAPBEXstdDataEmph 2 3 2" xfId="1596"/>
    <cellStyle name="SAPBEXstdDataEmph 2 3 2 2" xfId="3278"/>
    <cellStyle name="SAPBEXstdDataEmph 2 3 3" xfId="1774"/>
    <cellStyle name="SAPBEXstdDataEmph 2 3 3 2" xfId="3445"/>
    <cellStyle name="SAPBEXstdDataEmph 2 3 4" xfId="1997"/>
    <cellStyle name="SAPBEXstdDataEmph 2 3 4 2" xfId="3649"/>
    <cellStyle name="SAPBEXstdDataEmph 2 3 5" xfId="2213"/>
    <cellStyle name="SAPBEXstdDataEmph 2 3 5 2" xfId="3851"/>
    <cellStyle name="SAPBEXstdDataEmph 2 3 6" xfId="2425"/>
    <cellStyle name="SAPBEXstdDataEmph 2 3 6 2" xfId="4050"/>
    <cellStyle name="SAPBEXstdDataEmph 2 3 7" xfId="2629"/>
    <cellStyle name="SAPBEXstdDataEmph 2 3 8" xfId="2926"/>
    <cellStyle name="SAPBEXstdDataEmph 2 4" xfId="1066"/>
    <cellStyle name="SAPBEXstdDataEmph 2 4 2" xfId="1627"/>
    <cellStyle name="SAPBEXstdDataEmph 2 4 2 2" xfId="3308"/>
    <cellStyle name="SAPBEXstdDataEmph 2 4 3" xfId="1806"/>
    <cellStyle name="SAPBEXstdDataEmph 2 4 3 2" xfId="3477"/>
    <cellStyle name="SAPBEXstdDataEmph 2 4 4" xfId="2029"/>
    <cellStyle name="SAPBEXstdDataEmph 2 4 4 2" xfId="3681"/>
    <cellStyle name="SAPBEXstdDataEmph 2 4 5" xfId="2245"/>
    <cellStyle name="SAPBEXstdDataEmph 2 4 5 2" xfId="3883"/>
    <cellStyle name="SAPBEXstdDataEmph 2 4 6" xfId="2457"/>
    <cellStyle name="SAPBEXstdDataEmph 2 4 6 2" xfId="4082"/>
    <cellStyle name="SAPBEXstdDataEmph 2 4 7" xfId="2661"/>
    <cellStyle name="SAPBEXstdDataEmph 2 4 8" xfId="2958"/>
    <cellStyle name="SAPBEXstdDataEmph 2 5" xfId="1463"/>
    <cellStyle name="SAPBEXstdDataEmph 2 5 2" xfId="3171"/>
    <cellStyle name="SAPBEXstdDataEmph 2 6" xfId="1100"/>
    <cellStyle name="SAPBEXstdDataEmph 2 6 2" xfId="2989"/>
    <cellStyle name="SAPBEXstdDataEmph 2 7" xfId="1847"/>
    <cellStyle name="SAPBEXstdDataEmph 2 7 2" xfId="3511"/>
    <cellStyle name="SAPBEXstdDataEmph 2 8" xfId="2064"/>
    <cellStyle name="SAPBEXstdDataEmph 2 8 2" xfId="3712"/>
    <cellStyle name="SAPBEXstdDataEmph 2 9" xfId="2280"/>
    <cellStyle name="SAPBEXstdDataEmph 2 9 2" xfId="3914"/>
    <cellStyle name="SAPBEXstdDataEmph 3" xfId="839"/>
    <cellStyle name="SAPBEXstdDataEmph 3 10" xfId="2481"/>
    <cellStyle name="SAPBEXstdDataEmph 3 10 2" xfId="4104"/>
    <cellStyle name="SAPBEXstdDataEmph 3 11" xfId="2784"/>
    <cellStyle name="SAPBEXstdDataEmph 3 2" xfId="1006"/>
    <cellStyle name="SAPBEXstdDataEmph 3 2 2" xfId="1575"/>
    <cellStyle name="SAPBEXstdDataEmph 3 2 2 2" xfId="3258"/>
    <cellStyle name="SAPBEXstdDataEmph 3 2 3" xfId="1746"/>
    <cellStyle name="SAPBEXstdDataEmph 3 2 3 2" xfId="3417"/>
    <cellStyle name="SAPBEXstdDataEmph 3 2 4" xfId="1969"/>
    <cellStyle name="SAPBEXstdDataEmph 3 2 4 2" xfId="3621"/>
    <cellStyle name="SAPBEXstdDataEmph 3 2 5" xfId="2185"/>
    <cellStyle name="SAPBEXstdDataEmph 3 2 5 2" xfId="3823"/>
    <cellStyle name="SAPBEXstdDataEmph 3 2 6" xfId="2397"/>
    <cellStyle name="SAPBEXstdDataEmph 3 2 6 2" xfId="4022"/>
    <cellStyle name="SAPBEXstdDataEmph 3 2 7" xfId="2601"/>
    <cellStyle name="SAPBEXstdDataEmph 3 2 7 2" xfId="4167"/>
    <cellStyle name="SAPBEXstdDataEmph 3 2 8" xfId="2898"/>
    <cellStyle name="SAPBEXstdDataEmph 3 3" xfId="967"/>
    <cellStyle name="SAPBEXstdDataEmph 3 3 2" xfId="1542"/>
    <cellStyle name="SAPBEXstdDataEmph 3 3 2 2" xfId="3226"/>
    <cellStyle name="SAPBEXstdDataEmph 3 3 3" xfId="1714"/>
    <cellStyle name="SAPBEXstdDataEmph 3 3 3 2" xfId="3387"/>
    <cellStyle name="SAPBEXstdDataEmph 3 3 4" xfId="1938"/>
    <cellStyle name="SAPBEXstdDataEmph 3 3 4 2" xfId="3592"/>
    <cellStyle name="SAPBEXstdDataEmph 3 3 5" xfId="2155"/>
    <cellStyle name="SAPBEXstdDataEmph 3 3 5 2" xfId="3793"/>
    <cellStyle name="SAPBEXstdDataEmph 3 3 6" xfId="2368"/>
    <cellStyle name="SAPBEXstdDataEmph 3 3 6 2" xfId="3993"/>
    <cellStyle name="SAPBEXstdDataEmph 3 3 7" xfId="2573"/>
    <cellStyle name="SAPBEXstdDataEmph 3 3 8" xfId="2869"/>
    <cellStyle name="SAPBEXstdDataEmph 3 4" xfId="1058"/>
    <cellStyle name="SAPBEXstdDataEmph 3 4 2" xfId="1619"/>
    <cellStyle name="SAPBEXstdDataEmph 3 4 2 2" xfId="3300"/>
    <cellStyle name="SAPBEXstdDataEmph 3 4 3" xfId="1798"/>
    <cellStyle name="SAPBEXstdDataEmph 3 4 3 2" xfId="3469"/>
    <cellStyle name="SAPBEXstdDataEmph 3 4 4" xfId="2021"/>
    <cellStyle name="SAPBEXstdDataEmph 3 4 4 2" xfId="3673"/>
    <cellStyle name="SAPBEXstdDataEmph 3 4 5" xfId="2237"/>
    <cellStyle name="SAPBEXstdDataEmph 3 4 5 2" xfId="3875"/>
    <cellStyle name="SAPBEXstdDataEmph 3 4 6" xfId="2449"/>
    <cellStyle name="SAPBEXstdDataEmph 3 4 6 2" xfId="4074"/>
    <cellStyle name="SAPBEXstdDataEmph 3 4 7" xfId="2653"/>
    <cellStyle name="SAPBEXstdDataEmph 3 4 8" xfId="2950"/>
    <cellStyle name="SAPBEXstdDataEmph 3 5" xfId="1457"/>
    <cellStyle name="SAPBEXstdDataEmph 3 5 2" xfId="3166"/>
    <cellStyle name="SAPBEXstdDataEmph 3 6" xfId="1103"/>
    <cellStyle name="SAPBEXstdDataEmph 3 6 2" xfId="2991"/>
    <cellStyle name="SAPBEXstdDataEmph 3 7" xfId="1838"/>
    <cellStyle name="SAPBEXstdDataEmph 3 7 2" xfId="3503"/>
    <cellStyle name="SAPBEXstdDataEmph 3 8" xfId="2055"/>
    <cellStyle name="SAPBEXstdDataEmph 3 8 2" xfId="3704"/>
    <cellStyle name="SAPBEXstdDataEmph 3 9" xfId="2272"/>
    <cellStyle name="SAPBEXstdDataEmph 3 9 2" xfId="3906"/>
    <cellStyle name="SAPBEXstdDataEmph 4" xfId="907"/>
    <cellStyle name="SAPBEXstdDataEmph 4 2" xfId="1657"/>
    <cellStyle name="SAPBEXstdDataEmph 4 2 2" xfId="3333"/>
    <cellStyle name="SAPBEXstdDataEmph 4 3" xfId="1884"/>
    <cellStyle name="SAPBEXstdDataEmph 4 3 2" xfId="3538"/>
    <cellStyle name="SAPBEXstdDataEmph 4 4" xfId="2102"/>
    <cellStyle name="SAPBEXstdDataEmph 4 4 2" xfId="3740"/>
    <cellStyle name="SAPBEXstdDataEmph 4 5" xfId="2315"/>
    <cellStyle name="SAPBEXstdDataEmph 4 5 2" xfId="3940"/>
    <cellStyle name="SAPBEXstdDataEmph 4 6" xfId="2520"/>
    <cellStyle name="SAPBEXstdDataEmph 4 6 2" xfId="4134"/>
    <cellStyle name="SAPBEXstdDataEmph 4 7" xfId="2816"/>
    <cellStyle name="SAPBEXstdDataEmph 5" xfId="987"/>
    <cellStyle name="SAPBEXstdDataEmph 5 2" xfId="1558"/>
    <cellStyle name="SAPBEXstdDataEmph 5 2 2" xfId="3241"/>
    <cellStyle name="SAPBEXstdDataEmph 5 3" xfId="1729"/>
    <cellStyle name="SAPBEXstdDataEmph 5 3 2" xfId="3400"/>
    <cellStyle name="SAPBEXstdDataEmph 5 4" xfId="1953"/>
    <cellStyle name="SAPBEXstdDataEmph 5 4 2" xfId="3605"/>
    <cellStyle name="SAPBEXstdDataEmph 5 5" xfId="2169"/>
    <cellStyle name="SAPBEXstdDataEmph 5 5 2" xfId="3807"/>
    <cellStyle name="SAPBEXstdDataEmph 5 6" xfId="2381"/>
    <cellStyle name="SAPBEXstdDataEmph 5 6 2" xfId="4006"/>
    <cellStyle name="SAPBEXstdDataEmph 5 7" xfId="2586"/>
    <cellStyle name="SAPBEXstdDataEmph 5 8" xfId="2883"/>
    <cellStyle name="SAPBEXstdDataEmph 6" xfId="1434"/>
    <cellStyle name="SAPBEXstdDataEmph 6 2" xfId="3147"/>
    <cellStyle name="SAPBEXstdDataEmph 7" xfId="1272"/>
    <cellStyle name="SAPBEXstdDataEmph 7 2" xfId="3087"/>
    <cellStyle name="SAPBEXstdDataEmph 8" xfId="1387"/>
    <cellStyle name="SAPBEXstdDataEmph 8 2" xfId="3117"/>
    <cellStyle name="SAPBEXstdDataEmph 9" xfId="1288"/>
    <cellStyle name="SAPBEXstdDataEmph 9 2" xfId="3090"/>
    <cellStyle name="SAPBEXstdDataEmph_Sch-3" xfId="837"/>
    <cellStyle name="SAPBEXstdItem" xfId="262"/>
    <cellStyle name="SAPBEXstdItem 2" xfId="906"/>
    <cellStyle name="SAPBEXstdItem 2 2" xfId="1656"/>
    <cellStyle name="SAPBEXstdItem 2 2 2" xfId="3332"/>
    <cellStyle name="SAPBEXstdItem 2 3" xfId="1883"/>
    <cellStyle name="SAPBEXstdItem 2 3 2" xfId="3537"/>
    <cellStyle name="SAPBEXstdItem 2 4" xfId="2101"/>
    <cellStyle name="SAPBEXstdItem 2 4 2" xfId="3739"/>
    <cellStyle name="SAPBEXstdItem 2 5" xfId="2314"/>
    <cellStyle name="SAPBEXstdItem 2 5 2" xfId="3939"/>
    <cellStyle name="SAPBEXstdItem 2 6" xfId="2519"/>
    <cellStyle name="SAPBEXstdItem 2 6 2" xfId="4133"/>
    <cellStyle name="SAPBEXstdItem 2 7" xfId="2815"/>
    <cellStyle name="SAPBEXstdItem 3" xfId="988"/>
    <cellStyle name="SAPBEXstdItem 3 2" xfId="1559"/>
    <cellStyle name="SAPBEXstdItem 3 2 2" xfId="3242"/>
    <cellStyle name="SAPBEXstdItem 3 3" xfId="1730"/>
    <cellStyle name="SAPBEXstdItem 3 3 2" xfId="3401"/>
    <cellStyle name="SAPBEXstdItem 3 4" xfId="1954"/>
    <cellStyle name="SAPBEXstdItem 3 4 2" xfId="3606"/>
    <cellStyle name="SAPBEXstdItem 3 5" xfId="2170"/>
    <cellStyle name="SAPBEXstdItem 3 5 2" xfId="3808"/>
    <cellStyle name="SAPBEXstdItem 3 6" xfId="2382"/>
    <cellStyle name="SAPBEXstdItem 3 6 2" xfId="4007"/>
    <cellStyle name="SAPBEXstdItem 3 7" xfId="2587"/>
    <cellStyle name="SAPBEXstdItem 3 8" xfId="2884"/>
    <cellStyle name="SAPBEXstdItem 4" xfId="1433"/>
    <cellStyle name="SAPBEXstdItem 4 2" xfId="3146"/>
    <cellStyle name="SAPBEXstdItem 5" xfId="1451"/>
    <cellStyle name="SAPBEXstdItem 5 2" xfId="3162"/>
    <cellStyle name="SAPBEXstdItem 6" xfId="1386"/>
    <cellStyle name="SAPBEXstdItem 6 2" xfId="3116"/>
    <cellStyle name="SAPBEXstdItem 7" xfId="1289"/>
    <cellStyle name="SAPBEXstdItem 7 2" xfId="3091"/>
    <cellStyle name="SAPBEXstdItem 8" xfId="1359"/>
    <cellStyle name="SAPBEXstdItem 8 2" xfId="3100"/>
    <cellStyle name="SAPBEXstdItem 9" xfId="2767"/>
    <cellStyle name="SAPBEXstdItemX" xfId="263"/>
    <cellStyle name="SAPBEXstdItemX 2" xfId="905"/>
    <cellStyle name="SAPBEXstdItemX 2 2" xfId="1655"/>
    <cellStyle name="SAPBEXstdItemX 2 2 2" xfId="3331"/>
    <cellStyle name="SAPBEXstdItemX 2 3" xfId="1882"/>
    <cellStyle name="SAPBEXstdItemX 2 3 2" xfId="3536"/>
    <cellStyle name="SAPBEXstdItemX 2 4" xfId="2100"/>
    <cellStyle name="SAPBEXstdItemX 2 4 2" xfId="3738"/>
    <cellStyle name="SAPBEXstdItemX 2 5" xfId="2313"/>
    <cellStyle name="SAPBEXstdItemX 2 5 2" xfId="3938"/>
    <cellStyle name="SAPBEXstdItemX 2 6" xfId="2518"/>
    <cellStyle name="SAPBEXstdItemX 2 6 2" xfId="4132"/>
    <cellStyle name="SAPBEXstdItemX 2 7" xfId="2814"/>
    <cellStyle name="SAPBEXstdItemX 3" xfId="944"/>
    <cellStyle name="SAPBEXstdItemX 3 2" xfId="1523"/>
    <cellStyle name="SAPBEXstdItemX 3 2 2" xfId="3208"/>
    <cellStyle name="SAPBEXstdItemX 3 3" xfId="1694"/>
    <cellStyle name="SAPBEXstdItemX 3 3 2" xfId="3370"/>
    <cellStyle name="SAPBEXstdItemX 3 4" xfId="1921"/>
    <cellStyle name="SAPBEXstdItemX 3 4 2" xfId="3575"/>
    <cellStyle name="SAPBEXstdItemX 3 5" xfId="2139"/>
    <cellStyle name="SAPBEXstdItemX 3 5 2" xfId="3777"/>
    <cellStyle name="SAPBEXstdItemX 3 6" xfId="2352"/>
    <cellStyle name="SAPBEXstdItemX 3 6 2" xfId="3977"/>
    <cellStyle name="SAPBEXstdItemX 3 7" xfId="2557"/>
    <cellStyle name="SAPBEXstdItemX 3 8" xfId="2853"/>
    <cellStyle name="SAPBEXstdItemX 4" xfId="1432"/>
    <cellStyle name="SAPBEXstdItemX 4 2" xfId="3145"/>
    <cellStyle name="SAPBEXstdItemX 5" xfId="1496"/>
    <cellStyle name="SAPBEXstdItemX 5 2" xfId="3196"/>
    <cellStyle name="SAPBEXstdItemX 6" xfId="1143"/>
    <cellStyle name="SAPBEXstdItemX 6 2" xfId="3015"/>
    <cellStyle name="SAPBEXstdItemX 7" xfId="1290"/>
    <cellStyle name="SAPBEXstdItemX 7 2" xfId="3092"/>
    <cellStyle name="SAPBEXstdItemX 8" xfId="1358"/>
    <cellStyle name="SAPBEXstdItemX 8 2" xfId="3099"/>
    <cellStyle name="SAPBEXstdItemX 9" xfId="2768"/>
    <cellStyle name="SAPBEXtitle" xfId="264"/>
    <cellStyle name="SAPBEXundefined" xfId="265"/>
    <cellStyle name="SAPBEXundefined 10" xfId="1357"/>
    <cellStyle name="SAPBEXundefined 10 2" xfId="3098"/>
    <cellStyle name="SAPBEXundefined 11" xfId="2769"/>
    <cellStyle name="SAPBEXundefined 2" xfId="852"/>
    <cellStyle name="SAPBEXundefined 2 10" xfId="2493"/>
    <cellStyle name="SAPBEXundefined 2 10 2" xfId="4116"/>
    <cellStyle name="SAPBEXundefined 2 11" xfId="2796"/>
    <cellStyle name="SAPBEXundefined 2 2" xfId="1018"/>
    <cellStyle name="SAPBEXundefined 2 2 2" xfId="1584"/>
    <cellStyle name="SAPBEXundefined 2 2 2 2" xfId="3267"/>
    <cellStyle name="SAPBEXundefined 2 2 3" xfId="1758"/>
    <cellStyle name="SAPBEXundefined 2 2 3 2" xfId="3429"/>
    <cellStyle name="SAPBEXundefined 2 2 4" xfId="1981"/>
    <cellStyle name="SAPBEXundefined 2 2 4 2" xfId="3633"/>
    <cellStyle name="SAPBEXundefined 2 2 5" xfId="2197"/>
    <cellStyle name="SAPBEXundefined 2 2 5 2" xfId="3835"/>
    <cellStyle name="SAPBEXundefined 2 2 6" xfId="2409"/>
    <cellStyle name="SAPBEXundefined 2 2 6 2" xfId="4034"/>
    <cellStyle name="SAPBEXundefined 2 2 7" xfId="2613"/>
    <cellStyle name="SAPBEXundefined 2 2 7 2" xfId="4179"/>
    <cellStyle name="SAPBEXundefined 2 2 8" xfId="2910"/>
    <cellStyle name="SAPBEXundefined 2 3" xfId="1038"/>
    <cellStyle name="SAPBEXundefined 2 3 2" xfId="1600"/>
    <cellStyle name="SAPBEXundefined 2 3 2 2" xfId="3282"/>
    <cellStyle name="SAPBEXundefined 2 3 3" xfId="1778"/>
    <cellStyle name="SAPBEXundefined 2 3 3 2" xfId="3449"/>
    <cellStyle name="SAPBEXundefined 2 3 4" xfId="2001"/>
    <cellStyle name="SAPBEXundefined 2 3 4 2" xfId="3653"/>
    <cellStyle name="SAPBEXundefined 2 3 5" xfId="2217"/>
    <cellStyle name="SAPBEXundefined 2 3 5 2" xfId="3855"/>
    <cellStyle name="SAPBEXundefined 2 3 6" xfId="2429"/>
    <cellStyle name="SAPBEXundefined 2 3 6 2" xfId="4054"/>
    <cellStyle name="SAPBEXundefined 2 3 7" xfId="2633"/>
    <cellStyle name="SAPBEXundefined 2 3 8" xfId="2930"/>
    <cellStyle name="SAPBEXundefined 2 4" xfId="1070"/>
    <cellStyle name="SAPBEXundefined 2 4 2" xfId="1631"/>
    <cellStyle name="SAPBEXundefined 2 4 2 2" xfId="3312"/>
    <cellStyle name="SAPBEXundefined 2 4 3" xfId="1810"/>
    <cellStyle name="SAPBEXundefined 2 4 3 2" xfId="3481"/>
    <cellStyle name="SAPBEXundefined 2 4 4" xfId="2033"/>
    <cellStyle name="SAPBEXundefined 2 4 4 2" xfId="3685"/>
    <cellStyle name="SAPBEXundefined 2 4 5" xfId="2249"/>
    <cellStyle name="SAPBEXundefined 2 4 5 2" xfId="3887"/>
    <cellStyle name="SAPBEXundefined 2 4 6" xfId="2461"/>
    <cellStyle name="SAPBEXundefined 2 4 6 2" xfId="4086"/>
    <cellStyle name="SAPBEXundefined 2 4 7" xfId="2665"/>
    <cellStyle name="SAPBEXundefined 2 4 8" xfId="2962"/>
    <cellStyle name="SAPBEXundefined 2 5" xfId="1467"/>
    <cellStyle name="SAPBEXundefined 2 5 2" xfId="3175"/>
    <cellStyle name="SAPBEXundefined 2 6" xfId="1096"/>
    <cellStyle name="SAPBEXundefined 2 6 2" xfId="2985"/>
    <cellStyle name="SAPBEXundefined 2 7" xfId="1851"/>
    <cellStyle name="SAPBEXundefined 2 7 2" xfId="3515"/>
    <cellStyle name="SAPBEXundefined 2 8" xfId="2068"/>
    <cellStyle name="SAPBEXundefined 2 8 2" xfId="3716"/>
    <cellStyle name="SAPBEXundefined 2 9" xfId="2284"/>
    <cellStyle name="SAPBEXundefined 2 9 2" xfId="3918"/>
    <cellStyle name="SAPBEXundefined 3" xfId="866"/>
    <cellStyle name="SAPBEXundefined 3 10" xfId="2500"/>
    <cellStyle name="SAPBEXundefined 3 10 2" xfId="4121"/>
    <cellStyle name="SAPBEXundefined 3 11" xfId="2801"/>
    <cellStyle name="SAPBEXundefined 3 2" xfId="1024"/>
    <cellStyle name="SAPBEXundefined 3 2 2" xfId="1588"/>
    <cellStyle name="SAPBEXundefined 3 2 2 2" xfId="3271"/>
    <cellStyle name="SAPBEXundefined 3 2 3" xfId="1764"/>
    <cellStyle name="SAPBEXundefined 3 2 3 2" xfId="3435"/>
    <cellStyle name="SAPBEXundefined 3 2 4" xfId="1987"/>
    <cellStyle name="SAPBEXundefined 3 2 4 2" xfId="3639"/>
    <cellStyle name="SAPBEXundefined 3 2 5" xfId="2203"/>
    <cellStyle name="SAPBEXundefined 3 2 5 2" xfId="3841"/>
    <cellStyle name="SAPBEXundefined 3 2 6" xfId="2415"/>
    <cellStyle name="SAPBEXundefined 3 2 6 2" xfId="4040"/>
    <cellStyle name="SAPBEXundefined 3 2 7" xfId="2619"/>
    <cellStyle name="SAPBEXundefined 3 2 7 2" xfId="4185"/>
    <cellStyle name="SAPBEXundefined 3 2 8" xfId="2916"/>
    <cellStyle name="SAPBEXundefined 3 3" xfId="1044"/>
    <cellStyle name="SAPBEXundefined 3 3 2" xfId="1606"/>
    <cellStyle name="SAPBEXundefined 3 3 2 2" xfId="3288"/>
    <cellStyle name="SAPBEXundefined 3 3 3" xfId="1784"/>
    <cellStyle name="SAPBEXundefined 3 3 3 2" xfId="3455"/>
    <cellStyle name="SAPBEXundefined 3 3 4" xfId="2007"/>
    <cellStyle name="SAPBEXundefined 3 3 4 2" xfId="3659"/>
    <cellStyle name="SAPBEXundefined 3 3 5" xfId="2223"/>
    <cellStyle name="SAPBEXundefined 3 3 5 2" xfId="3861"/>
    <cellStyle name="SAPBEXundefined 3 3 6" xfId="2435"/>
    <cellStyle name="SAPBEXundefined 3 3 6 2" xfId="4060"/>
    <cellStyle name="SAPBEXundefined 3 3 7" xfId="2639"/>
    <cellStyle name="SAPBEXundefined 3 3 8" xfId="2936"/>
    <cellStyle name="SAPBEXundefined 3 4" xfId="1075"/>
    <cellStyle name="SAPBEXundefined 3 4 2" xfId="1636"/>
    <cellStyle name="SAPBEXundefined 3 4 2 2" xfId="3317"/>
    <cellStyle name="SAPBEXundefined 3 4 3" xfId="1815"/>
    <cellStyle name="SAPBEXundefined 3 4 3 2" xfId="3486"/>
    <cellStyle name="SAPBEXundefined 3 4 4" xfId="2038"/>
    <cellStyle name="SAPBEXundefined 3 4 4 2" xfId="3690"/>
    <cellStyle name="SAPBEXundefined 3 4 5" xfId="2254"/>
    <cellStyle name="SAPBEXundefined 3 4 5 2" xfId="3892"/>
    <cellStyle name="SAPBEXundefined 3 4 6" xfId="2466"/>
    <cellStyle name="SAPBEXundefined 3 4 6 2" xfId="4091"/>
    <cellStyle name="SAPBEXundefined 3 4 7" xfId="2670"/>
    <cellStyle name="SAPBEXundefined 3 4 8" xfId="2967"/>
    <cellStyle name="SAPBEXundefined 3 5" xfId="1479"/>
    <cellStyle name="SAPBEXundefined 3 5 2" xfId="3183"/>
    <cellStyle name="SAPBEXundefined 3 6" xfId="1087"/>
    <cellStyle name="SAPBEXundefined 3 6 2" xfId="2979"/>
    <cellStyle name="SAPBEXundefined 3 7" xfId="1859"/>
    <cellStyle name="SAPBEXundefined 3 7 2" xfId="3520"/>
    <cellStyle name="SAPBEXundefined 3 8" xfId="2076"/>
    <cellStyle name="SAPBEXundefined 3 8 2" xfId="3721"/>
    <cellStyle name="SAPBEXundefined 3 9" xfId="2292"/>
    <cellStyle name="SAPBEXundefined 3 9 2" xfId="3923"/>
    <cellStyle name="SAPBEXundefined 4" xfId="904"/>
    <cellStyle name="SAPBEXundefined 4 2" xfId="1654"/>
    <cellStyle name="SAPBEXundefined 4 2 2" xfId="3330"/>
    <cellStyle name="SAPBEXundefined 4 3" xfId="1881"/>
    <cellStyle name="SAPBEXundefined 4 3 2" xfId="3535"/>
    <cellStyle name="SAPBEXundefined 4 4" xfId="2099"/>
    <cellStyle name="SAPBEXundefined 4 4 2" xfId="3737"/>
    <cellStyle name="SAPBEXundefined 4 5" xfId="2312"/>
    <cellStyle name="SAPBEXundefined 4 5 2" xfId="3937"/>
    <cellStyle name="SAPBEXundefined 4 6" xfId="2517"/>
    <cellStyle name="SAPBEXundefined 4 6 2" xfId="4131"/>
    <cellStyle name="SAPBEXundefined 4 7" xfId="2813"/>
    <cellStyle name="SAPBEXundefined 5" xfId="989"/>
    <cellStyle name="SAPBEXundefined 5 2" xfId="1560"/>
    <cellStyle name="SAPBEXundefined 5 2 2" xfId="3243"/>
    <cellStyle name="SAPBEXundefined 5 3" xfId="1731"/>
    <cellStyle name="SAPBEXundefined 5 3 2" xfId="3402"/>
    <cellStyle name="SAPBEXundefined 5 4" xfId="1955"/>
    <cellStyle name="SAPBEXundefined 5 4 2" xfId="3607"/>
    <cellStyle name="SAPBEXundefined 5 5" xfId="2171"/>
    <cellStyle name="SAPBEXundefined 5 5 2" xfId="3809"/>
    <cellStyle name="SAPBEXundefined 5 6" xfId="2383"/>
    <cellStyle name="SAPBEXundefined 5 6 2" xfId="4008"/>
    <cellStyle name="SAPBEXundefined 5 7" xfId="2588"/>
    <cellStyle name="SAPBEXundefined 5 8" xfId="2885"/>
    <cellStyle name="SAPBEXundefined 6" xfId="1431"/>
    <cellStyle name="SAPBEXundefined 6 2" xfId="3144"/>
    <cellStyle name="SAPBEXundefined 7" xfId="1490"/>
    <cellStyle name="SAPBEXundefined 7 2" xfId="3192"/>
    <cellStyle name="SAPBEXundefined 8" xfId="1382"/>
    <cellStyle name="SAPBEXundefined 8 2" xfId="3114"/>
    <cellStyle name="SAPBEXundefined 9" xfId="1291"/>
    <cellStyle name="SAPBEXundefined 9 2" xfId="3093"/>
    <cellStyle name="SAPBEXundefined_Sch-3" xfId="838"/>
    <cellStyle name="SDEntry" xfId="266"/>
    <cellStyle name="SDHeader" xfId="267"/>
    <cellStyle name="SECategory" xfId="268"/>
    <cellStyle name="SEEntry" xfId="269"/>
    <cellStyle name="SEFormula" xfId="270"/>
    <cellStyle name="SEHeader" xfId="271"/>
    <cellStyle name="SELocked" xfId="272"/>
    <cellStyle name="SEPEntry" xfId="273"/>
    <cellStyle name="SPEntry" xfId="274"/>
    <cellStyle name="SPFormula" xfId="275"/>
    <cellStyle name="SPHeader" xfId="276"/>
    <cellStyle name="SPLocked" xfId="277"/>
    <cellStyle name="SRHeader" xfId="278"/>
    <cellStyle name="Standard_Balance Sheet" xfId="279"/>
    <cellStyle name="Style 1" xfId="16"/>
    <cellStyle name="Style 1 2" xfId="280"/>
    <cellStyle name="Style 1 3" xfId="1185"/>
    <cellStyle name="Style 1 4" xfId="1614"/>
    <cellStyle name="Style 1 5" xfId="1277"/>
    <cellStyle name="Style 1 6" xfId="1718"/>
    <cellStyle name="Style 1 7" xfId="1220"/>
    <cellStyle name="Style 1 8" xfId="1704"/>
    <cellStyle name="Style 1 9" xfId="2682"/>
    <cellStyle name="subhead" xfId="281"/>
    <cellStyle name="Subtotal" xfId="282"/>
    <cellStyle name="Text Indent A" xfId="283"/>
    <cellStyle name="Text Indent B" xfId="284"/>
    <cellStyle name="Text Indent C" xfId="285"/>
    <cellStyle name="þ_x001d_ð¤_x000c_¯þ_x0014__x000d_¨þU_x0001_À_x0004_ _x0015__x000f__x0001__x0001_" xfId="286"/>
    <cellStyle name="þ_x001d_ðK_x000c_Fý_x001b__x000d_9ýU_x0001_Ð_x0008_¦)_x0007__x0001__x0001_" xfId="287"/>
    <cellStyle name="Title 2" xfId="820"/>
    <cellStyle name="Total 2" xfId="821"/>
    <cellStyle name="Total 2 2" xfId="931"/>
    <cellStyle name="Total 2 2 2" xfId="1681"/>
    <cellStyle name="Total 2 2 2 2" xfId="3357"/>
    <cellStyle name="Total 2 2 3" xfId="1908"/>
    <cellStyle name="Total 2 2 3 2" xfId="3562"/>
    <cellStyle name="Total 2 2 4" xfId="2126"/>
    <cellStyle name="Total 2 2 4 2" xfId="3764"/>
    <cellStyle name="Total 2 2 5" xfId="2339"/>
    <cellStyle name="Total 2 2 5 2" xfId="3964"/>
    <cellStyle name="Total 2 2 6" xfId="2544"/>
    <cellStyle name="Total 2 2 6 2" xfId="4157"/>
    <cellStyle name="Total 2 2 7" xfId="2840"/>
    <cellStyle name="Total 2 3" xfId="953"/>
    <cellStyle name="Total 2 3 2" xfId="1532"/>
    <cellStyle name="Total 2 3 2 2" xfId="3217"/>
    <cellStyle name="Total 2 3 3" xfId="1703"/>
    <cellStyle name="Total 2 3 3 2" xfId="3379"/>
    <cellStyle name="Total 2 3 4" xfId="1930"/>
    <cellStyle name="Total 2 3 4 2" xfId="3584"/>
    <cellStyle name="Total 2 3 5" xfId="2148"/>
    <cellStyle name="Total 2 3 5 2" xfId="3786"/>
    <cellStyle name="Total 2 3 6" xfId="2361"/>
    <cellStyle name="Total 2 3 6 2" xfId="3986"/>
    <cellStyle name="Total 2 3 7" xfId="2566"/>
    <cellStyle name="Total 2 3 8" xfId="2862"/>
    <cellStyle name="Total 2 4" xfId="1229"/>
    <cellStyle name="Total 2 4 2" xfId="3060"/>
    <cellStyle name="Total 2 5" xfId="1834"/>
    <cellStyle name="Total 2 5 2" xfId="3500"/>
    <cellStyle name="Total 2 6" xfId="2052"/>
    <cellStyle name="Total 2 6 2" xfId="3702"/>
    <cellStyle name="Total 2 7" xfId="2269"/>
    <cellStyle name="Total 2 7 2" xfId="3904"/>
    <cellStyle name="Total 2 8" xfId="2479"/>
    <cellStyle name="Total 2 8 2" xfId="4102"/>
    <cellStyle name="Total 2 9" xfId="2782"/>
    <cellStyle name="Virgulă_Buget 2006 draft 4.1 modificat 27 Noiembrie,concil Cami. xls" xfId="288"/>
    <cellStyle name="Vírgula_Global P&amp;L" xfId="289"/>
    <cellStyle name="Virgulă_MIS format 2006" xfId="290"/>
    <cellStyle name="VN new romanNormal" xfId="291"/>
    <cellStyle name="VN time new roman" xfId="292"/>
    <cellStyle name="vnbo" xfId="293"/>
    <cellStyle name="vnbo 2" xfId="972"/>
    <cellStyle name="vnbo 2 2" xfId="1547"/>
    <cellStyle name="vnbo 2 2 2" xfId="3231"/>
    <cellStyle name="vnbo 2 3" xfId="1719"/>
    <cellStyle name="vnbo 2 3 2" xfId="3391"/>
    <cellStyle name="vnbo 2 4" xfId="1942"/>
    <cellStyle name="vnbo 2 4 2" xfId="3596"/>
    <cellStyle name="vnbo 2 5" xfId="2159"/>
    <cellStyle name="vnbo 2 5 2" xfId="3797"/>
    <cellStyle name="vnbo 2 6" xfId="2372"/>
    <cellStyle name="vnbo 2 6 2" xfId="3997"/>
    <cellStyle name="vnbo 2 7" xfId="2577"/>
    <cellStyle name="vnbo 2 8" xfId="2873"/>
    <cellStyle name="vnbo 3" xfId="1424"/>
    <cellStyle name="vnbo 3 2" xfId="3139"/>
    <cellStyle name="vnbo 4" xfId="1118"/>
    <cellStyle name="vnbo 4 2" xfId="2998"/>
    <cellStyle name="vnbo 5" xfId="1181"/>
    <cellStyle name="vnbo 5 2" xfId="3038"/>
    <cellStyle name="vnbo 6" xfId="1150"/>
    <cellStyle name="vnbo 6 2" xfId="3018"/>
    <cellStyle name="vnbo 7" xfId="1497"/>
    <cellStyle name="vnbo 7 2" xfId="3197"/>
    <cellStyle name="vnbo 8" xfId="2770"/>
    <cellStyle name="vnhead1" xfId="294"/>
    <cellStyle name="vnhead2" xfId="295"/>
    <cellStyle name="vnhead2 2" xfId="970"/>
    <cellStyle name="vnhead2 2 2" xfId="1545"/>
    <cellStyle name="vnhead2 2 2 2" xfId="3229"/>
    <cellStyle name="vnhead2 2 3" xfId="1717"/>
    <cellStyle name="vnhead2 2 3 2" xfId="3390"/>
    <cellStyle name="vnhead2 2 4" xfId="1941"/>
    <cellStyle name="vnhead2 2 4 2" xfId="3595"/>
    <cellStyle name="vnhead2 2 5" xfId="2158"/>
    <cellStyle name="vnhead2 2 5 2" xfId="3796"/>
    <cellStyle name="vnhead2 2 6" xfId="2371"/>
    <cellStyle name="vnhead2 2 6 2" xfId="3996"/>
    <cellStyle name="vnhead2 2 7" xfId="2576"/>
    <cellStyle name="vnhead2 2 8" xfId="2872"/>
    <cellStyle name="vnhead2 3" xfId="1422"/>
    <cellStyle name="vnhead2 3 2" xfId="3137"/>
    <cellStyle name="vnhead2 4" xfId="1120"/>
    <cellStyle name="vnhead2 4 2" xfId="3000"/>
    <cellStyle name="vnhead2 5" xfId="1180"/>
    <cellStyle name="vnhead2 5 2" xfId="3037"/>
    <cellStyle name="vnhead2 6" xfId="1514"/>
    <cellStyle name="vnhead2 6 2" xfId="3201"/>
    <cellStyle name="vnhead2 7" xfId="1249"/>
    <cellStyle name="vnhead2 7 2" xfId="3066"/>
    <cellStyle name="vnhead2 8" xfId="2771"/>
    <cellStyle name="vnhead3" xfId="296"/>
    <cellStyle name="vnhead3 2" xfId="946"/>
    <cellStyle name="vnhead3 2 2" xfId="1525"/>
    <cellStyle name="vnhead3 2 2 2" xfId="3210"/>
    <cellStyle name="vnhead3 2 3" xfId="1696"/>
    <cellStyle name="vnhead3 2 3 2" xfId="3372"/>
    <cellStyle name="vnhead3 2 4" xfId="1923"/>
    <cellStyle name="vnhead3 2 4 2" xfId="3577"/>
    <cellStyle name="vnhead3 2 5" xfId="2141"/>
    <cellStyle name="vnhead3 2 5 2" xfId="3779"/>
    <cellStyle name="vnhead3 2 6" xfId="2354"/>
    <cellStyle name="vnhead3 2 6 2" xfId="3979"/>
    <cellStyle name="vnhead3 2 7" xfId="2559"/>
    <cellStyle name="vnhead3 2 8" xfId="2855"/>
    <cellStyle name="vnhead3 3" xfId="1421"/>
    <cellStyle name="vnhead3 3 2" xfId="3136"/>
    <cellStyle name="vnhead3 4" xfId="1121"/>
    <cellStyle name="vnhead3 4 2" xfId="3001"/>
    <cellStyle name="vnhead3 5" xfId="1380"/>
    <cellStyle name="vnhead3 5 2" xfId="3112"/>
    <cellStyle name="vnhead3 6" xfId="1168"/>
    <cellStyle name="vnhead3 6 2" xfId="3034"/>
    <cellStyle name="vnhead3 7" xfId="1248"/>
    <cellStyle name="vnhead3 7 2" xfId="3065"/>
    <cellStyle name="vnhead3 8" xfId="2772"/>
    <cellStyle name="vnhead4" xfId="297"/>
    <cellStyle name="vntxt1" xfId="298"/>
    <cellStyle name="vntxt2" xfId="299"/>
    <cellStyle name="Warning Text 2" xfId="822"/>
    <cellStyle name="xuan" xfId="300"/>
    <cellStyle name="Обычный_05-11-04" xfId="301"/>
    <cellStyle name="Финансовый_01-03" xfId="302"/>
    <cellStyle name=" [0.00]_ Att. 1- Cover" xfId="334"/>
    <cellStyle name="_ Att. 1- Cover" xfId="335"/>
    <cellStyle name="?_ Att. 1- Cover" xfId="336"/>
    <cellStyle name="똿뗦먛귟 [0.00]_PRODUCT DETAIL Q1" xfId="303"/>
    <cellStyle name="똿뗦먛귟_PRODUCT DETAIL Q1" xfId="304"/>
    <cellStyle name="믅됞 [0.00]_PRODUCT DETAIL Q1" xfId="305"/>
    <cellStyle name="믅됞_PRODUCT DETAIL Q1" xfId="306"/>
    <cellStyle name="백분율_95" xfId="307"/>
    <cellStyle name="뷭?_BOOKSHIP" xfId="308"/>
    <cellStyle name="콤마 [ - 유형1" xfId="314"/>
    <cellStyle name="콤마 [ - 유형2" xfId="315"/>
    <cellStyle name="콤마 [ - 유형3" xfId="316"/>
    <cellStyle name="콤마 [ - 유형4" xfId="317"/>
    <cellStyle name="콤마 [ - 유형5" xfId="318"/>
    <cellStyle name="콤마 [ - 유형6" xfId="319"/>
    <cellStyle name="콤마 [ - 유형7" xfId="320"/>
    <cellStyle name="콤마 [ - 유형8" xfId="321"/>
    <cellStyle name="콤마 [0]_0004 MECH COST  " xfId="322"/>
    <cellStyle name="콤마_0004 MECH COST  " xfId="323"/>
    <cellStyle name="통화 [0]_1202" xfId="324"/>
    <cellStyle name="통화_1202" xfId="325"/>
    <cellStyle name="표준_(정보부문)월별인원계획" xfId="326"/>
    <cellStyle name="一般_00Q3902REV.1" xfId="309"/>
    <cellStyle name="千位分隔[0]_classfy" xfId="310"/>
    <cellStyle name="千位分隔_Book2" xfId="311"/>
    <cellStyle name="千分位[0]_00Q3902REV.1" xfId="312"/>
    <cellStyle name="千分位_00Q3902REV.1" xfId="313"/>
    <cellStyle name="常规_2005-04" xfId="327"/>
    <cellStyle name="桁区切り_工費" xfId="328"/>
    <cellStyle name="標準_工費" xfId="329"/>
    <cellStyle name="百分比_Lowexpiry0308" xfId="330"/>
    <cellStyle name="貨幣 [0]_00Q3902REV.1" xfId="331"/>
    <cellStyle name="貨幣[0]_BRE" xfId="332"/>
    <cellStyle name="貨幣_00Q3902REV.1" xfId="333"/>
  </cellStyles>
  <dxfs count="0"/>
  <tableStyles count="0" defaultTableStyle="TableStyleMedium9" defaultPivotStyle="PivotStyleLight16"/>
  <colors>
    <mruColors>
      <color rgb="FF00FF99"/>
      <color rgb="FF00FFFF"/>
      <color rgb="FF00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8.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6.xml"/><Relationship Id="rId80"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7.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5.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signments/BSPTCL/BSPTCL%2021-22/Audited%20Accounts/Annual%20Accounts%20FY%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signments/BSPTCL/BSPTCL%2021-22/Projects/Capitalisation%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pitalisation%20She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Office/1.%20Project/45.%20BSPTCL%2021-22/Data%20Received/Accounts%20Data/BSPTCL%20Finanical%20Prov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0Office/1.%20Project/45.%20BSPTCL%2021-22/Data%20Received/Accounts%20Data/Depreciation%20as%20per%20BER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ssignments/BSPTCL/BSPTCL%2021-22/Data%20Received/Accounts%20Data/BSPTCL%20Finanical%20Provio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0Office/1.%20Project/45.%20BSPTCL%2021-22/Annual%20Accounts%20FY%20201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0Office/1.%20Project/45.%20BSPTCL%2021-22/Data%20Received/Accounts%20Data/Data%20Formats%20expenditure%20BSPTC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0Office/1.%20Project/45.%20BSPTCL%2021-22/Data%20Received/P2%20Forma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amp;L"/>
      <sheetName val="CFS"/>
      <sheetName val="SCWC"/>
      <sheetName val="SOCIE"/>
      <sheetName val="PPE-2"/>
      <sheetName val="BS3-11"/>
      <sheetName val="BS12"/>
      <sheetName val="BS13-20"/>
      <sheetName val="P&amp;L21-22"/>
      <sheetName val="P&amp;L23-25"/>
      <sheetName val="Discl_1"/>
      <sheetName val="Disc_2-7"/>
      <sheetName val="Disc. 8(1)"/>
      <sheetName val="Disc. 8(2)"/>
      <sheetName val="Disc. 8(3)"/>
      <sheetName val="Disc. 8(4)"/>
      <sheetName val="Disc. 8(5)"/>
      <sheetName val="Dicl_9"/>
      <sheetName val="Disc_10-13"/>
      <sheetName val="DIsc_14-16"/>
      <sheetName val="Journal"/>
    </sheetNames>
    <sheetDataSet>
      <sheetData sheetId="0"/>
      <sheetData sheetId="1"/>
      <sheetData sheetId="2"/>
      <sheetData sheetId="3"/>
      <sheetData sheetId="4"/>
      <sheetData sheetId="5">
        <row r="13">
          <cell r="B13">
            <v>141500.54045290002</v>
          </cell>
          <cell r="C13">
            <v>3513.9766500000001</v>
          </cell>
          <cell r="D13">
            <v>0.44090000000000001</v>
          </cell>
          <cell r="E13">
            <v>20925.24711</v>
          </cell>
          <cell r="F13">
            <v>242239.8922949</v>
          </cell>
          <cell r="G13">
            <v>252132.22698209999</v>
          </cell>
          <cell r="H13">
            <v>0</v>
          </cell>
          <cell r="I13">
            <v>730.33320000000003</v>
          </cell>
          <cell r="J13">
            <v>155.1047312</v>
          </cell>
          <cell r="K13">
            <v>203.91529</v>
          </cell>
          <cell r="L13">
            <v>661401.67761110002</v>
          </cell>
        </row>
        <row r="14">
          <cell r="B14">
            <v>5475.9336199999998</v>
          </cell>
          <cell r="C14">
            <v>49.359319999999997</v>
          </cell>
          <cell r="D14">
            <v>0</v>
          </cell>
          <cell r="E14">
            <v>2769.3796238</v>
          </cell>
          <cell r="F14">
            <v>118209.0847139</v>
          </cell>
          <cell r="G14">
            <v>67865.765065</v>
          </cell>
          <cell r="H14">
            <v>0</v>
          </cell>
          <cell r="I14">
            <v>94.22878</v>
          </cell>
          <cell r="J14">
            <v>63.545980399999998</v>
          </cell>
          <cell r="K14">
            <v>73.510429999999999</v>
          </cell>
          <cell r="L14">
            <v>194600.80753309999</v>
          </cell>
        </row>
        <row r="15">
          <cell r="F15">
            <v>98.033550000000005</v>
          </cell>
          <cell r="G15">
            <v>1012.30654</v>
          </cell>
          <cell r="I15">
            <v>0.03</v>
          </cell>
          <cell r="K15">
            <v>0.53200000000000003</v>
          </cell>
        </row>
      </sheetData>
      <sheetData sheetId="6"/>
      <sheetData sheetId="7"/>
      <sheetData sheetId="8">
        <row r="55">
          <cell r="B55">
            <v>50000</v>
          </cell>
        </row>
        <row r="57">
          <cell r="B57">
            <v>46403.359629999999</v>
          </cell>
        </row>
      </sheetData>
      <sheetData sheetId="9">
        <row r="8">
          <cell r="B8">
            <v>45500.571459999999</v>
          </cell>
        </row>
        <row r="9">
          <cell r="B9">
            <v>53413.714330000003</v>
          </cell>
        </row>
        <row r="10">
          <cell r="B10">
            <v>1317.7141999999999</v>
          </cell>
        </row>
        <row r="21">
          <cell r="B21">
            <v>82.4913892</v>
          </cell>
        </row>
        <row r="22">
          <cell r="B22">
            <v>641.05212740000002</v>
          </cell>
        </row>
        <row r="23">
          <cell r="B23">
            <v>1952.29286</v>
          </cell>
        </row>
        <row r="34">
          <cell r="B34">
            <v>1.8599999999999998E-2</v>
          </cell>
        </row>
        <row r="35">
          <cell r="B35">
            <v>6511.4296139999997</v>
          </cell>
        </row>
        <row r="36">
          <cell r="B36">
            <v>0</v>
          </cell>
        </row>
        <row r="40">
          <cell r="B40">
            <v>553.36189000000002</v>
          </cell>
        </row>
        <row r="41">
          <cell r="B41">
            <v>80.328889199999992</v>
          </cell>
        </row>
        <row r="42">
          <cell r="B42">
            <v>9.6999999999999993</v>
          </cell>
        </row>
        <row r="43">
          <cell r="B43">
            <v>0</v>
          </cell>
        </row>
      </sheetData>
      <sheetData sheetId="10">
        <row r="7">
          <cell r="B7">
            <v>12718.77261</v>
          </cell>
        </row>
        <row r="8">
          <cell r="B8">
            <v>262.80419999999998</v>
          </cell>
        </row>
        <row r="9">
          <cell r="B9">
            <v>1821.75926</v>
          </cell>
        </row>
        <row r="10">
          <cell r="B10">
            <v>1934.7882999999999</v>
          </cell>
        </row>
        <row r="11">
          <cell r="B11">
            <v>61.609520000000003</v>
          </cell>
        </row>
        <row r="12">
          <cell r="B12">
            <v>32.925330000000002</v>
          </cell>
        </row>
        <row r="13">
          <cell r="B13">
            <v>6779.86823</v>
          </cell>
        </row>
        <row r="41">
          <cell r="B41">
            <v>2222.7952448000001</v>
          </cell>
        </row>
        <row r="42">
          <cell r="B42">
            <v>179.30519000000001</v>
          </cell>
        </row>
        <row r="43">
          <cell r="B43">
            <v>255.63096999999999</v>
          </cell>
        </row>
        <row r="44">
          <cell r="B44">
            <v>0</v>
          </cell>
        </row>
        <row r="45">
          <cell r="B45">
            <v>588.86194560000001</v>
          </cell>
        </row>
        <row r="46">
          <cell r="B46">
            <v>6.2759999999999996E-2</v>
          </cell>
        </row>
        <row r="47">
          <cell r="B47">
            <v>0.16019</v>
          </cell>
        </row>
        <row r="48">
          <cell r="B48">
            <v>13.187720000000001</v>
          </cell>
        </row>
        <row r="56">
          <cell r="B56">
            <v>201.19970000000001</v>
          </cell>
        </row>
        <row r="57">
          <cell r="B57">
            <v>976.49248</v>
          </cell>
        </row>
        <row r="58">
          <cell r="B58">
            <v>48.404475999999995</v>
          </cell>
        </row>
        <row r="59">
          <cell r="B59">
            <v>47.815550000000002</v>
          </cell>
        </row>
        <row r="60">
          <cell r="B60">
            <v>3.601</v>
          </cell>
        </row>
        <row r="61">
          <cell r="B61">
            <v>112.8334534</v>
          </cell>
        </row>
        <row r="62">
          <cell r="B62">
            <v>0.77290000000000003</v>
          </cell>
        </row>
        <row r="63">
          <cell r="B63">
            <v>0.25783</v>
          </cell>
        </row>
        <row r="65">
          <cell r="B65">
            <v>8.0960599999999996</v>
          </cell>
        </row>
        <row r="66">
          <cell r="B66">
            <v>1090.3785359999999</v>
          </cell>
        </row>
        <row r="70">
          <cell r="B70">
            <v>65.258790000000005</v>
          </cell>
        </row>
        <row r="71">
          <cell r="B71">
            <v>4.9135400000000002</v>
          </cell>
        </row>
        <row r="72">
          <cell r="B72">
            <v>35.504280000000001</v>
          </cell>
        </row>
        <row r="73">
          <cell r="B73">
            <v>6.4102300000000003</v>
          </cell>
        </row>
        <row r="74">
          <cell r="B74">
            <v>535.19000000000005</v>
          </cell>
        </row>
        <row r="75">
          <cell r="B75">
            <v>1011.511678</v>
          </cell>
        </row>
        <row r="76">
          <cell r="B76">
            <v>36.942909999999998</v>
          </cell>
        </row>
        <row r="77">
          <cell r="B77">
            <v>7.6970900000000002</v>
          </cell>
        </row>
        <row r="78">
          <cell r="B78">
            <v>851.69581400000004</v>
          </cell>
        </row>
        <row r="79">
          <cell r="B79">
            <v>62.4647796</v>
          </cell>
        </row>
        <row r="80">
          <cell r="B80">
            <v>0</v>
          </cell>
        </row>
        <row r="81">
          <cell r="B81">
            <v>12</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ization FY 2019-20"/>
      <sheetName val="Capitalisation FY 2020-21"/>
      <sheetName val="Capitalisation FY 2021-22"/>
      <sheetName val="Capitalisation FY 2022-23"/>
      <sheetName val="Complete List"/>
      <sheetName val="CWIP Schedule"/>
    </sheetNames>
    <sheetDataSet>
      <sheetData sheetId="0" refreshError="1"/>
      <sheetData sheetId="1" refreshError="1">
        <row r="3">
          <cell r="L3">
            <v>1.46</v>
          </cell>
          <cell r="M3">
            <v>1.46</v>
          </cell>
        </row>
        <row r="4">
          <cell r="L4">
            <v>0</v>
          </cell>
          <cell r="M4">
            <v>1.22</v>
          </cell>
        </row>
        <row r="5">
          <cell r="L5">
            <v>0</v>
          </cell>
          <cell r="M5">
            <v>5.83</v>
          </cell>
        </row>
        <row r="6">
          <cell r="L6"/>
          <cell r="M6"/>
        </row>
        <row r="7">
          <cell r="L7"/>
          <cell r="M7"/>
        </row>
        <row r="8">
          <cell r="L8">
            <v>0</v>
          </cell>
          <cell r="M8">
            <v>0.89999999999999603</v>
          </cell>
        </row>
        <row r="9">
          <cell r="L9">
            <v>0</v>
          </cell>
          <cell r="M9">
            <v>15.11</v>
          </cell>
        </row>
        <row r="10">
          <cell r="L10">
            <v>0</v>
          </cell>
          <cell r="M10">
            <v>1.69</v>
          </cell>
        </row>
        <row r="11">
          <cell r="L11">
            <v>4.0699999999999967</v>
          </cell>
          <cell r="M11">
            <v>26.49</v>
          </cell>
        </row>
        <row r="12">
          <cell r="L12">
            <v>12.590000000000003</v>
          </cell>
          <cell r="M12">
            <v>67.17</v>
          </cell>
        </row>
        <row r="13">
          <cell r="L13">
            <v>0</v>
          </cell>
          <cell r="M13">
            <v>35.489999999999995</v>
          </cell>
        </row>
        <row r="14">
          <cell r="L14">
            <v>1.7800000000000011</v>
          </cell>
          <cell r="M14">
            <v>16.690000000000001</v>
          </cell>
        </row>
        <row r="15">
          <cell r="L15">
            <v>0</v>
          </cell>
          <cell r="M15">
            <v>0.61</v>
          </cell>
        </row>
        <row r="16">
          <cell r="L16">
            <v>0</v>
          </cell>
          <cell r="M16">
            <v>0.45</v>
          </cell>
        </row>
        <row r="17">
          <cell r="L17">
            <v>0</v>
          </cell>
          <cell r="M17">
            <v>0.18999999999999773</v>
          </cell>
        </row>
        <row r="18">
          <cell r="L18">
            <v>0</v>
          </cell>
          <cell r="M18">
            <v>0.26</v>
          </cell>
        </row>
        <row r="19">
          <cell r="L19">
            <v>0</v>
          </cell>
          <cell r="M19">
            <v>0.08</v>
          </cell>
        </row>
        <row r="20">
          <cell r="L20">
            <v>0</v>
          </cell>
          <cell r="M20">
            <v>6.51</v>
          </cell>
        </row>
        <row r="21">
          <cell r="L21">
            <v>0</v>
          </cell>
          <cell r="M21">
            <v>0.1</v>
          </cell>
        </row>
        <row r="22">
          <cell r="L22">
            <v>0</v>
          </cell>
          <cell r="M22">
            <v>0.16</v>
          </cell>
        </row>
        <row r="23">
          <cell r="L23">
            <v>0</v>
          </cell>
          <cell r="M23">
            <v>1.2</v>
          </cell>
        </row>
        <row r="24">
          <cell r="L24">
            <v>0</v>
          </cell>
          <cell r="M24">
            <v>0.24</v>
          </cell>
        </row>
        <row r="25">
          <cell r="L25">
            <v>0</v>
          </cell>
          <cell r="M25">
            <v>1.65</v>
          </cell>
        </row>
        <row r="26">
          <cell r="L26">
            <v>0</v>
          </cell>
          <cell r="M26">
            <v>6.2299999999999995</v>
          </cell>
        </row>
        <row r="27">
          <cell r="L27">
            <v>0</v>
          </cell>
          <cell r="M27">
            <v>0.8</v>
          </cell>
        </row>
        <row r="28">
          <cell r="L28">
            <v>0</v>
          </cell>
          <cell r="M28">
            <v>0.16</v>
          </cell>
        </row>
        <row r="29">
          <cell r="L29">
            <v>0</v>
          </cell>
          <cell r="M29">
            <v>0.06</v>
          </cell>
        </row>
        <row r="30">
          <cell r="L30">
            <v>0.63999999999999702</v>
          </cell>
          <cell r="M30">
            <v>0.65999999999999659</v>
          </cell>
        </row>
        <row r="31">
          <cell r="L31">
            <v>0</v>
          </cell>
          <cell r="M31">
            <v>1.65</v>
          </cell>
        </row>
        <row r="32">
          <cell r="L32">
            <v>0</v>
          </cell>
          <cell r="M32">
            <v>8.09</v>
          </cell>
        </row>
        <row r="33">
          <cell r="L33">
            <v>0</v>
          </cell>
          <cell r="M33">
            <v>6.24</v>
          </cell>
        </row>
        <row r="34">
          <cell r="L34">
            <v>0</v>
          </cell>
          <cell r="M34">
            <v>0.96</v>
          </cell>
        </row>
        <row r="35">
          <cell r="L35">
            <v>0.21999999999999886</v>
          </cell>
          <cell r="M35">
            <v>0.60999999999999888</v>
          </cell>
        </row>
        <row r="36">
          <cell r="L36">
            <v>0.85999999999999943</v>
          </cell>
          <cell r="M36">
            <v>1.1899999999999995</v>
          </cell>
        </row>
        <row r="37">
          <cell r="L37">
            <v>0.33000000000000185</v>
          </cell>
          <cell r="M37">
            <v>12.270000000000001</v>
          </cell>
        </row>
        <row r="38">
          <cell r="L38">
            <v>7.0100000000000051</v>
          </cell>
          <cell r="M38">
            <v>22.590000000000003</v>
          </cell>
        </row>
        <row r="39">
          <cell r="L39">
            <v>0</v>
          </cell>
          <cell r="M39">
            <v>2.1899999999999977</v>
          </cell>
        </row>
        <row r="40">
          <cell r="L40">
            <v>15.210000000000008</v>
          </cell>
          <cell r="M40">
            <v>30.240000000000009</v>
          </cell>
        </row>
        <row r="41">
          <cell r="L41">
            <v>0</v>
          </cell>
          <cell r="M41">
            <v>1.79</v>
          </cell>
        </row>
        <row r="42">
          <cell r="L42">
            <v>0</v>
          </cell>
          <cell r="M42">
            <v>8.59</v>
          </cell>
        </row>
        <row r="43">
          <cell r="L43">
            <v>0</v>
          </cell>
          <cell r="M43">
            <v>2.84</v>
          </cell>
        </row>
        <row r="44">
          <cell r="L44">
            <v>0</v>
          </cell>
          <cell r="M44">
            <v>0.28999999999999998</v>
          </cell>
        </row>
        <row r="45">
          <cell r="L45">
            <v>0</v>
          </cell>
          <cell r="M45">
            <v>3.9699999999999998</v>
          </cell>
        </row>
        <row r="46">
          <cell r="L46">
            <v>0</v>
          </cell>
          <cell r="M46">
            <v>3.17</v>
          </cell>
        </row>
        <row r="47">
          <cell r="L47">
            <v>0</v>
          </cell>
          <cell r="M47">
            <v>0.79</v>
          </cell>
        </row>
        <row r="48">
          <cell r="L48">
            <v>0</v>
          </cell>
          <cell r="M48">
            <v>2.39</v>
          </cell>
        </row>
        <row r="49">
          <cell r="L49">
            <v>0.64999999999999147</v>
          </cell>
          <cell r="M49">
            <v>5.8099999999999916</v>
          </cell>
        </row>
        <row r="50">
          <cell r="L50">
            <v>0</v>
          </cell>
          <cell r="M50">
            <v>3.7600000000000002</v>
          </cell>
        </row>
        <row r="51">
          <cell r="L51">
            <v>8.9200000000000017</v>
          </cell>
          <cell r="M51">
            <v>9.4800000000000022</v>
          </cell>
        </row>
        <row r="52">
          <cell r="L52">
            <v>0</v>
          </cell>
          <cell r="M52">
            <v>1.5699999999999967</v>
          </cell>
        </row>
        <row r="53">
          <cell r="L53">
            <v>0</v>
          </cell>
          <cell r="M53">
            <v>65.94</v>
          </cell>
        </row>
        <row r="54">
          <cell r="L54">
            <v>0.91999999999999993</v>
          </cell>
          <cell r="M54">
            <v>3.86</v>
          </cell>
        </row>
        <row r="55">
          <cell r="L55">
            <v>0</v>
          </cell>
          <cell r="M55">
            <v>0.12</v>
          </cell>
        </row>
        <row r="56">
          <cell r="L56">
            <v>1.7299999999999969</v>
          </cell>
          <cell r="M56">
            <v>3.3299999999999965</v>
          </cell>
        </row>
        <row r="57">
          <cell r="L57">
            <v>0</v>
          </cell>
          <cell r="M57">
            <v>6.37</v>
          </cell>
          <cell r="P57">
            <v>1.6562000000000001</v>
          </cell>
        </row>
        <row r="58">
          <cell r="L58">
            <v>0</v>
          </cell>
          <cell r="M58">
            <v>5.59</v>
          </cell>
          <cell r="P58">
            <v>1.4534</v>
          </cell>
        </row>
        <row r="59">
          <cell r="L59">
            <v>0</v>
          </cell>
          <cell r="M59">
            <v>2.41</v>
          </cell>
        </row>
        <row r="60">
          <cell r="L60">
            <v>9.2600000000000051</v>
          </cell>
          <cell r="M60">
            <v>81.09</v>
          </cell>
          <cell r="P60">
            <v>19.8796</v>
          </cell>
        </row>
        <row r="61">
          <cell r="L61">
            <v>12.860000000000003</v>
          </cell>
          <cell r="M61">
            <v>41.52</v>
          </cell>
          <cell r="P61">
            <v>9.1234000000000002</v>
          </cell>
        </row>
        <row r="62">
          <cell r="L62">
            <v>6.7900000000000009</v>
          </cell>
          <cell r="M62">
            <v>21.5</v>
          </cell>
          <cell r="P62">
            <v>4.7073</v>
          </cell>
        </row>
        <row r="63">
          <cell r="L63">
            <v>0</v>
          </cell>
          <cell r="M63">
            <v>1.64</v>
          </cell>
        </row>
        <row r="64">
          <cell r="L64">
            <v>0</v>
          </cell>
          <cell r="M64">
            <v>1.03</v>
          </cell>
        </row>
        <row r="65">
          <cell r="L65">
            <v>0</v>
          </cell>
          <cell r="M65">
            <v>3.61</v>
          </cell>
        </row>
        <row r="66">
          <cell r="L66">
            <v>0</v>
          </cell>
          <cell r="M66">
            <v>10.08</v>
          </cell>
        </row>
        <row r="67">
          <cell r="L67">
            <v>0</v>
          </cell>
          <cell r="M67">
            <v>0.68</v>
          </cell>
        </row>
        <row r="68">
          <cell r="L68">
            <v>0.91000000000000014</v>
          </cell>
          <cell r="M68">
            <v>2.2399999999999998</v>
          </cell>
        </row>
        <row r="69">
          <cell r="L69">
            <v>0</v>
          </cell>
          <cell r="M69">
            <v>1.02</v>
          </cell>
        </row>
        <row r="70">
          <cell r="L70">
            <v>0</v>
          </cell>
          <cell r="M70">
            <v>1</v>
          </cell>
        </row>
        <row r="71">
          <cell r="L71">
            <v>0</v>
          </cell>
          <cell r="M71">
            <v>0.53</v>
          </cell>
        </row>
        <row r="72">
          <cell r="L72">
            <v>4.3400000000000034</v>
          </cell>
          <cell r="M72">
            <v>70</v>
          </cell>
        </row>
        <row r="73">
          <cell r="L73">
            <v>0</v>
          </cell>
          <cell r="M73">
            <v>7.0200000000000005</v>
          </cell>
        </row>
        <row r="74">
          <cell r="L74">
            <v>21.83</v>
          </cell>
          <cell r="M74">
            <v>22.22</v>
          </cell>
        </row>
        <row r="75">
          <cell r="L75">
            <v>1.25</v>
          </cell>
          <cell r="M75">
            <v>15.9</v>
          </cell>
        </row>
        <row r="76">
          <cell r="L76">
            <v>0</v>
          </cell>
          <cell r="M76">
            <v>0.27999999999999925</v>
          </cell>
        </row>
        <row r="77">
          <cell r="L77">
            <v>0</v>
          </cell>
          <cell r="M77">
            <v>0.52</v>
          </cell>
        </row>
        <row r="78">
          <cell r="L78">
            <v>0</v>
          </cell>
          <cell r="M78">
            <v>1.02</v>
          </cell>
        </row>
        <row r="79">
          <cell r="L79">
            <v>0</v>
          </cell>
          <cell r="M79">
            <v>32.119999999999997</v>
          </cell>
        </row>
        <row r="80">
          <cell r="L80">
            <v>0</v>
          </cell>
          <cell r="M80">
            <v>4.2699999999999996</v>
          </cell>
        </row>
        <row r="81">
          <cell r="L81">
            <v>0</v>
          </cell>
          <cell r="M81">
            <v>0.21000000000000002</v>
          </cell>
        </row>
        <row r="82">
          <cell r="L82">
            <v>0</v>
          </cell>
          <cell r="M82">
            <v>0.7</v>
          </cell>
        </row>
        <row r="83">
          <cell r="L83">
            <v>0</v>
          </cell>
          <cell r="M83">
            <v>0.18</v>
          </cell>
        </row>
        <row r="84">
          <cell r="L84">
            <v>0</v>
          </cell>
          <cell r="M84">
            <v>0.1</v>
          </cell>
        </row>
        <row r="85">
          <cell r="L85">
            <v>0</v>
          </cell>
          <cell r="M85">
            <v>0.46000000000000019</v>
          </cell>
        </row>
        <row r="86">
          <cell r="L86">
            <v>5.0499999999999989</v>
          </cell>
          <cell r="M86">
            <v>19.399999999999999</v>
          </cell>
        </row>
        <row r="87">
          <cell r="L87">
            <v>0</v>
          </cell>
          <cell r="M87">
            <v>2.39</v>
          </cell>
        </row>
        <row r="88">
          <cell r="L88">
            <v>0</v>
          </cell>
          <cell r="M88">
            <v>0.12</v>
          </cell>
        </row>
        <row r="89">
          <cell r="L89">
            <v>0</v>
          </cell>
          <cell r="M89">
            <v>2.41</v>
          </cell>
        </row>
        <row r="90">
          <cell r="L90">
            <v>0</v>
          </cell>
          <cell r="M90">
            <v>0.43</v>
          </cell>
        </row>
        <row r="91">
          <cell r="L91">
            <v>0</v>
          </cell>
          <cell r="M91">
            <v>0.22</v>
          </cell>
        </row>
        <row r="92">
          <cell r="L92">
            <v>0</v>
          </cell>
          <cell r="M92">
            <v>3.16</v>
          </cell>
        </row>
        <row r="93">
          <cell r="L93">
            <v>0</v>
          </cell>
          <cell r="M93">
            <v>0.27</v>
          </cell>
        </row>
        <row r="94">
          <cell r="L94">
            <v>0</v>
          </cell>
          <cell r="M94">
            <v>25.400000000000002</v>
          </cell>
        </row>
        <row r="95">
          <cell r="L95">
            <v>0</v>
          </cell>
          <cell r="M95">
            <v>0.14000000000000001</v>
          </cell>
        </row>
        <row r="96">
          <cell r="L96">
            <v>0</v>
          </cell>
          <cell r="M96">
            <v>3.47</v>
          </cell>
        </row>
        <row r="97">
          <cell r="L97">
            <v>0</v>
          </cell>
          <cell r="M97">
            <v>6.59</v>
          </cell>
        </row>
        <row r="98">
          <cell r="L98">
            <v>0</v>
          </cell>
          <cell r="M98">
            <v>13.67</v>
          </cell>
        </row>
        <row r="99">
          <cell r="L99">
            <v>0</v>
          </cell>
          <cell r="M99">
            <v>40.260000000000005</v>
          </cell>
        </row>
        <row r="100">
          <cell r="L100">
            <v>0</v>
          </cell>
          <cell r="M100">
            <v>1.03</v>
          </cell>
        </row>
        <row r="101">
          <cell r="L101">
            <v>0</v>
          </cell>
          <cell r="M101">
            <v>2.63</v>
          </cell>
        </row>
        <row r="102">
          <cell r="L102">
            <v>0</v>
          </cell>
          <cell r="M102">
            <v>4.3899999999999997</v>
          </cell>
        </row>
        <row r="103">
          <cell r="L103">
            <v>0</v>
          </cell>
          <cell r="M103">
            <v>8.740000000000002</v>
          </cell>
        </row>
        <row r="104">
          <cell r="L104">
            <v>0</v>
          </cell>
          <cell r="M104">
            <v>0.92</v>
          </cell>
        </row>
        <row r="170">
          <cell r="M170">
            <v>20.99</v>
          </cell>
          <cell r="P170">
            <v>1.8222119999999999</v>
          </cell>
        </row>
        <row r="171">
          <cell r="M171">
            <v>14.83</v>
          </cell>
          <cell r="P171">
            <v>1.25244</v>
          </cell>
        </row>
        <row r="172">
          <cell r="M172">
            <v>112.81</v>
          </cell>
          <cell r="P172">
            <v>10.073615999999999</v>
          </cell>
        </row>
        <row r="173">
          <cell r="M173">
            <v>63.94</v>
          </cell>
          <cell r="P173">
            <v>6.7914000000000003</v>
          </cell>
        </row>
        <row r="174">
          <cell r="M174">
            <v>75.22</v>
          </cell>
          <cell r="P174">
            <v>8.845872</v>
          </cell>
        </row>
        <row r="175">
          <cell r="M175">
            <v>86.67</v>
          </cell>
          <cell r="P175">
            <v>9.7578600000000009</v>
          </cell>
        </row>
        <row r="179">
          <cell r="M179">
            <v>12.03</v>
          </cell>
          <cell r="P179">
            <v>0.87317999999999985</v>
          </cell>
        </row>
        <row r="180">
          <cell r="M180">
            <v>12.8</v>
          </cell>
          <cell r="P180">
            <v>0.95138400000000001</v>
          </cell>
        </row>
        <row r="182">
          <cell r="M182">
            <v>10.53</v>
          </cell>
          <cell r="P182">
            <v>0.81320399999999993</v>
          </cell>
        </row>
        <row r="183">
          <cell r="M183">
            <v>8.4499999999999993</v>
          </cell>
          <cell r="P183">
            <v>0.68854800000000005</v>
          </cell>
        </row>
        <row r="184">
          <cell r="M184">
            <v>7.22</v>
          </cell>
          <cell r="P184">
            <v>0.52861199999999997</v>
          </cell>
        </row>
        <row r="185">
          <cell r="M185">
            <v>22.01</v>
          </cell>
          <cell r="P185">
            <v>2.0715240000000001</v>
          </cell>
        </row>
        <row r="186">
          <cell r="M186">
            <v>23.36</v>
          </cell>
          <cell r="P186">
            <v>1.7587079999999999</v>
          </cell>
        </row>
        <row r="187">
          <cell r="M187">
            <v>20.49</v>
          </cell>
          <cell r="P187">
            <v>1.8886559999999997</v>
          </cell>
        </row>
        <row r="188">
          <cell r="M188">
            <v>18.95</v>
          </cell>
          <cell r="P188">
            <v>1.3059479999999999</v>
          </cell>
        </row>
        <row r="189">
          <cell r="M189">
            <v>17.09</v>
          </cell>
          <cell r="P189">
            <v>1.0048919999999999</v>
          </cell>
        </row>
        <row r="190">
          <cell r="P190">
            <v>0</v>
          </cell>
        </row>
        <row r="193">
          <cell r="P193">
            <v>0</v>
          </cell>
        </row>
        <row r="194">
          <cell r="M194">
            <v>81.760000000000005</v>
          </cell>
          <cell r="P194">
            <v>9.2951039999999985</v>
          </cell>
        </row>
        <row r="196">
          <cell r="M196">
            <v>40.39</v>
          </cell>
          <cell r="P196">
            <v>4.4576279999999997</v>
          </cell>
        </row>
        <row r="197">
          <cell r="P197">
            <v>0</v>
          </cell>
        </row>
        <row r="198">
          <cell r="M198">
            <v>14.62</v>
          </cell>
          <cell r="P198">
            <v>1.292424</v>
          </cell>
        </row>
        <row r="199">
          <cell r="P199">
            <v>0</v>
          </cell>
        </row>
        <row r="201">
          <cell r="M201">
            <v>1530.2499999999998</v>
          </cell>
          <cell r="P201">
            <v>102.29311199999999</v>
          </cell>
        </row>
      </sheetData>
      <sheetData sheetId="2" refreshError="1">
        <row r="45">
          <cell r="M45">
            <v>42.79</v>
          </cell>
        </row>
        <row r="51">
          <cell r="L51">
            <v>505.75000000000006</v>
          </cell>
          <cell r="M51">
            <v>1572.05</v>
          </cell>
          <cell r="P51">
            <v>127.36961999999998</v>
          </cell>
        </row>
      </sheetData>
      <sheetData sheetId="3" refreshError="1"/>
      <sheetData sheetId="4" refreshError="1">
        <row r="81">
          <cell r="E81">
            <v>1453.8200000000002</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ization FY 2019-20"/>
      <sheetName val="Capitalisation FY 2020-21"/>
      <sheetName val="Capitalisation FY 2021-22"/>
      <sheetName val="Capitalisation FY 2022-23"/>
      <sheetName val="Complete List"/>
      <sheetName val="CWIP Schedule"/>
    </sheetNames>
    <sheetDataSet>
      <sheetData sheetId="0">
        <row r="99">
          <cell r="L99">
            <v>10.879999999999995</v>
          </cell>
        </row>
        <row r="180">
          <cell r="M180">
            <v>7.99</v>
          </cell>
        </row>
        <row r="183">
          <cell r="L183">
            <v>13.14</v>
          </cell>
        </row>
        <row r="184">
          <cell r="L184">
            <v>37.31</v>
          </cell>
        </row>
        <row r="185">
          <cell r="L185">
            <v>0.16999999999999993</v>
          </cell>
          <cell r="M185">
            <v>15.84</v>
          </cell>
        </row>
        <row r="186">
          <cell r="L186">
            <v>0</v>
          </cell>
          <cell r="M186">
            <v>4.82</v>
          </cell>
        </row>
        <row r="187">
          <cell r="L187">
            <v>0.48</v>
          </cell>
        </row>
        <row r="189">
          <cell r="L189">
            <v>1.0099999999999998</v>
          </cell>
        </row>
        <row r="190">
          <cell r="M190">
            <v>4.4800000000000004</v>
          </cell>
        </row>
        <row r="193">
          <cell r="M193">
            <v>3.61</v>
          </cell>
        </row>
        <row r="194">
          <cell r="L194">
            <v>0.48</v>
          </cell>
          <cell r="M194">
            <v>1.7</v>
          </cell>
        </row>
        <row r="229">
          <cell r="L229">
            <v>8.59</v>
          </cell>
        </row>
        <row r="230">
          <cell r="L230">
            <v>10.75</v>
          </cell>
        </row>
        <row r="231">
          <cell r="L231">
            <v>1</v>
          </cell>
        </row>
        <row r="232">
          <cell r="L232">
            <v>5.97</v>
          </cell>
        </row>
        <row r="233">
          <cell r="L233">
            <v>3.71</v>
          </cell>
        </row>
        <row r="234">
          <cell r="L234">
            <v>0.88</v>
          </cell>
        </row>
        <row r="235">
          <cell r="L235">
            <v>3.5</v>
          </cell>
        </row>
        <row r="236">
          <cell r="L236">
            <v>5.23</v>
          </cell>
        </row>
        <row r="237">
          <cell r="L237">
            <v>2.34</v>
          </cell>
        </row>
        <row r="238">
          <cell r="L238">
            <v>1.37</v>
          </cell>
        </row>
        <row r="239">
          <cell r="L239">
            <v>1.24</v>
          </cell>
        </row>
        <row r="240">
          <cell r="L240">
            <v>5.49</v>
          </cell>
        </row>
        <row r="243">
          <cell r="L243">
            <v>0.61</v>
          </cell>
        </row>
        <row r="244">
          <cell r="L244">
            <v>-7.9999999999999988E-2</v>
          </cell>
        </row>
        <row r="246">
          <cell r="L246">
            <v>20.61</v>
          </cell>
          <cell r="M246">
            <v>20.61</v>
          </cell>
        </row>
        <row r="249">
          <cell r="L249">
            <v>1695.3024462000001</v>
          </cell>
          <cell r="P249">
            <v>57.980000000000004</v>
          </cell>
        </row>
      </sheetData>
      <sheetData sheetId="1">
        <row r="201">
          <cell r="P201">
            <v>102.29311199999999</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_F"/>
      <sheetName val="Notes_CFS_IND AS"/>
      <sheetName val="BS"/>
      <sheetName val="P&amp;L"/>
      <sheetName val="Cash Flow2018"/>
      <sheetName val="Sheet8"/>
      <sheetName val="TB 19-20"/>
      <sheetName val="TB_Mapped"/>
      <sheetName val="New TB 18-19"/>
      <sheetName val="SCWC"/>
      <sheetName val="CASH_FLOW"/>
      <sheetName val="CFS2018"/>
      <sheetName val="SCIWC"/>
      <sheetName val="Sheet10"/>
      <sheetName val="PPE 19-20"/>
      <sheetName val="PPE (2)"/>
      <sheetName val="PPE old"/>
      <sheetName val="SOCIE"/>
      <sheetName val="SCH BS1-6"/>
      <sheetName val="Sch BS 7-11"/>
      <sheetName val="Sch BS 12"/>
      <sheetName val="Sch BS 13-19"/>
      <sheetName val="Sch P&amp;L 20-21"/>
      <sheetName val="Sch P&amp;L 22-25"/>
      <sheetName val="Journal Entry 2018"/>
      <sheetName val="Prior Period Error_1"/>
      <sheetName val="Reco"/>
      <sheetName val="Revenue"/>
      <sheetName val="Disclosures 1-4"/>
      <sheetName val="Disclosures 2-5"/>
      <sheetName val="Disclosures 6-9"/>
      <sheetName val="Disclosures 6 -9"/>
      <sheetName val="Disclsoures 10"/>
      <sheetName val="Disclsoures 11"/>
      <sheetName val="Disclosures Part 12-14"/>
      <sheetName val="Trial Balance 17-18"/>
      <sheetName val="Sheet1"/>
      <sheetName val="Disclosure 15"/>
      <sheetName val="Trade receivable"/>
      <sheetName val="Grant Amortisation"/>
      <sheetName val="Trial Balance"/>
      <sheetName val="Group 2017"/>
      <sheetName val="Group 2016"/>
      <sheetName val="Prior Period"/>
      <sheetName val="Sheet2"/>
      <sheetName val="Sheet3"/>
      <sheetName val="Sheet4"/>
      <sheetName val="Sheet5"/>
      <sheetName val="Sheet6"/>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
          <cell r="B15">
            <v>0</v>
          </cell>
        </row>
        <row r="31">
          <cell r="B31">
            <v>14697647407.290001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IT 19-20"/>
      <sheetName val="PPE"/>
      <sheetName val="Consolidated"/>
      <sheetName val="Biharsharif"/>
      <sheetName val="AR-Bsf"/>
      <sheetName val="BGP"/>
      <sheetName val="AR BGP"/>
      <sheetName val="Dehri-Dep"/>
      <sheetName val="Dehri"/>
      <sheetName val="HQ Dep"/>
      <sheetName val="HQ"/>
      <sheetName val="Madhepura"/>
      <sheetName val="Madhep"/>
      <sheetName val="Purnea"/>
      <sheetName val="Pur"/>
      <sheetName val="Muzaffarpur"/>
      <sheetName val="Muz"/>
      <sheetName val="Saran-Dep"/>
      <sheetName val="Saran"/>
      <sheetName val="Gaya Dep"/>
      <sheetName val="gaya"/>
      <sheetName val="Patna Dep"/>
      <sheetName val="Patna"/>
      <sheetName val="Darbhanga"/>
      <sheetName val="AR Darbhanga"/>
      <sheetName val="Motihari"/>
      <sheetName val="AR Motihari"/>
      <sheetName val="Patna(east)"/>
      <sheetName val="AR-Patna(east)"/>
      <sheetName val="Hajipur"/>
      <sheetName val="AR-Hajipur"/>
    </sheetNames>
    <sheetDataSet>
      <sheetData sheetId="0"/>
      <sheetData sheetId="1"/>
      <sheetData sheetId="2">
        <row r="10">
          <cell r="I10">
            <v>298833329</v>
          </cell>
          <cell r="J10">
            <v>19739788</v>
          </cell>
          <cell r="K10">
            <v>0</v>
          </cell>
        </row>
        <row r="11">
          <cell r="I11">
            <v>270928</v>
          </cell>
          <cell r="J11">
            <v>16195</v>
          </cell>
          <cell r="K11">
            <v>0</v>
          </cell>
        </row>
        <row r="12">
          <cell r="I12">
            <v>471825192</v>
          </cell>
          <cell r="J12">
            <v>87421932</v>
          </cell>
          <cell r="K12">
            <v>0</v>
          </cell>
        </row>
        <row r="13">
          <cell r="I13">
            <v>7852712357.1899986</v>
          </cell>
          <cell r="J13">
            <v>1989130554</v>
          </cell>
          <cell r="K13">
            <v>7797360</v>
          </cell>
        </row>
        <row r="14">
          <cell r="I14">
            <v>7860037747.1600008</v>
          </cell>
          <cell r="J14">
            <v>1878865266</v>
          </cell>
          <cell r="K14">
            <v>82643760</v>
          </cell>
        </row>
        <row r="15">
          <cell r="I15">
            <v>4526984.67</v>
          </cell>
          <cell r="J15">
            <v>0</v>
          </cell>
          <cell r="K15">
            <v>0</v>
          </cell>
        </row>
        <row r="16">
          <cell r="I16">
            <v>17918635</v>
          </cell>
          <cell r="J16">
            <v>5226117</v>
          </cell>
          <cell r="K16">
            <v>2700</v>
          </cell>
        </row>
        <row r="17">
          <cell r="I17">
            <v>3912731.92</v>
          </cell>
          <cell r="J17">
            <v>906388</v>
          </cell>
          <cell r="K17">
            <v>0</v>
          </cell>
        </row>
        <row r="18">
          <cell r="I18">
            <v>4636078.74</v>
          </cell>
          <cell r="J18">
            <v>3941215</v>
          </cell>
          <cell r="K1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_F"/>
      <sheetName val="Notes_CFS_IND AS"/>
      <sheetName val="BS"/>
      <sheetName val="P&amp;L"/>
      <sheetName val="Cash Flow2018"/>
      <sheetName val="Sheet8"/>
      <sheetName val="TB 19-20"/>
      <sheetName val="TB_Mapped"/>
      <sheetName val="New TB 18-19"/>
      <sheetName val="SCWC"/>
      <sheetName val="CASH_FLOW"/>
      <sheetName val="CFS2018"/>
      <sheetName val="SCIWC"/>
      <sheetName val="Sheet10"/>
      <sheetName val="PPE 19-20"/>
      <sheetName val="PPE (2)"/>
      <sheetName val="PPE old"/>
      <sheetName val="SOCIE"/>
      <sheetName val="SCH BS1-6"/>
      <sheetName val="Sch BS 7-11"/>
      <sheetName val="Sch BS 12"/>
      <sheetName val="Sch BS 13-19"/>
      <sheetName val="Sch P&amp;L 20-21"/>
      <sheetName val="Sch P&amp;L 22-25"/>
      <sheetName val="Journal Entry 2018"/>
      <sheetName val="Prior Period Error_1"/>
      <sheetName val="Reco"/>
      <sheetName val="Revenue"/>
      <sheetName val="Disclosures 1-4"/>
      <sheetName val="Disclosures 2-5"/>
      <sheetName val="Disclosures 6-9"/>
      <sheetName val="Disclosures 6 -9"/>
      <sheetName val="Disclsoures 10"/>
      <sheetName val="Disclsoures 11"/>
      <sheetName val="Disclosures Part 12-14"/>
      <sheetName val="Trial Balance 17-18"/>
      <sheetName val="Sheet1"/>
      <sheetName val="Disclosure 15"/>
      <sheetName val="Trade receivable"/>
      <sheetName val="Grant Amortisation"/>
      <sheetName val="Trial Balance"/>
      <sheetName val="Group 2017"/>
      <sheetName val="Group 2016"/>
      <sheetName val="Prior Period"/>
      <sheetName val="Sheet2"/>
      <sheetName val="Sheet3"/>
      <sheetName val="Sheet4"/>
      <sheetName val="Sheet5"/>
      <sheetName val="Sheet6"/>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7">
          <cell r="B27">
            <v>165277.5</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amp;L"/>
      <sheetName val="CFS"/>
      <sheetName val="SCWC"/>
      <sheetName val="SOCIE"/>
      <sheetName val="PPE-2"/>
      <sheetName val="BS3-11"/>
      <sheetName val="BS12"/>
      <sheetName val="BS13-20"/>
      <sheetName val="P&amp;L21-22"/>
      <sheetName val="P&amp;L23-25"/>
      <sheetName val="Discl_1"/>
      <sheetName val="Disc_2-7"/>
      <sheetName val="Disc. 8(1)"/>
      <sheetName val="Disc. 8(2)"/>
      <sheetName val="Disc. 8(3)"/>
      <sheetName val="Disc. 8(4)"/>
      <sheetName val="Disc. 8(5)"/>
      <sheetName val="Dicl_9"/>
      <sheetName val="Disc_10-13"/>
      <sheetName val="DIsc_14-16"/>
      <sheetName val="Jour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5">
          <cell r="B55">
            <v>50000</v>
          </cell>
        </row>
        <row r="57">
          <cell r="B57">
            <v>46403.359629999999</v>
          </cell>
          <cell r="C57">
            <v>38847.317329999998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loted Capacity"/>
      <sheetName val="Sales, Load and Demand"/>
      <sheetName val="Revenue"/>
      <sheetName val="Details of Lines and SS"/>
      <sheetName val="Investment Plan"/>
      <sheetName val="Project Cost with IDC"/>
      <sheetName val="Details of Works Awarded"/>
      <sheetName val="Additional Capitalization"/>
      <sheetName val="Actual Availability"/>
      <sheetName val="CWIP"/>
      <sheetName val="GFA Additions"/>
      <sheetName val="Depreciation"/>
      <sheetName val="Assets not in use"/>
      <sheetName val="Details of Loans"/>
      <sheetName val="O&amp;M expenses"/>
      <sheetName val="Employee Strength"/>
      <sheetName val="Employee Parameters"/>
      <sheetName val="Short Term Open Access"/>
      <sheetName val="Non Tariff Income"/>
      <sheetName val="Expenses Capitalized"/>
      <sheetName val="Prior Period Expenses"/>
      <sheetName val="Grant and Govt. Subsidy"/>
      <sheetName val="Transmission Losses"/>
      <sheetName val="Energy Delivered"/>
      <sheetName val="Accidents"/>
      <sheetName val="Outages"/>
      <sheetName val="System Disturbances"/>
      <sheetName val="Frequency Variation"/>
      <sheetName val="Voltage Fluctuation"/>
      <sheetName val="Load Shedding"/>
      <sheetName val="Overloaded Feeders"/>
      <sheetName val="Overloaded Transformers"/>
      <sheetName val="Failure of Transfor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4">
          <cell r="C54">
            <v>0</v>
          </cell>
        </row>
        <row r="56">
          <cell r="C56">
            <v>0</v>
          </cell>
        </row>
        <row r="87">
          <cell r="C87"/>
        </row>
        <row r="89">
          <cell r="C89">
            <v>0</v>
          </cell>
        </row>
        <row r="91">
          <cell r="C91">
            <v>0.33</v>
          </cell>
        </row>
      </sheetData>
      <sheetData sheetId="15"/>
      <sheetData sheetId="16"/>
      <sheetData sheetId="17"/>
      <sheetData sheetId="18">
        <row r="19">
          <cell r="C19"/>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19-20"/>
      <sheetName val="FY 2020-21 Q1"/>
      <sheetName val="FY 2020-21 projected"/>
      <sheetName val="FY 2021-22 Projected"/>
    </sheetNames>
    <sheetDataSet>
      <sheetData sheetId="0"/>
      <sheetData sheetId="1">
        <row r="10">
          <cell r="H10">
            <v>3.9416600000000002</v>
          </cell>
        </row>
        <row r="11">
          <cell r="H11">
            <v>28.318542999999998</v>
          </cell>
        </row>
        <row r="12">
          <cell r="H12">
            <v>2.0240640000000001</v>
          </cell>
        </row>
        <row r="13">
          <cell r="H13">
            <v>6.3949299999999996</v>
          </cell>
        </row>
        <row r="14">
          <cell r="H14">
            <v>3.9257900000000001</v>
          </cell>
        </row>
        <row r="15">
          <cell r="H15">
            <v>3.2708599999999999</v>
          </cell>
        </row>
        <row r="16">
          <cell r="H16">
            <v>1.12541</v>
          </cell>
        </row>
        <row r="17">
          <cell r="H17">
            <v>4.1582299999999996</v>
          </cell>
        </row>
        <row r="18">
          <cell r="H18">
            <v>10.566839999999999</v>
          </cell>
        </row>
        <row r="19">
          <cell r="H19">
            <v>4.2864240000000002</v>
          </cell>
        </row>
        <row r="20">
          <cell r="H20">
            <v>0.52659999999999996</v>
          </cell>
        </row>
        <row r="21">
          <cell r="H21">
            <v>6.2725000000000003E-2</v>
          </cell>
        </row>
        <row r="22">
          <cell r="H22">
            <v>11.875109</v>
          </cell>
        </row>
        <row r="23">
          <cell r="H23">
            <v>4.4899100000000001</v>
          </cell>
        </row>
        <row r="24">
          <cell r="H24">
            <v>5.3916250000000003</v>
          </cell>
        </row>
        <row r="25">
          <cell r="H25">
            <v>4.1992900000000004</v>
          </cell>
        </row>
        <row r="26">
          <cell r="H26">
            <v>3.4904959999999998</v>
          </cell>
        </row>
        <row r="27">
          <cell r="H27">
            <v>4.25413</v>
          </cell>
        </row>
        <row r="28">
          <cell r="H28">
            <v>5.4553599999999998</v>
          </cell>
        </row>
        <row r="29">
          <cell r="H29">
            <v>5.4522300000000001</v>
          </cell>
        </row>
        <row r="30">
          <cell r="H30">
            <v>20.566455999999999</v>
          </cell>
        </row>
        <row r="31">
          <cell r="H31">
            <v>0.298039</v>
          </cell>
        </row>
        <row r="32">
          <cell r="H32">
            <v>2.1663999999999999E-2</v>
          </cell>
        </row>
        <row r="33">
          <cell r="H33">
            <v>0.108012</v>
          </cell>
        </row>
        <row r="34">
          <cell r="H34">
            <v>0.27913300000000002</v>
          </cell>
        </row>
        <row r="35">
          <cell r="H35">
            <v>0.86239100000000002</v>
          </cell>
        </row>
        <row r="36">
          <cell r="H36">
            <v>2.9523980000000001</v>
          </cell>
        </row>
        <row r="37">
          <cell r="H37">
            <v>9.5852070000000005</v>
          </cell>
        </row>
        <row r="38">
          <cell r="H38">
            <v>0.32886900000000002</v>
          </cell>
        </row>
        <row r="39">
          <cell r="H39">
            <v>1.4449700000000001</v>
          </cell>
        </row>
        <row r="40">
          <cell r="H40">
            <v>6.7579750000000001</v>
          </cell>
        </row>
        <row r="41">
          <cell r="H41">
            <v>0.467976</v>
          </cell>
        </row>
        <row r="42">
          <cell r="H42">
            <v>0.36499999999999999</v>
          </cell>
        </row>
        <row r="43">
          <cell r="H43">
            <v>1.463773</v>
          </cell>
        </row>
        <row r="44">
          <cell r="H44">
            <v>2.1009660000000001</v>
          </cell>
        </row>
        <row r="45">
          <cell r="H45">
            <v>2.7957000000000001</v>
          </cell>
        </row>
        <row r="46">
          <cell r="H46">
            <v>5.552079</v>
          </cell>
        </row>
        <row r="47">
          <cell r="H47">
            <v>3.431</v>
          </cell>
        </row>
        <row r="48">
          <cell r="H48">
            <v>5.5526999999999997</v>
          </cell>
        </row>
        <row r="49">
          <cell r="H49">
            <v>5.2351910000000004</v>
          </cell>
        </row>
        <row r="51">
          <cell r="H51">
            <v>43.675274999999999</v>
          </cell>
        </row>
        <row r="52">
          <cell r="H52">
            <v>111.964128</v>
          </cell>
        </row>
        <row r="53">
          <cell r="H53">
            <v>69.400575000000003</v>
          </cell>
        </row>
        <row r="54">
          <cell r="H54">
            <v>84.564485000000005</v>
          </cell>
        </row>
        <row r="55">
          <cell r="H55">
            <v>28.067952999999999</v>
          </cell>
        </row>
        <row r="56">
          <cell r="H56">
            <v>43.656165999999999</v>
          </cell>
        </row>
        <row r="57">
          <cell r="H57">
            <v>114.791946</v>
          </cell>
        </row>
        <row r="58">
          <cell r="H58">
            <v>34.671393000000002</v>
          </cell>
        </row>
        <row r="59">
          <cell r="H59">
            <v>88.064126000000002</v>
          </cell>
        </row>
        <row r="60">
          <cell r="H60">
            <v>61.622318999999997</v>
          </cell>
        </row>
        <row r="61">
          <cell r="H61">
            <v>103.65616799999999</v>
          </cell>
        </row>
        <row r="62">
          <cell r="H62">
            <v>105.254347</v>
          </cell>
        </row>
        <row r="63">
          <cell r="H63">
            <v>82.120994999999994</v>
          </cell>
        </row>
        <row r="64">
          <cell r="H64">
            <v>61.213523000000002</v>
          </cell>
        </row>
        <row r="65">
          <cell r="H65">
            <v>100.63155999999999</v>
          </cell>
        </row>
        <row r="66">
          <cell r="H66">
            <v>35.537472999999999</v>
          </cell>
        </row>
        <row r="67">
          <cell r="H67">
            <v>67.527320000000003</v>
          </cell>
        </row>
        <row r="68">
          <cell r="H68">
            <v>42.567140999999999</v>
          </cell>
        </row>
        <row r="69">
          <cell r="H69">
            <v>28.436040999999999</v>
          </cell>
        </row>
        <row r="70">
          <cell r="H70">
            <v>36.330922000000001</v>
          </cell>
        </row>
        <row r="71">
          <cell r="H71">
            <v>68.066854000000006</v>
          </cell>
        </row>
        <row r="72">
          <cell r="H72">
            <v>113.052603</v>
          </cell>
        </row>
        <row r="73">
          <cell r="H73">
            <v>62.592188</v>
          </cell>
        </row>
        <row r="74">
          <cell r="H74">
            <v>37.294471000000001</v>
          </cell>
        </row>
        <row r="75">
          <cell r="H75">
            <v>84.456117000000006</v>
          </cell>
        </row>
        <row r="76">
          <cell r="H76">
            <v>114.290228</v>
          </cell>
        </row>
        <row r="77">
          <cell r="H77">
            <v>2.544</v>
          </cell>
        </row>
        <row r="78">
          <cell r="H78">
            <v>54.944513999999998</v>
          </cell>
        </row>
        <row r="79">
          <cell r="H79">
            <v>23.130996</v>
          </cell>
        </row>
        <row r="80">
          <cell r="H80">
            <v>58.355549000000003</v>
          </cell>
        </row>
        <row r="81">
          <cell r="H81">
            <v>57.404845999999999</v>
          </cell>
        </row>
        <row r="82">
          <cell r="H82">
            <v>21.235156</v>
          </cell>
        </row>
        <row r="83">
          <cell r="H83">
            <v>39.912351999999998</v>
          </cell>
        </row>
        <row r="84">
          <cell r="H84">
            <v>95.491667000000007</v>
          </cell>
        </row>
        <row r="85">
          <cell r="H85">
            <v>22.020206999999999</v>
          </cell>
        </row>
        <row r="86">
          <cell r="H86">
            <v>59.118429999999996</v>
          </cell>
        </row>
        <row r="87">
          <cell r="H87">
            <v>37.977943000000003</v>
          </cell>
        </row>
        <row r="88">
          <cell r="H88">
            <v>69.809404999999998</v>
          </cell>
        </row>
        <row r="89">
          <cell r="H89">
            <v>53.162219999999998</v>
          </cell>
        </row>
        <row r="90">
          <cell r="H90">
            <v>45.922583000000003</v>
          </cell>
        </row>
        <row r="91">
          <cell r="H91">
            <v>46.267325999999997</v>
          </cell>
        </row>
        <row r="92">
          <cell r="H92">
            <v>27.792795999999999</v>
          </cell>
        </row>
        <row r="93">
          <cell r="H93">
            <v>36.400264999999997</v>
          </cell>
        </row>
        <row r="94">
          <cell r="H94">
            <v>48.799067999999998</v>
          </cell>
        </row>
        <row r="95">
          <cell r="H95">
            <v>38.524140000000003</v>
          </cell>
        </row>
        <row r="96">
          <cell r="H96">
            <v>21.240528999999999</v>
          </cell>
        </row>
        <row r="97">
          <cell r="H97">
            <v>126.829404</v>
          </cell>
        </row>
        <row r="98">
          <cell r="H98">
            <v>4.3725209999999999</v>
          </cell>
        </row>
        <row r="99">
          <cell r="H99">
            <v>29.713280000000001</v>
          </cell>
        </row>
        <row r="100">
          <cell r="H100">
            <v>27.62518</v>
          </cell>
        </row>
        <row r="101">
          <cell r="H101">
            <v>14.0899</v>
          </cell>
        </row>
        <row r="102">
          <cell r="H102">
            <v>2.6571929999999999</v>
          </cell>
        </row>
        <row r="103">
          <cell r="H103">
            <v>123.804321</v>
          </cell>
        </row>
        <row r="104">
          <cell r="H104">
            <v>80.715152000000003</v>
          </cell>
        </row>
        <row r="105">
          <cell r="H105">
            <v>100.032327</v>
          </cell>
        </row>
        <row r="106">
          <cell r="H106">
            <v>203.67214100000001</v>
          </cell>
        </row>
        <row r="107">
          <cell r="H107">
            <v>12.167064</v>
          </cell>
        </row>
        <row r="108">
          <cell r="H108">
            <v>61.115538999999998</v>
          </cell>
        </row>
        <row r="109">
          <cell r="H109">
            <v>10.271806</v>
          </cell>
        </row>
        <row r="110">
          <cell r="H110">
            <v>30.320511</v>
          </cell>
        </row>
        <row r="111">
          <cell r="H111">
            <v>11.233715</v>
          </cell>
        </row>
        <row r="112">
          <cell r="H112">
            <v>9.1884219999999992</v>
          </cell>
        </row>
        <row r="113">
          <cell r="H113">
            <v>28.610451000000001</v>
          </cell>
        </row>
        <row r="114">
          <cell r="H114">
            <v>3.9123999999999999</v>
          </cell>
        </row>
        <row r="115">
          <cell r="H115">
            <v>81.630949999999999</v>
          </cell>
        </row>
        <row r="116">
          <cell r="H116">
            <v>38.366461999999999</v>
          </cell>
        </row>
        <row r="117">
          <cell r="H117">
            <v>63.944481000000003</v>
          </cell>
        </row>
        <row r="118">
          <cell r="H118">
            <v>39.635050999999997</v>
          </cell>
        </row>
        <row r="119">
          <cell r="H119">
            <v>55.761071999999999</v>
          </cell>
        </row>
        <row r="120">
          <cell r="H120">
            <v>66.261922999999996</v>
          </cell>
        </row>
        <row r="121">
          <cell r="H121">
            <v>-0.38800000000000001</v>
          </cell>
        </row>
        <row r="122">
          <cell r="H122">
            <v>32.213275000000003</v>
          </cell>
        </row>
        <row r="123">
          <cell r="H123">
            <v>85.304682999999997</v>
          </cell>
        </row>
        <row r="124">
          <cell r="H124">
            <v>44.853513</v>
          </cell>
        </row>
        <row r="125">
          <cell r="H125">
            <v>127.670483</v>
          </cell>
        </row>
        <row r="126">
          <cell r="H126">
            <v>35.003143999999999</v>
          </cell>
        </row>
        <row r="127">
          <cell r="H127">
            <v>66.214440999999994</v>
          </cell>
        </row>
        <row r="128">
          <cell r="H128">
            <v>14.256959999999999</v>
          </cell>
        </row>
        <row r="129">
          <cell r="H129">
            <v>21.831503999999999</v>
          </cell>
        </row>
        <row r="130">
          <cell r="H130">
            <v>33.266522000000002</v>
          </cell>
        </row>
        <row r="131">
          <cell r="H131">
            <v>43.725079000000001</v>
          </cell>
        </row>
        <row r="132">
          <cell r="H132">
            <v>33.225340000000003</v>
          </cell>
        </row>
        <row r="133">
          <cell r="H133">
            <v>15.587909</v>
          </cell>
        </row>
        <row r="134">
          <cell r="H134">
            <v>88.359661000000003</v>
          </cell>
        </row>
        <row r="135">
          <cell r="H135">
            <v>114.635436</v>
          </cell>
        </row>
        <row r="136">
          <cell r="H136">
            <v>20.468119999999999</v>
          </cell>
        </row>
        <row r="137">
          <cell r="H137">
            <v>7.2078389999999999</v>
          </cell>
        </row>
        <row r="138">
          <cell r="H138">
            <v>6.0276690000000004</v>
          </cell>
        </row>
        <row r="139">
          <cell r="H139">
            <v>55.874841000000004</v>
          </cell>
        </row>
        <row r="140">
          <cell r="H140">
            <v>32.771301999999999</v>
          </cell>
        </row>
        <row r="141">
          <cell r="H141">
            <v>27.565131999999998</v>
          </cell>
        </row>
        <row r="142">
          <cell r="H142">
            <v>54.542642999999998</v>
          </cell>
        </row>
        <row r="143">
          <cell r="H143">
            <v>34.438845999999998</v>
          </cell>
        </row>
        <row r="144">
          <cell r="H144">
            <v>33.633232</v>
          </cell>
        </row>
        <row r="145">
          <cell r="H145">
            <v>101.1978</v>
          </cell>
        </row>
        <row r="146">
          <cell r="H146">
            <v>47.059370999999999</v>
          </cell>
        </row>
        <row r="147">
          <cell r="H147">
            <v>15.55911</v>
          </cell>
        </row>
        <row r="148">
          <cell r="H148">
            <v>39.640501</v>
          </cell>
        </row>
        <row r="149">
          <cell r="H149">
            <v>30.745683</v>
          </cell>
        </row>
        <row r="150">
          <cell r="H150">
            <v>18.868763999999999</v>
          </cell>
        </row>
        <row r="151">
          <cell r="H151">
            <v>91.394508999999999</v>
          </cell>
        </row>
        <row r="152">
          <cell r="H152">
            <v>112.98813199999999</v>
          </cell>
        </row>
        <row r="153">
          <cell r="H153">
            <v>22.269770999999999</v>
          </cell>
        </row>
        <row r="154">
          <cell r="H154">
            <v>46.043944000000003</v>
          </cell>
        </row>
        <row r="155">
          <cell r="H155">
            <v>15.523288000000001</v>
          </cell>
        </row>
        <row r="156">
          <cell r="H156">
            <v>44.101281</v>
          </cell>
        </row>
        <row r="157">
          <cell r="H157">
            <v>74.466286999999994</v>
          </cell>
        </row>
        <row r="158">
          <cell r="H158">
            <v>45.317601000000003</v>
          </cell>
        </row>
        <row r="159">
          <cell r="H159">
            <v>71.689487999999997</v>
          </cell>
        </row>
        <row r="160">
          <cell r="H160">
            <v>103.65455799999999</v>
          </cell>
        </row>
        <row r="161">
          <cell r="H161">
            <v>46.641710000000003</v>
          </cell>
        </row>
        <row r="162">
          <cell r="H162">
            <v>4.9420000000000002</v>
          </cell>
        </row>
        <row r="163">
          <cell r="H163">
            <v>15.242286</v>
          </cell>
        </row>
        <row r="164">
          <cell r="H164">
            <v>62.303449999999998</v>
          </cell>
        </row>
        <row r="165">
          <cell r="H165">
            <v>113.934736</v>
          </cell>
        </row>
        <row r="166">
          <cell r="H166">
            <v>15.481222000000001</v>
          </cell>
        </row>
        <row r="167">
          <cell r="H167">
            <v>49.492203000000003</v>
          </cell>
        </row>
        <row r="168">
          <cell r="H168">
            <v>41.149963</v>
          </cell>
        </row>
        <row r="169">
          <cell r="H169">
            <v>56.875988</v>
          </cell>
        </row>
        <row r="170">
          <cell r="H170">
            <v>28.224844999999998</v>
          </cell>
        </row>
        <row r="171">
          <cell r="H171">
            <v>32.766146999999997</v>
          </cell>
        </row>
        <row r="172">
          <cell r="H172">
            <v>11.236822</v>
          </cell>
        </row>
        <row r="173">
          <cell r="H173">
            <v>74.717833999999996</v>
          </cell>
        </row>
        <row r="174">
          <cell r="H174">
            <v>14.707276</v>
          </cell>
        </row>
        <row r="175">
          <cell r="H175">
            <v>23.876832</v>
          </cell>
        </row>
        <row r="176">
          <cell r="H176">
            <v>37.577133000000003</v>
          </cell>
        </row>
        <row r="177">
          <cell r="H177">
            <v>10.755000000000001</v>
          </cell>
        </row>
        <row r="178">
          <cell r="H178">
            <v>24.955373999999999</v>
          </cell>
        </row>
        <row r="179">
          <cell r="H179">
            <v>69.116547999999995</v>
          </cell>
        </row>
        <row r="180">
          <cell r="H180">
            <v>75.171397999999996</v>
          </cell>
        </row>
        <row r="181">
          <cell r="H181">
            <v>88.140405999999999</v>
          </cell>
        </row>
        <row r="182">
          <cell r="H182">
            <v>24.225021000000002</v>
          </cell>
        </row>
        <row r="183">
          <cell r="H183">
            <v>70.263108000000003</v>
          </cell>
        </row>
        <row r="184">
          <cell r="H184">
            <v>66.145173999999997</v>
          </cell>
        </row>
        <row r="185">
          <cell r="H185">
            <v>44.276724000000002</v>
          </cell>
        </row>
        <row r="186">
          <cell r="H186">
            <v>84.315150000000003</v>
          </cell>
        </row>
        <row r="187">
          <cell r="H187">
            <v>47.597712000000001</v>
          </cell>
        </row>
        <row r="188">
          <cell r="H188">
            <v>105.653696</v>
          </cell>
        </row>
        <row r="189">
          <cell r="H189">
            <v>99.886221000000006</v>
          </cell>
        </row>
        <row r="190">
          <cell r="H190">
            <v>56.726281999999998</v>
          </cell>
        </row>
        <row r="191">
          <cell r="H191">
            <v>30.730996000000001</v>
          </cell>
        </row>
        <row r="192">
          <cell r="H192">
            <v>15.651751000000001</v>
          </cell>
        </row>
        <row r="193">
          <cell r="H193">
            <v>15.270799999999999</v>
          </cell>
        </row>
        <row r="194">
          <cell r="H194">
            <v>2.99695</v>
          </cell>
        </row>
        <row r="195">
          <cell r="H195">
            <v>20.002728999999999</v>
          </cell>
        </row>
        <row r="196">
          <cell r="H196">
            <v>67.378499000000005</v>
          </cell>
        </row>
        <row r="197">
          <cell r="H197">
            <v>40.672145</v>
          </cell>
        </row>
        <row r="198">
          <cell r="H198">
            <v>4.1515409999999999</v>
          </cell>
        </row>
        <row r="199">
          <cell r="H199">
            <v>35.873345999999998</v>
          </cell>
        </row>
        <row r="200">
          <cell r="H200">
            <v>101.50344200000001</v>
          </cell>
        </row>
        <row r="201">
          <cell r="H201">
            <v>3.0859999999999999</v>
          </cell>
        </row>
        <row r="202">
          <cell r="H202">
            <v>7835.397422</v>
          </cell>
        </row>
        <row r="203">
          <cell r="H203">
            <v>0.787219</v>
          </cell>
        </row>
        <row r="204">
          <cell r="H204">
            <v>7836.1846409999998</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V16501" id="{3D3457D5-78DF-4AB8-9B98-7F5F24CAEA22}" userId="V16501"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19-11-01T12:59:37.55" personId="{3D3457D5-78DF-4AB8-9B98-7F5F24CAEA22}" id="{1A2EC9FD-C30D-4A1F-A9BF-4CCDCB85D113}">
    <text>Considered from Tariff Order FY 2018-19 Pg. 112</text>
  </threadedComment>
  <threadedComment ref="F6" dT="2019-11-01T13:08:16.54" personId="{3D3457D5-78DF-4AB8-9B98-7F5F24CAEA22}" id="{ABCBDCDC-889B-444E-92B8-FF666C8D614A}">
    <text>Considered from Tariff Order for FY 2019-20 Pg. 118</text>
  </threadedComment>
  <threadedComment ref="J10" dT="2019-11-02T05:19:18.64" personId="{3D3457D5-78DF-4AB8-9B98-7F5F24CAEA22}" id="{2FF332D5-38C4-42F8-AE54-4E0E850700AE}">
    <text>Considered from MYT Order for FY 2020-21 Pg. 115</text>
  </threadedComment>
</ThreadedComments>
</file>

<file path=xl/threadedComments/threadedComment2.xml><?xml version="1.0" encoding="utf-8"?>
<ThreadedComments xmlns="http://schemas.microsoft.com/office/spreadsheetml/2018/threadedcomments" xmlns:x="http://schemas.openxmlformats.org/spreadsheetml/2006/main">
  <threadedComment ref="C7" dT="2019-11-02T06:16:19.59" personId="{3D3457D5-78DF-4AB8-9B98-7F5F24CAEA22}" id="{8F8C0D63-1490-4A3B-90A2-A3730834F9FC}">
    <text>Considered from MYT Order 19-20 Pg. 121</text>
  </threadedComment>
  <threadedComment ref="D7" dT="2019-11-02T06:05:34.76" personId="{3D3457D5-78DF-4AB8-9B98-7F5F24CAEA22}" id="{816A81D9-8565-4397-B0D9-C5711CF2DA82}">
    <text>Considered from Closing of True-up of FY 2018-19 Pg. 48 (table 4.10) of Tariff Order</text>
  </threadedComment>
  <threadedComment ref="E7" dT="2019-11-02T06:16:19.59" personId="{3D3457D5-78DF-4AB8-9B98-7F5F24CAEA22}" id="{8F8C0D63-1490-4A3C-90A2-A3730834F9FC}">
    <text>Considered from MYT Order 19-20 Pg. 121</text>
  </threadedComment>
  <threadedComment ref="E12" dT="2019-11-02T06:30:53.57" personId="{3D3457D5-78DF-4AB8-9B98-7F5F24CAEA22}" id="{43BCB957-4C1B-4DC4-A6FB-C09BD63B425F}">
    <text>Considered from MYT Order Pg. 121</text>
  </threadedComment>
  <threadedComment ref="I12" dT="2019-11-02T06:30:47.13" personId="{3D3457D5-78DF-4AB8-9B98-7F5F24CAEA22}" id="{B0ABE639-24B1-40EF-A8AC-6B03E8A9EF05}">
    <text>Considered from MYT Order Pg. 121</text>
  </threadedComment>
</ThreadedComments>
</file>

<file path=xl/threadedComments/threadedComment3.xml><?xml version="1.0" encoding="utf-8"?>
<ThreadedComments xmlns="http://schemas.microsoft.com/office/spreadsheetml/2018/threadedcomments" xmlns:x="http://schemas.openxmlformats.org/spreadsheetml/2006/main">
  <threadedComment ref="J33" dT="2019-11-02T11:27:28.68" personId="{3D3457D5-78DF-4AB8-9B98-7F5F24CAEA22}" id="{121CF1E6-316C-4605-A35E-AACC6F766E5A}">
    <text>Considered in proportion to approved land cost for 20-21</text>
  </threadedComment>
  <threadedComment ref="I44" dT="2019-11-02T11:14:02.62" personId="{3D3457D5-78DF-4AB8-9B98-7F5F24CAEA22}" id="{D7353A56-4418-4044-A771-F72F82432D21}">
    <text>Considered from MYT Order Pg. 122</text>
  </threadedComment>
  <threadedComment ref="D45" dT="2019-11-02T08:05:07.57" personId="{3D3457D5-78DF-4AB8-9B98-7F5F24CAEA22}" id="{F2B94E08-E7B9-4482-A424-8105541B0D1A}">
    <text>Considered from closing balance of FY 2018-19 in True-up Table 4.12</text>
  </threadedComment>
  <threadedComment ref="H53" dT="2019-11-02T11:08:25.43" personId="{3D3457D5-78DF-4AB8-9B98-7F5F24CAEA22}" id="{150856DE-8F98-4C71-82B5-50F02A8A5806}">
    <text>Considered same as above</text>
  </threadedComment>
  <threadedComment ref="J53" dT="2019-11-02T11:08:25.43" personId="{3D3457D5-78DF-4AB8-9B98-7F5F24CAEA22}" id="{150856DE-8F98-4C72-82B5-50F02A8A5806}">
    <text>Considered same as above</text>
  </threadedComment>
</ThreadedComments>
</file>

<file path=xl/threadedComments/threadedComment4.xml><?xml version="1.0" encoding="utf-8"?>
<ThreadedComments xmlns="http://schemas.microsoft.com/office/spreadsheetml/2018/threadedcomments" xmlns:x="http://schemas.openxmlformats.org/spreadsheetml/2006/main">
  <threadedComment ref="D6" dT="2019-11-02T12:08:09.44" personId="{3D3457D5-78DF-4AB8-9B98-7F5F24CAEA22}" id="{02A5D656-BECE-4A07-86EC-A1742F241313}">
    <text>Considered from closing balance of FY 2017-18 in True-up Order Pg.28</text>
  </threadedComment>
  <threadedComment ref="D16" dT="2019-11-02T12:16:38.44" personId="{3D3457D5-78DF-4AB8-9B98-7F5F24CAEA22}" id="{DD4EDC5D-70D9-4BEE-A34A-34DDA9F73DA8}">
    <text>As per accounts</text>
  </threadedComment>
  <threadedComment ref="H18" dT="2019-11-02T12:26:42.94" personId="{3D3457D5-78DF-4AB8-9B98-7F5F24CAEA22}" id="{34BAC914-74FD-4DE2-904E-7E4EC29A9E31}">
    <text>Considered same as per accounts of FY 2018-19</text>
  </threadedComment>
  <threadedComment ref="J18" dT="2019-11-02T12:30:47.20" personId="{3D3457D5-78DF-4AB8-9B98-7F5F24CAEA22}" id="{1C0FE782-960D-4237-8455-21874FBB1E5A}">
    <text>Considered same as per accounts of 18-19</text>
  </threadedComment>
</ThreadedComments>
</file>

<file path=xl/threadedComments/threadedComment5.xml><?xml version="1.0" encoding="utf-8"?>
<ThreadedComments xmlns="http://schemas.microsoft.com/office/spreadsheetml/2018/threadedcomments" xmlns:x="http://schemas.openxmlformats.org/spreadsheetml/2006/main">
  <threadedComment ref="D28" dT="2019-11-02T12:53:01.26" personId="{3D3457D5-78DF-4AB8-9B98-7F5F24CAEA22}" id="{3145D17E-E2B4-4D6D-AA2B-BEE2D5E0CA5B}">
    <text>Considered from closing balance of FY 2018-19 True up Order</text>
  </threadedComment>
  <threadedComment ref="D32" dT="2019-11-13T18:05:33.75" personId="{3D3457D5-78DF-4AB8-9B98-7F5F24CAEA22}" id="{87315FBE-C470-443E-AA54-1B28EE033F56}">
    <text>MAT Rate considered as discussed</text>
  </threadedComment>
  <threadedComment ref="H32" dT="2019-11-13T18:05:33.75" personId="{3D3457D5-78DF-4AB8-9B98-7F5F24CAEA22}" id="{87315FBE-C470-443F-AA54-1B28EE033F56}">
    <text>MAT Rate considered as discussed</text>
  </threadedComment>
</ThreadedComments>
</file>

<file path=xl/threadedComments/threadedComment6.xml><?xml version="1.0" encoding="utf-8"?>
<ThreadedComments xmlns="http://schemas.microsoft.com/office/spreadsheetml/2018/threadedcomments" xmlns:x="http://schemas.openxmlformats.org/spreadsheetml/2006/main">
  <threadedComment ref="H11" dT="2019-11-02T21:37:39.71" personId="{3D3457D5-78DF-4AB8-9B98-7F5F24CAEA22}" id="{4FFE7A21-72FF-4FE1-B9D8-2FD04E986FE9}">
    <text>SBI MCLR rate 8.55% as on 1.04.2019 plus 150 basis points</text>
  </threadedComment>
  <threadedComment ref="J11" dT="2019-11-02T21:37:39.71" personId="{3D3457D5-78DF-4AB8-9B98-7F5F24CAEA22}" id="{4FFE7A21-72FF-4FE2-B9D8-2FD04E986FE9}">
    <text>SBI MCLR rate 8.55% as on 1.04.2019 plus 150 basis points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 Id="rId4" Type="http://schemas.microsoft.com/office/2017/10/relationships/threadedComment" Target="../threadedComments/threadedComment2.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 Id="rId4" Type="http://schemas.microsoft.com/office/2017/10/relationships/threadedComment" Target="../threadedComments/threadedComment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5.bin"/><Relationship Id="rId4" Type="http://schemas.microsoft.com/office/2017/10/relationships/threadedComment" Target="../threadedComments/threadedComment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9.bin"/><Relationship Id="rId4" Type="http://schemas.microsoft.com/office/2017/10/relationships/threadedComment" Target="../threadedComments/threadedComment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1.bin"/><Relationship Id="rId4" Type="http://schemas.microsoft.com/office/2017/10/relationships/threadedComment" Target="../threadedComments/threadedComment6.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4"/>
  <sheetViews>
    <sheetView topLeftCell="A54" workbookViewId="0">
      <selection activeCell="A4" sqref="A4:B5"/>
    </sheetView>
  </sheetViews>
  <sheetFormatPr defaultColWidth="9.140625" defaultRowHeight="15"/>
  <cols>
    <col min="1" max="1" width="9.140625" style="6"/>
    <col min="2" max="2" width="10.42578125" style="6" customWidth="1"/>
    <col min="3" max="3" width="7.85546875" style="6" customWidth="1"/>
    <col min="4" max="4" width="16" style="6" customWidth="1"/>
    <col min="5" max="5" width="54" style="6" customWidth="1"/>
    <col min="6" max="6" width="10.85546875" style="6" bestFit="1" customWidth="1"/>
    <col min="7" max="16384" width="9.140625" style="6"/>
  </cols>
  <sheetData>
    <row r="1" spans="1:10">
      <c r="A1" s="1297"/>
      <c r="B1" s="1297"/>
      <c r="C1" s="1297"/>
      <c r="D1" s="1297"/>
      <c r="E1" s="1297"/>
    </row>
    <row r="2" spans="1:10">
      <c r="A2" s="1299" t="s">
        <v>0</v>
      </c>
      <c r="B2" s="1299"/>
      <c r="C2" s="1299"/>
      <c r="D2" s="40"/>
      <c r="E2" s="14"/>
    </row>
    <row r="3" spans="1:10">
      <c r="A3" s="1299" t="s">
        <v>1</v>
      </c>
      <c r="B3" s="1299"/>
      <c r="C3" s="1299"/>
      <c r="D3" s="40"/>
      <c r="E3" s="14"/>
    </row>
    <row r="4" spans="1:10">
      <c r="A4" s="1299" t="s">
        <v>2</v>
      </c>
      <c r="B4" s="1299"/>
      <c r="C4" s="1299"/>
      <c r="D4" s="40"/>
      <c r="E4" s="14"/>
    </row>
    <row r="5" spans="1:10">
      <c r="A5" s="1300"/>
      <c r="B5" s="1300"/>
      <c r="C5" s="1300"/>
      <c r="D5" s="1300"/>
      <c r="E5" s="1300"/>
    </row>
    <row r="6" spans="1:10">
      <c r="A6" s="1298" t="s">
        <v>3</v>
      </c>
      <c r="B6" s="1298"/>
      <c r="C6" s="1298"/>
      <c r="D6" s="1298"/>
      <c r="E6" s="1298"/>
    </row>
    <row r="7" spans="1:10" ht="15.75" thickBot="1">
      <c r="A7" s="1296"/>
      <c r="B7" s="1296"/>
      <c r="C7" s="1296"/>
      <c r="D7" s="1296"/>
      <c r="E7" s="1296"/>
      <c r="G7" s="6" t="s">
        <v>98</v>
      </c>
      <c r="H7" s="6" t="s">
        <v>95</v>
      </c>
      <c r="I7" s="6" t="s">
        <v>99</v>
      </c>
      <c r="J7" s="6" t="s">
        <v>96</v>
      </c>
    </row>
    <row r="8" spans="1:10">
      <c r="A8" s="15" t="s">
        <v>44</v>
      </c>
      <c r="B8" s="16" t="s">
        <v>45</v>
      </c>
      <c r="C8" s="16" t="s">
        <v>46</v>
      </c>
      <c r="D8" s="17" t="s">
        <v>43</v>
      </c>
      <c r="E8" s="18" t="s">
        <v>4</v>
      </c>
    </row>
    <row r="9" spans="1:10">
      <c r="A9" s="19"/>
      <c r="B9" s="20"/>
      <c r="C9" s="20"/>
      <c r="D9" s="21"/>
      <c r="E9" s="22"/>
    </row>
    <row r="10" spans="1:10" ht="30">
      <c r="A10" s="8">
        <v>1</v>
      </c>
      <c r="B10" s="9" t="s">
        <v>5</v>
      </c>
      <c r="C10" s="9" t="s">
        <v>100</v>
      </c>
      <c r="D10" s="23" t="s">
        <v>344</v>
      </c>
      <c r="E10" s="24" t="s">
        <v>6</v>
      </c>
      <c r="F10" s="6" t="s">
        <v>95</v>
      </c>
      <c r="G10" s="2" t="s">
        <v>100</v>
      </c>
      <c r="H10" s="7" t="s">
        <v>101</v>
      </c>
      <c r="I10" s="4" t="s">
        <v>101</v>
      </c>
      <c r="J10" s="2" t="s">
        <v>100</v>
      </c>
    </row>
    <row r="11" spans="1:10" ht="30">
      <c r="A11" s="8">
        <v>2</v>
      </c>
      <c r="B11" s="9" t="s">
        <v>5</v>
      </c>
      <c r="C11" s="9" t="s">
        <v>102</v>
      </c>
      <c r="D11" s="10">
        <v>16.5</v>
      </c>
      <c r="E11" s="24" t="s">
        <v>77</v>
      </c>
      <c r="F11" s="6" t="s">
        <v>95</v>
      </c>
      <c r="G11" s="2"/>
      <c r="H11" s="7" t="s">
        <v>100</v>
      </c>
      <c r="I11" s="2"/>
      <c r="J11" s="2"/>
    </row>
    <row r="12" spans="1:10" ht="30">
      <c r="A12" s="8">
        <v>3</v>
      </c>
      <c r="B12" s="9" t="s">
        <v>5</v>
      </c>
      <c r="C12" s="9" t="s">
        <v>104</v>
      </c>
      <c r="D12" s="10" t="s">
        <v>149</v>
      </c>
      <c r="E12" s="24" t="s">
        <v>78</v>
      </c>
      <c r="F12" s="6" t="s">
        <v>95</v>
      </c>
      <c r="G12" s="2"/>
      <c r="H12" s="7" t="s">
        <v>102</v>
      </c>
      <c r="I12" s="2"/>
      <c r="J12" s="2"/>
    </row>
    <row r="13" spans="1:10">
      <c r="A13" s="8">
        <v>5</v>
      </c>
      <c r="B13" s="9" t="s">
        <v>5</v>
      </c>
      <c r="C13" s="9" t="s">
        <v>106</v>
      </c>
      <c r="D13" s="10" t="s">
        <v>150</v>
      </c>
      <c r="E13" s="11" t="s">
        <v>7</v>
      </c>
      <c r="F13" s="6" t="s">
        <v>96</v>
      </c>
      <c r="G13" s="2"/>
      <c r="H13" s="2"/>
      <c r="I13" s="2" t="s">
        <v>103</v>
      </c>
      <c r="J13" s="7" t="s">
        <v>103</v>
      </c>
    </row>
    <row r="14" spans="1:10">
      <c r="A14" s="8">
        <v>6</v>
      </c>
      <c r="B14" s="9"/>
      <c r="C14" s="9" t="s">
        <v>123</v>
      </c>
      <c r="D14" s="10"/>
      <c r="E14" s="25" t="s">
        <v>419</v>
      </c>
      <c r="G14" s="2"/>
      <c r="H14" s="2"/>
      <c r="I14" s="2"/>
      <c r="J14" s="7"/>
    </row>
    <row r="15" spans="1:10">
      <c r="A15" s="8">
        <v>7</v>
      </c>
      <c r="B15" s="9"/>
      <c r="C15" s="9" t="s">
        <v>418</v>
      </c>
      <c r="D15" s="10"/>
      <c r="E15" s="25" t="s">
        <v>420</v>
      </c>
      <c r="G15" s="2"/>
      <c r="H15" s="2"/>
      <c r="I15" s="2"/>
      <c r="J15" s="7"/>
    </row>
    <row r="16" spans="1:10">
      <c r="A16" s="8">
        <v>8</v>
      </c>
      <c r="B16" s="9" t="s">
        <v>5</v>
      </c>
      <c r="C16" s="9" t="s">
        <v>105</v>
      </c>
      <c r="D16" s="10" t="s">
        <v>151</v>
      </c>
      <c r="E16" s="11" t="s">
        <v>8</v>
      </c>
      <c r="F16" s="6" t="s">
        <v>97</v>
      </c>
      <c r="G16" s="4" t="s">
        <v>102</v>
      </c>
      <c r="H16" s="2"/>
      <c r="I16" s="2"/>
      <c r="J16" s="7" t="s">
        <v>102</v>
      </c>
    </row>
    <row r="17" spans="1:10">
      <c r="A17" s="8">
        <v>9</v>
      </c>
      <c r="B17" s="9" t="s">
        <v>5</v>
      </c>
      <c r="C17" s="9" t="s">
        <v>124</v>
      </c>
      <c r="D17" s="10"/>
      <c r="E17" s="26" t="s">
        <v>10</v>
      </c>
      <c r="F17" s="6" t="s">
        <v>97</v>
      </c>
      <c r="G17" s="4" t="s">
        <v>104</v>
      </c>
      <c r="H17" s="2"/>
      <c r="I17" s="2"/>
      <c r="J17" s="7" t="s">
        <v>104</v>
      </c>
    </row>
    <row r="18" spans="1:10">
      <c r="A18" s="8"/>
      <c r="B18" s="9"/>
      <c r="C18" s="9"/>
      <c r="D18" s="9"/>
      <c r="E18" s="27"/>
      <c r="G18" s="2"/>
      <c r="H18" s="2"/>
      <c r="I18" s="2"/>
      <c r="J18" s="2"/>
    </row>
    <row r="19" spans="1:10">
      <c r="A19" s="8"/>
      <c r="B19" s="9"/>
      <c r="C19" s="9"/>
      <c r="D19" s="9"/>
      <c r="E19" s="2"/>
      <c r="G19" s="2"/>
      <c r="H19" s="2"/>
      <c r="I19" s="2"/>
      <c r="J19" s="2"/>
    </row>
    <row r="20" spans="1:10">
      <c r="A20" s="8"/>
      <c r="B20" s="9"/>
      <c r="C20" s="9"/>
      <c r="D20" s="9"/>
      <c r="E20" s="2"/>
      <c r="G20" s="2"/>
      <c r="H20" s="2"/>
      <c r="I20" s="2"/>
      <c r="J20" s="2"/>
    </row>
    <row r="21" spans="1:10">
      <c r="A21" s="8">
        <v>10</v>
      </c>
      <c r="B21" s="9" t="s">
        <v>5</v>
      </c>
      <c r="C21" s="9" t="s">
        <v>113</v>
      </c>
      <c r="D21" s="10" t="s">
        <v>152</v>
      </c>
      <c r="E21" s="28" t="s">
        <v>11</v>
      </c>
      <c r="F21" s="6" t="s">
        <v>97</v>
      </c>
      <c r="G21" s="4" t="s">
        <v>105</v>
      </c>
      <c r="H21" s="2"/>
      <c r="I21" s="2"/>
      <c r="J21" s="7" t="s">
        <v>106</v>
      </c>
    </row>
    <row r="22" spans="1:10">
      <c r="A22" s="8">
        <v>11</v>
      </c>
      <c r="B22" s="9" t="s">
        <v>5</v>
      </c>
      <c r="C22" s="9" t="s">
        <v>116</v>
      </c>
      <c r="D22" s="10"/>
      <c r="E22" s="28" t="s">
        <v>80</v>
      </c>
      <c r="F22" s="6" t="s">
        <v>94</v>
      </c>
      <c r="G22" s="2"/>
      <c r="H22" s="2"/>
      <c r="I22" s="2"/>
      <c r="J22" s="2"/>
    </row>
    <row r="23" spans="1:10">
      <c r="A23" s="8">
        <v>12</v>
      </c>
      <c r="B23" s="9" t="s">
        <v>5</v>
      </c>
      <c r="C23" s="9" t="s">
        <v>117</v>
      </c>
      <c r="D23" s="10" t="s">
        <v>153</v>
      </c>
      <c r="E23" s="29" t="s">
        <v>9</v>
      </c>
      <c r="G23" s="2"/>
      <c r="H23" s="2" t="s">
        <v>107</v>
      </c>
      <c r="I23" s="2"/>
      <c r="J23" s="7" t="s">
        <v>108</v>
      </c>
    </row>
    <row r="24" spans="1:10" ht="30">
      <c r="A24" s="8">
        <v>13</v>
      </c>
      <c r="B24" s="9" t="s">
        <v>5</v>
      </c>
      <c r="C24" s="9" t="s">
        <v>125</v>
      </c>
      <c r="D24" s="10" t="s">
        <v>154</v>
      </c>
      <c r="E24" s="28" t="s">
        <v>30</v>
      </c>
      <c r="G24" s="2"/>
      <c r="H24" s="2" t="s">
        <v>109</v>
      </c>
      <c r="I24" s="2" t="s">
        <v>110</v>
      </c>
      <c r="J24" s="7" t="s">
        <v>111</v>
      </c>
    </row>
    <row r="25" spans="1:10" ht="30">
      <c r="A25" s="8">
        <v>14</v>
      </c>
      <c r="B25" s="9" t="s">
        <v>5</v>
      </c>
      <c r="C25" s="9" t="s">
        <v>126</v>
      </c>
      <c r="D25" s="10">
        <v>18.3</v>
      </c>
      <c r="E25" s="28" t="s">
        <v>14</v>
      </c>
      <c r="G25" s="4" t="s">
        <v>112</v>
      </c>
      <c r="H25" s="2"/>
      <c r="I25" s="2"/>
      <c r="J25" s="7" t="s">
        <v>113</v>
      </c>
    </row>
    <row r="26" spans="1:10">
      <c r="A26" s="8">
        <v>15</v>
      </c>
      <c r="B26" s="9" t="s">
        <v>5</v>
      </c>
      <c r="C26" s="9" t="s">
        <v>128</v>
      </c>
      <c r="D26" s="10"/>
      <c r="E26" s="28" t="s">
        <v>15</v>
      </c>
      <c r="G26" s="4" t="s">
        <v>114</v>
      </c>
      <c r="H26" s="2"/>
      <c r="I26" s="2"/>
      <c r="J26" s="7" t="s">
        <v>116</v>
      </c>
    </row>
    <row r="27" spans="1:10">
      <c r="A27" s="8">
        <v>16</v>
      </c>
      <c r="B27" s="9" t="s">
        <v>5</v>
      </c>
      <c r="C27" s="9" t="s">
        <v>110</v>
      </c>
      <c r="D27" s="10"/>
      <c r="E27" s="28" t="s">
        <v>16</v>
      </c>
      <c r="G27" s="4" t="s">
        <v>115</v>
      </c>
      <c r="H27" s="2"/>
      <c r="I27" s="2"/>
      <c r="J27" s="7" t="s">
        <v>117</v>
      </c>
    </row>
    <row r="28" spans="1:10">
      <c r="A28" s="8">
        <v>17</v>
      </c>
      <c r="B28" s="9" t="s">
        <v>5</v>
      </c>
      <c r="C28" s="9" t="s">
        <v>109</v>
      </c>
      <c r="D28" s="10">
        <v>18</v>
      </c>
      <c r="E28" s="28" t="s">
        <v>21</v>
      </c>
      <c r="G28" s="4" t="s">
        <v>117</v>
      </c>
      <c r="H28" s="2"/>
      <c r="I28" s="2"/>
      <c r="J28" s="7" t="s">
        <v>109</v>
      </c>
    </row>
    <row r="29" spans="1:10">
      <c r="A29" s="8">
        <v>18</v>
      </c>
      <c r="B29" s="9" t="s">
        <v>5</v>
      </c>
      <c r="C29" s="9" t="s">
        <v>120</v>
      </c>
      <c r="D29" s="10">
        <v>17</v>
      </c>
      <c r="E29" s="28" t="s">
        <v>23</v>
      </c>
      <c r="G29" s="4" t="s">
        <v>118</v>
      </c>
      <c r="H29" s="2"/>
      <c r="I29" s="2"/>
      <c r="J29" s="7" t="s">
        <v>107</v>
      </c>
    </row>
    <row r="30" spans="1:10">
      <c r="A30" s="8">
        <v>19</v>
      </c>
      <c r="B30" s="9" t="s">
        <v>5</v>
      </c>
      <c r="C30" s="9" t="s">
        <v>107</v>
      </c>
      <c r="D30" s="10"/>
      <c r="E30" s="28" t="s">
        <v>24</v>
      </c>
      <c r="G30" s="7" t="s">
        <v>119</v>
      </c>
      <c r="H30" s="2" t="s">
        <v>120</v>
      </c>
      <c r="I30" s="2" t="s">
        <v>120</v>
      </c>
      <c r="J30" s="2" t="s">
        <v>121</v>
      </c>
    </row>
    <row r="31" spans="1:10">
      <c r="A31" s="8">
        <v>20</v>
      </c>
      <c r="B31" s="9" t="s">
        <v>5</v>
      </c>
      <c r="C31" s="9"/>
      <c r="D31" s="10"/>
      <c r="E31" s="28" t="s">
        <v>81</v>
      </c>
      <c r="F31" s="6" t="s">
        <v>94</v>
      </c>
      <c r="G31" s="2"/>
      <c r="H31" s="2"/>
      <c r="I31" s="2"/>
      <c r="J31" s="2"/>
    </row>
    <row r="32" spans="1:10">
      <c r="A32" s="8">
        <v>21</v>
      </c>
      <c r="B32" s="9" t="s">
        <v>5</v>
      </c>
      <c r="C32" s="9"/>
      <c r="D32" s="10"/>
      <c r="E32" s="28" t="s">
        <v>79</v>
      </c>
      <c r="G32" s="7" t="s">
        <v>122</v>
      </c>
      <c r="H32" s="2"/>
      <c r="I32" s="2"/>
      <c r="J32" s="2"/>
    </row>
    <row r="33" spans="1:10">
      <c r="A33" s="8">
        <v>22</v>
      </c>
      <c r="B33" s="9" t="s">
        <v>5</v>
      </c>
      <c r="C33" s="9" t="s">
        <v>121</v>
      </c>
      <c r="D33" s="10"/>
      <c r="E33" s="28" t="s">
        <v>82</v>
      </c>
      <c r="F33" s="6" t="s">
        <v>94</v>
      </c>
      <c r="G33" s="2"/>
      <c r="H33" s="2"/>
      <c r="I33" s="2"/>
      <c r="J33" s="2"/>
    </row>
    <row r="34" spans="1:10">
      <c r="A34" s="8"/>
      <c r="B34" s="9"/>
      <c r="C34" s="9"/>
      <c r="D34" s="10"/>
      <c r="E34" s="30"/>
      <c r="G34" s="2"/>
      <c r="H34" s="2"/>
      <c r="I34" s="2"/>
      <c r="J34" s="2"/>
    </row>
    <row r="35" spans="1:10">
      <c r="A35" s="8">
        <v>23</v>
      </c>
      <c r="B35" s="9" t="s">
        <v>5</v>
      </c>
      <c r="C35" s="9" t="s">
        <v>134</v>
      </c>
      <c r="D35" s="10" t="s">
        <v>155</v>
      </c>
      <c r="E35" s="31" t="s">
        <v>12</v>
      </c>
      <c r="G35" s="4" t="s">
        <v>106</v>
      </c>
      <c r="H35" s="2"/>
      <c r="I35" s="2"/>
      <c r="J35" s="1" t="s">
        <v>105</v>
      </c>
    </row>
    <row r="36" spans="1:10">
      <c r="A36" s="8">
        <v>24</v>
      </c>
      <c r="B36" s="9" t="s">
        <v>5</v>
      </c>
      <c r="C36" s="9" t="s">
        <v>131</v>
      </c>
      <c r="D36" s="10">
        <v>19</v>
      </c>
      <c r="E36" s="31" t="s">
        <v>13</v>
      </c>
      <c r="G36" s="4" t="s">
        <v>123</v>
      </c>
      <c r="H36" s="2"/>
      <c r="I36" s="2"/>
      <c r="J36" s="1" t="s">
        <v>124</v>
      </c>
    </row>
    <row r="37" spans="1:10" ht="14.25" customHeight="1">
      <c r="A37" s="8">
        <v>25</v>
      </c>
      <c r="B37" s="9" t="s">
        <v>5</v>
      </c>
      <c r="C37" s="9" t="s">
        <v>135</v>
      </c>
      <c r="D37" s="10">
        <v>17.100000000000001</v>
      </c>
      <c r="E37" s="31" t="s">
        <v>17</v>
      </c>
      <c r="G37" s="4" t="s">
        <v>109</v>
      </c>
      <c r="H37" s="2"/>
      <c r="I37" s="2"/>
      <c r="J37" s="1" t="s">
        <v>125</v>
      </c>
    </row>
    <row r="38" spans="1:10">
      <c r="A38" s="8">
        <v>26</v>
      </c>
      <c r="B38" s="9" t="s">
        <v>5</v>
      </c>
      <c r="C38" s="9" t="s">
        <v>136</v>
      </c>
      <c r="D38" s="10"/>
      <c r="E38" s="31" t="s">
        <v>18</v>
      </c>
      <c r="G38" s="4" t="s">
        <v>124</v>
      </c>
      <c r="H38" s="2"/>
      <c r="I38" s="2"/>
      <c r="J38" s="1" t="s">
        <v>126</v>
      </c>
    </row>
    <row r="39" spans="1:10">
      <c r="A39" s="8">
        <v>27</v>
      </c>
      <c r="B39" s="9" t="s">
        <v>5</v>
      </c>
      <c r="C39" s="9"/>
      <c r="D39" s="10">
        <v>23</v>
      </c>
      <c r="E39" s="31" t="s">
        <v>19</v>
      </c>
      <c r="G39" s="4" t="s">
        <v>113</v>
      </c>
      <c r="H39" s="2"/>
      <c r="I39" s="2" t="s">
        <v>127</v>
      </c>
      <c r="J39" s="1" t="s">
        <v>128</v>
      </c>
    </row>
    <row r="40" spans="1:10">
      <c r="A40" s="8">
        <v>28</v>
      </c>
      <c r="B40" s="9"/>
      <c r="C40" s="10" t="s">
        <v>137</v>
      </c>
      <c r="D40" s="2"/>
      <c r="E40" s="31" t="s">
        <v>421</v>
      </c>
      <c r="G40" s="4"/>
      <c r="H40" s="2"/>
      <c r="I40" s="2"/>
      <c r="J40" s="1"/>
    </row>
    <row r="41" spans="1:10" ht="25.5" customHeight="1">
      <c r="A41" s="8">
        <v>29</v>
      </c>
      <c r="B41" s="9" t="s">
        <v>5</v>
      </c>
      <c r="C41" s="10" t="s">
        <v>139</v>
      </c>
      <c r="D41" s="2"/>
      <c r="E41" s="31" t="s">
        <v>20</v>
      </c>
      <c r="G41" s="2" t="s">
        <v>116</v>
      </c>
      <c r="H41" s="2"/>
      <c r="I41" s="2"/>
      <c r="J41" s="1" t="s">
        <v>110</v>
      </c>
    </row>
    <row r="42" spans="1:10">
      <c r="A42" s="8">
        <v>30</v>
      </c>
      <c r="B42" s="9" t="s">
        <v>5</v>
      </c>
      <c r="C42" s="10" t="s">
        <v>140</v>
      </c>
      <c r="D42" s="2"/>
      <c r="E42" s="31" t="s">
        <v>22</v>
      </c>
      <c r="G42" s="2" t="s">
        <v>125</v>
      </c>
      <c r="H42" s="2"/>
      <c r="I42" s="2"/>
      <c r="J42" s="1" t="s">
        <v>120</v>
      </c>
    </row>
    <row r="43" spans="1:10">
      <c r="A43" s="8">
        <v>31</v>
      </c>
      <c r="B43" s="9" t="s">
        <v>5</v>
      </c>
      <c r="C43" s="9" t="s">
        <v>141</v>
      </c>
      <c r="D43" s="10"/>
      <c r="E43" s="31" t="s">
        <v>89</v>
      </c>
      <c r="G43" s="2"/>
      <c r="H43" s="7" t="s">
        <v>129</v>
      </c>
      <c r="I43" s="2" t="s">
        <v>129</v>
      </c>
      <c r="J43" s="2"/>
    </row>
    <row r="44" spans="1:10">
      <c r="A44" s="8"/>
      <c r="B44" s="9"/>
      <c r="C44" s="9"/>
      <c r="D44" s="10"/>
      <c r="G44" s="2"/>
      <c r="H44" s="2"/>
      <c r="I44" s="2"/>
      <c r="J44" s="2"/>
    </row>
    <row r="45" spans="1:10">
      <c r="A45" s="8">
        <v>32</v>
      </c>
      <c r="B45" s="9" t="s">
        <v>5</v>
      </c>
      <c r="C45" s="9" t="s">
        <v>142</v>
      </c>
      <c r="D45" s="10">
        <v>21</v>
      </c>
      <c r="E45" s="32" t="s">
        <v>76</v>
      </c>
      <c r="G45" s="2"/>
      <c r="H45" s="7" t="s">
        <v>104</v>
      </c>
      <c r="I45" s="2"/>
      <c r="J45" s="2"/>
    </row>
    <row r="46" spans="1:10">
      <c r="A46" s="8">
        <v>33</v>
      </c>
      <c r="B46" s="9" t="s">
        <v>5</v>
      </c>
      <c r="C46" s="9" t="s">
        <v>143</v>
      </c>
      <c r="D46" s="10">
        <v>21.1</v>
      </c>
      <c r="E46" s="32" t="s">
        <v>26</v>
      </c>
      <c r="G46" s="2"/>
      <c r="H46" s="2" t="s">
        <v>130</v>
      </c>
      <c r="I46" s="2" t="s">
        <v>105</v>
      </c>
      <c r="J46" s="7" t="s">
        <v>131</v>
      </c>
    </row>
    <row r="47" spans="1:10">
      <c r="A47" s="8">
        <v>34</v>
      </c>
      <c r="B47" s="9" t="s">
        <v>5</v>
      </c>
      <c r="C47" s="9" t="s">
        <v>144</v>
      </c>
      <c r="D47" s="10"/>
      <c r="E47" s="32" t="s">
        <v>27</v>
      </c>
      <c r="G47" s="2"/>
      <c r="H47" s="2" t="s">
        <v>105</v>
      </c>
      <c r="I47" s="2" t="s">
        <v>112</v>
      </c>
      <c r="J47" s="7" t="s">
        <v>132</v>
      </c>
    </row>
    <row r="48" spans="1:10">
      <c r="A48" s="8">
        <v>35</v>
      </c>
      <c r="B48" s="9" t="s">
        <v>5</v>
      </c>
      <c r="C48" s="9" t="s">
        <v>145</v>
      </c>
      <c r="D48" s="10"/>
      <c r="E48" s="32" t="s">
        <v>83</v>
      </c>
      <c r="G48" s="2"/>
      <c r="H48" s="7" t="s">
        <v>133</v>
      </c>
      <c r="I48" s="2"/>
      <c r="J48" s="2"/>
    </row>
    <row r="49" spans="1:10">
      <c r="A49" s="8">
        <v>36</v>
      </c>
      <c r="B49" s="9" t="s">
        <v>5</v>
      </c>
      <c r="C49" s="9" t="s">
        <v>404</v>
      </c>
      <c r="D49" s="10">
        <v>21.2</v>
      </c>
      <c r="E49" s="33" t="s">
        <v>25</v>
      </c>
      <c r="G49" s="2"/>
      <c r="H49" s="2" t="s">
        <v>106</v>
      </c>
      <c r="I49" s="2" t="s">
        <v>106</v>
      </c>
      <c r="J49" s="7" t="s">
        <v>134</v>
      </c>
    </row>
    <row r="50" spans="1:10">
      <c r="A50" s="8">
        <v>37</v>
      </c>
      <c r="B50" s="9" t="s">
        <v>5</v>
      </c>
      <c r="C50" s="9" t="s">
        <v>405</v>
      </c>
      <c r="D50" s="10">
        <v>21.3</v>
      </c>
      <c r="E50" s="32" t="s">
        <v>28</v>
      </c>
      <c r="G50" s="2"/>
      <c r="H50" s="2" t="s">
        <v>124</v>
      </c>
      <c r="I50" s="2" t="s">
        <v>124</v>
      </c>
      <c r="J50" s="7" t="s">
        <v>135</v>
      </c>
    </row>
    <row r="51" spans="1:10">
      <c r="A51" s="8">
        <v>38</v>
      </c>
      <c r="B51" s="9" t="s">
        <v>5</v>
      </c>
      <c r="C51" s="9"/>
      <c r="D51" s="10" t="s">
        <v>156</v>
      </c>
      <c r="E51" s="32" t="s">
        <v>29</v>
      </c>
      <c r="G51" s="2"/>
      <c r="H51" s="2" t="s">
        <v>113</v>
      </c>
      <c r="I51" s="2" t="s">
        <v>113</v>
      </c>
      <c r="J51" s="7" t="s">
        <v>136</v>
      </c>
    </row>
    <row r="52" spans="1:10">
      <c r="A52" s="8">
        <v>39</v>
      </c>
      <c r="B52" s="9" t="s">
        <v>5</v>
      </c>
      <c r="C52" s="9" t="s">
        <v>422</v>
      </c>
      <c r="D52" s="9">
        <v>22</v>
      </c>
      <c r="E52" s="12" t="s">
        <v>86</v>
      </c>
      <c r="G52" s="7" t="s">
        <v>126</v>
      </c>
      <c r="H52" s="2"/>
      <c r="I52" s="2"/>
      <c r="J52" s="2"/>
    </row>
    <row r="53" spans="1:10">
      <c r="A53" s="8">
        <v>40</v>
      </c>
      <c r="B53" s="9" t="s">
        <v>5</v>
      </c>
      <c r="C53" s="9" t="s">
        <v>406</v>
      </c>
      <c r="D53" s="9">
        <v>22</v>
      </c>
      <c r="E53" s="12" t="s">
        <v>87</v>
      </c>
      <c r="G53" s="7" t="s">
        <v>128</v>
      </c>
      <c r="H53" s="2"/>
      <c r="I53" s="2"/>
      <c r="J53" s="2"/>
    </row>
    <row r="54" spans="1:10">
      <c r="A54" s="8">
        <v>41</v>
      </c>
      <c r="B54" s="9" t="s">
        <v>5</v>
      </c>
      <c r="C54" s="9"/>
      <c r="D54" s="10">
        <v>23</v>
      </c>
      <c r="E54" s="33" t="s">
        <v>31</v>
      </c>
      <c r="G54" s="2"/>
      <c r="H54" s="2" t="s">
        <v>116</v>
      </c>
      <c r="I54" s="2" t="s">
        <v>116</v>
      </c>
      <c r="J54" s="7" t="s">
        <v>137</v>
      </c>
    </row>
    <row r="55" spans="1:10">
      <c r="A55" s="8">
        <v>42</v>
      </c>
      <c r="B55" s="9" t="s">
        <v>5</v>
      </c>
      <c r="C55" s="9" t="s">
        <v>423</v>
      </c>
      <c r="D55" s="10">
        <v>23</v>
      </c>
      <c r="E55" s="33" t="s">
        <v>84</v>
      </c>
      <c r="G55" s="2" t="s">
        <v>110</v>
      </c>
      <c r="H55" s="2"/>
      <c r="I55" s="2"/>
      <c r="J55" s="2"/>
    </row>
    <row r="56" spans="1:10">
      <c r="A56" s="8">
        <v>43</v>
      </c>
      <c r="B56" s="9" t="s">
        <v>5</v>
      </c>
      <c r="C56" s="9" t="s">
        <v>407</v>
      </c>
      <c r="D56" s="10">
        <v>23</v>
      </c>
      <c r="E56" s="33" t="s">
        <v>85</v>
      </c>
      <c r="G56" s="2" t="s">
        <v>138</v>
      </c>
      <c r="H56" s="2"/>
      <c r="I56" s="2"/>
      <c r="J56" s="2"/>
    </row>
    <row r="57" spans="1:10">
      <c r="A57" s="8">
        <v>44</v>
      </c>
      <c r="B57" s="9" t="s">
        <v>5</v>
      </c>
      <c r="C57" s="1294" t="s">
        <v>409</v>
      </c>
      <c r="D57" s="10" t="s">
        <v>157</v>
      </c>
      <c r="E57" s="33" t="s">
        <v>32</v>
      </c>
      <c r="G57" s="2"/>
      <c r="H57" s="2" t="s">
        <v>146</v>
      </c>
      <c r="I57" s="2"/>
      <c r="J57" s="7" t="s">
        <v>139</v>
      </c>
    </row>
    <row r="58" spans="1:10">
      <c r="A58" s="8">
        <v>45</v>
      </c>
      <c r="B58" s="9" t="s">
        <v>5</v>
      </c>
      <c r="C58" s="1295"/>
      <c r="D58" s="10">
        <v>26</v>
      </c>
      <c r="E58" s="33" t="s">
        <v>88</v>
      </c>
      <c r="G58" s="2"/>
      <c r="H58" s="7" t="s">
        <v>147</v>
      </c>
      <c r="I58" s="2"/>
      <c r="J58" s="2" t="s">
        <v>140</v>
      </c>
    </row>
    <row r="59" spans="1:10">
      <c r="A59" s="8">
        <v>46</v>
      </c>
      <c r="B59" s="9" t="s">
        <v>5</v>
      </c>
      <c r="C59" s="9" t="s">
        <v>408</v>
      </c>
      <c r="D59" s="10">
        <v>24</v>
      </c>
      <c r="E59" s="34" t="s">
        <v>33</v>
      </c>
      <c r="G59" s="2"/>
      <c r="H59" s="4" t="s">
        <v>148</v>
      </c>
      <c r="I59" s="2" t="s">
        <v>134</v>
      </c>
      <c r="J59" s="7" t="s">
        <v>141</v>
      </c>
    </row>
    <row r="60" spans="1:10">
      <c r="A60" s="8">
        <v>47</v>
      </c>
      <c r="B60" s="9" t="s">
        <v>5</v>
      </c>
      <c r="C60" s="9" t="s">
        <v>416</v>
      </c>
      <c r="D60" s="10">
        <v>28</v>
      </c>
      <c r="E60" s="34" t="s">
        <v>34</v>
      </c>
      <c r="G60" s="2"/>
      <c r="H60" s="4" t="s">
        <v>131</v>
      </c>
      <c r="I60" s="2" t="s">
        <v>102</v>
      </c>
      <c r="J60" s="7" t="s">
        <v>142</v>
      </c>
    </row>
    <row r="61" spans="1:10">
      <c r="A61" s="8">
        <v>48</v>
      </c>
      <c r="B61" s="9"/>
      <c r="C61" s="9" t="s">
        <v>417</v>
      </c>
      <c r="D61" s="10"/>
      <c r="E61" s="34" t="s">
        <v>424</v>
      </c>
      <c r="G61" s="2"/>
      <c r="H61" s="2"/>
      <c r="I61" s="2"/>
      <c r="J61" s="2"/>
    </row>
    <row r="62" spans="1:10">
      <c r="A62" s="8">
        <v>49</v>
      </c>
      <c r="B62" s="9" t="s">
        <v>5</v>
      </c>
      <c r="C62" s="9" t="s">
        <v>415</v>
      </c>
      <c r="D62" s="10">
        <v>29</v>
      </c>
      <c r="E62" s="34" t="s">
        <v>35</v>
      </c>
      <c r="G62" s="2"/>
      <c r="H62" s="2"/>
      <c r="I62" s="2"/>
      <c r="J62" s="7" t="s">
        <v>143</v>
      </c>
    </row>
    <row r="63" spans="1:10">
      <c r="A63" s="8">
        <v>50</v>
      </c>
      <c r="B63" s="9" t="s">
        <v>5</v>
      </c>
      <c r="C63" s="9" t="s">
        <v>411</v>
      </c>
      <c r="D63" s="10">
        <v>17</v>
      </c>
      <c r="E63" s="34" t="s">
        <v>36</v>
      </c>
      <c r="G63" s="2"/>
      <c r="H63" s="7" t="s">
        <v>117</v>
      </c>
      <c r="I63" s="2"/>
      <c r="J63" s="2" t="s">
        <v>144</v>
      </c>
    </row>
    <row r="64" spans="1:10">
      <c r="A64" s="8">
        <v>51</v>
      </c>
      <c r="B64" s="9" t="s">
        <v>5</v>
      </c>
      <c r="C64" s="9" t="s">
        <v>410</v>
      </c>
      <c r="D64" s="9">
        <v>27</v>
      </c>
      <c r="E64" s="35" t="s">
        <v>37</v>
      </c>
      <c r="G64" s="2"/>
      <c r="H64" s="2"/>
      <c r="I64" s="2"/>
      <c r="J64" s="7" t="s">
        <v>145</v>
      </c>
    </row>
    <row r="65" spans="1:10">
      <c r="A65" s="8">
        <v>52</v>
      </c>
      <c r="B65" s="9" t="s">
        <v>5</v>
      </c>
      <c r="C65" s="2" t="s">
        <v>413</v>
      </c>
      <c r="D65" s="13">
        <v>21</v>
      </c>
      <c r="E65" s="35" t="s">
        <v>75</v>
      </c>
      <c r="G65" s="2"/>
      <c r="H65" s="7" t="s">
        <v>128</v>
      </c>
      <c r="I65" s="2"/>
      <c r="J65" s="2"/>
    </row>
    <row r="66" spans="1:10">
      <c r="A66" s="8">
        <v>53</v>
      </c>
      <c r="B66" s="9" t="s">
        <v>5</v>
      </c>
      <c r="C66" s="2" t="s">
        <v>414</v>
      </c>
      <c r="D66" s="2"/>
      <c r="E66" s="35" t="s">
        <v>90</v>
      </c>
      <c r="G66" s="2"/>
      <c r="H66" s="7" t="s">
        <v>110</v>
      </c>
      <c r="I66" s="2" t="s">
        <v>128</v>
      </c>
      <c r="J66" s="2"/>
    </row>
    <row r="67" spans="1:10">
      <c r="A67" s="8">
        <v>54</v>
      </c>
      <c r="B67" s="9" t="s">
        <v>5</v>
      </c>
      <c r="C67" s="2" t="s">
        <v>412</v>
      </c>
      <c r="D67" s="2"/>
      <c r="E67" s="35" t="s">
        <v>93</v>
      </c>
      <c r="G67" s="2"/>
      <c r="H67" s="7" t="s">
        <v>125</v>
      </c>
      <c r="I67" s="2" t="s">
        <v>125</v>
      </c>
      <c r="J67" s="2"/>
    </row>
    <row r="68" spans="1:10">
      <c r="A68" s="8">
        <v>55</v>
      </c>
      <c r="B68" s="9" t="s">
        <v>5</v>
      </c>
      <c r="C68" s="2" t="s">
        <v>425</v>
      </c>
      <c r="D68" s="2"/>
      <c r="E68" s="35" t="s">
        <v>91</v>
      </c>
      <c r="G68" s="2"/>
      <c r="H68" s="7" t="s">
        <v>121</v>
      </c>
      <c r="I68" s="2" t="s">
        <v>107</v>
      </c>
      <c r="J68" s="2"/>
    </row>
    <row r="69" spans="1:10">
      <c r="A69" s="8">
        <v>56</v>
      </c>
      <c r="B69" s="9" t="s">
        <v>5</v>
      </c>
      <c r="C69" s="2" t="s">
        <v>426</v>
      </c>
      <c r="D69" s="2"/>
      <c r="E69" s="35" t="s">
        <v>92</v>
      </c>
      <c r="G69" s="2"/>
      <c r="H69" s="7" t="s">
        <v>134</v>
      </c>
      <c r="I69" s="2" t="s">
        <v>121</v>
      </c>
      <c r="J69" s="2"/>
    </row>
    <row r="70" spans="1:10">
      <c r="A70" s="36"/>
      <c r="E70" s="37"/>
    </row>
    <row r="71" spans="1:10">
      <c r="B71" s="38"/>
      <c r="C71" s="38"/>
      <c r="D71" s="38"/>
      <c r="E71" s="38"/>
    </row>
    <row r="72" spans="1:10">
      <c r="A72" s="39" t="s">
        <v>38</v>
      </c>
    </row>
    <row r="73" spans="1:10">
      <c r="A73" s="41" t="s">
        <v>39</v>
      </c>
      <c r="B73" s="38" t="s">
        <v>40</v>
      </c>
      <c r="C73" s="38"/>
      <c r="D73" s="38"/>
      <c r="E73" s="38"/>
    </row>
    <row r="74" spans="1:10">
      <c r="A74" s="41" t="s">
        <v>41</v>
      </c>
      <c r="B74" s="38" t="s">
        <v>42</v>
      </c>
      <c r="C74" s="38"/>
      <c r="D74" s="38"/>
      <c r="E74" s="38"/>
    </row>
  </sheetData>
  <mergeCells count="8">
    <mergeCell ref="C57:C58"/>
    <mergeCell ref="A7:E7"/>
    <mergeCell ref="A1:E1"/>
    <mergeCell ref="A6:E6"/>
    <mergeCell ref="A2:C2"/>
    <mergeCell ref="A3:C3"/>
    <mergeCell ref="A4:C4"/>
    <mergeCell ref="A5:E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K40"/>
  <sheetViews>
    <sheetView showGridLines="0" view="pageBreakPreview" zoomScale="70" zoomScaleNormal="80" zoomScaleSheetLayoutView="70" workbookViewId="0">
      <selection activeCell="H10" sqref="H10"/>
    </sheetView>
  </sheetViews>
  <sheetFormatPr defaultColWidth="9.140625" defaultRowHeight="15.75"/>
  <cols>
    <col min="1" max="1" width="8.28515625" style="292" customWidth="1"/>
    <col min="2" max="2" width="41.7109375" style="292" customWidth="1"/>
    <col min="3" max="3" width="17.42578125" style="292" customWidth="1"/>
    <col min="4" max="4" width="15.42578125" style="292" bestFit="1" customWidth="1"/>
    <col min="5" max="5" width="20.140625" style="292" customWidth="1"/>
    <col min="6" max="6" width="10.7109375" style="292" hidden="1" customWidth="1"/>
    <col min="7" max="7" width="15" style="292" hidden="1" customWidth="1"/>
    <col min="8" max="8" width="14" style="292" bestFit="1" customWidth="1"/>
    <col min="9" max="9" width="15.85546875" style="292" customWidth="1"/>
    <col min="10" max="10" width="16.5703125" style="292" customWidth="1"/>
    <col min="11" max="16384" width="9.140625" style="292"/>
  </cols>
  <sheetData>
    <row r="1" spans="1:11" ht="21" customHeight="1">
      <c r="A1" s="1428" t="s">
        <v>1233</v>
      </c>
      <c r="B1" s="1429"/>
      <c r="C1" s="1429"/>
      <c r="D1" s="1429"/>
      <c r="E1" s="1429"/>
      <c r="F1" s="1429"/>
      <c r="G1" s="1429"/>
      <c r="H1" s="1429"/>
      <c r="I1" s="1429"/>
      <c r="J1" s="1429"/>
    </row>
    <row r="2" spans="1:11" ht="21" customHeight="1">
      <c r="A2" s="1435" t="s">
        <v>587</v>
      </c>
      <c r="B2" s="1435"/>
      <c r="C2" s="494"/>
      <c r="D2" s="494"/>
      <c r="E2" s="494"/>
      <c r="F2" s="494"/>
      <c r="G2" s="494"/>
      <c r="H2" s="494"/>
      <c r="I2" s="494" t="s">
        <v>436</v>
      </c>
      <c r="J2" s="494"/>
    </row>
    <row r="3" spans="1:11" ht="21" customHeight="1">
      <c r="A3" s="1434" t="s">
        <v>586</v>
      </c>
      <c r="B3" s="1434"/>
      <c r="C3" s="1434"/>
      <c r="D3" s="1434"/>
      <c r="E3" s="1434"/>
      <c r="F3" s="1434"/>
      <c r="G3" s="1434"/>
      <c r="H3" s="1434"/>
      <c r="I3" s="1433" t="s">
        <v>345</v>
      </c>
      <c r="J3" s="1433"/>
    </row>
    <row r="4" spans="1:11" ht="29.25" customHeight="1">
      <c r="A4" s="1430"/>
      <c r="B4" s="1365" t="s">
        <v>48</v>
      </c>
      <c r="C4" s="1431" t="s">
        <v>1916</v>
      </c>
      <c r="D4" s="1432"/>
      <c r="E4" s="1375" t="s">
        <v>1917</v>
      </c>
      <c r="F4" s="1376"/>
      <c r="G4" s="1376"/>
      <c r="H4" s="1377"/>
      <c r="I4" s="1365" t="s">
        <v>1918</v>
      </c>
      <c r="J4" s="1365"/>
      <c r="K4" s="388"/>
    </row>
    <row r="5" spans="1:11" ht="31.5">
      <c r="A5" s="1430"/>
      <c r="B5" s="1365"/>
      <c r="C5" s="455" t="s">
        <v>1235</v>
      </c>
      <c r="D5" s="328" t="s">
        <v>1919</v>
      </c>
      <c r="E5" s="455" t="s">
        <v>1235</v>
      </c>
      <c r="F5" s="455" t="s">
        <v>1239</v>
      </c>
      <c r="G5" s="455" t="s">
        <v>1240</v>
      </c>
      <c r="H5" s="459" t="s">
        <v>1241</v>
      </c>
      <c r="I5" s="455" t="s">
        <v>1235</v>
      </c>
      <c r="J5" s="455" t="s">
        <v>1243</v>
      </c>
      <c r="K5" s="388"/>
    </row>
    <row r="6" spans="1:11" ht="21" customHeight="1">
      <c r="A6" s="146" t="s">
        <v>161</v>
      </c>
      <c r="B6" s="147" t="s">
        <v>162</v>
      </c>
      <c r="C6" s="134"/>
      <c r="D6" s="134"/>
      <c r="E6" s="134"/>
      <c r="F6" s="134"/>
      <c r="G6" s="134"/>
      <c r="H6" s="134"/>
      <c r="I6" s="134"/>
      <c r="J6" s="134"/>
      <c r="K6" s="388"/>
    </row>
    <row r="7" spans="1:11" ht="35.25" customHeight="1">
      <c r="A7" s="61">
        <v>1</v>
      </c>
      <c r="B7" s="76" t="s">
        <v>556</v>
      </c>
      <c r="C7" s="563">
        <f>1279.2*46%</f>
        <v>588.43200000000002</v>
      </c>
      <c r="D7" s="563">
        <f>'[1]P&amp;L21-22'!$B$8/100</f>
        <v>455.00571459999998</v>
      </c>
      <c r="E7" s="563">
        <f>870.904*46%</f>
        <v>400.61583999999999</v>
      </c>
      <c r="F7" s="389"/>
      <c r="G7" s="389"/>
      <c r="H7" s="1150">
        <f>E7</f>
        <v>400.61583999999999</v>
      </c>
      <c r="I7" s="1150">
        <f>1946.33*46%</f>
        <v>895.31180000000006</v>
      </c>
      <c r="J7" s="1150">
        <f ca="1">('F1'!K40*(5916/6016))*46%</f>
        <v>713.3056477796182</v>
      </c>
      <c r="K7" s="388"/>
    </row>
    <row r="8" spans="1:11" ht="35.25" customHeight="1">
      <c r="A8" s="61">
        <v>2</v>
      </c>
      <c r="B8" s="76" t="s">
        <v>557</v>
      </c>
      <c r="C8" s="563">
        <f>1279.2*54%</f>
        <v>690.76800000000003</v>
      </c>
      <c r="D8" s="563">
        <f>'[1]P&amp;L21-22'!$B$9/100</f>
        <v>534.13714330000005</v>
      </c>
      <c r="E8" s="563">
        <f>870.904*54%</f>
        <v>470.28816</v>
      </c>
      <c r="F8" s="389"/>
      <c r="G8" s="389"/>
      <c r="H8" s="1150">
        <f>E8</f>
        <v>470.28816</v>
      </c>
      <c r="I8" s="1150">
        <f>1946.33*54%</f>
        <v>1051.0182</v>
      </c>
      <c r="J8" s="1150">
        <f ca="1">('F1'!K40*(5916/6016))*54%</f>
        <v>837.35880391520402</v>
      </c>
      <c r="K8" s="388"/>
    </row>
    <row r="9" spans="1:11" ht="21" customHeight="1">
      <c r="A9" s="61">
        <v>3</v>
      </c>
      <c r="B9" s="76" t="s">
        <v>163</v>
      </c>
      <c r="C9" s="391"/>
      <c r="D9" s="390"/>
      <c r="E9" s="390"/>
      <c r="F9" s="390"/>
      <c r="G9" s="390"/>
      <c r="H9" s="390"/>
      <c r="I9" s="390"/>
      <c r="J9" s="390"/>
      <c r="K9" s="388"/>
    </row>
    <row r="10" spans="1:11" ht="21" customHeight="1">
      <c r="A10" s="78"/>
      <c r="B10" s="169" t="s">
        <v>164</v>
      </c>
      <c r="C10" s="389"/>
      <c r="D10" s="389"/>
      <c r="E10" s="389"/>
      <c r="F10" s="389"/>
      <c r="G10" s="389"/>
      <c r="H10" s="389"/>
      <c r="I10" s="389"/>
      <c r="J10" s="389"/>
      <c r="K10" s="388"/>
    </row>
    <row r="11" spans="1:11" ht="21" customHeight="1">
      <c r="A11" s="78"/>
      <c r="B11" s="169" t="s">
        <v>1398</v>
      </c>
      <c r="C11" s="392"/>
      <c r="D11" s="659"/>
      <c r="E11" s="392"/>
      <c r="F11" s="392"/>
      <c r="G11" s="392"/>
      <c r="H11" s="392"/>
      <c r="I11" s="392"/>
      <c r="J11" s="392"/>
      <c r="K11" s="388"/>
    </row>
    <row r="12" spans="1:11" ht="21" customHeight="1" thickBot="1">
      <c r="A12" s="78"/>
      <c r="B12" s="393" t="s">
        <v>171</v>
      </c>
      <c r="C12" s="658">
        <f>SUM(C7:C11)</f>
        <v>1279.2</v>
      </c>
      <c r="D12" s="658">
        <f>SUM(D7:D11)</f>
        <v>989.14285790000008</v>
      </c>
      <c r="E12" s="658">
        <f>SUM(E7:E11)</f>
        <v>870.904</v>
      </c>
      <c r="F12" s="394"/>
      <c r="G12" s="394"/>
      <c r="H12" s="658">
        <f>SUM(H7:H11)</f>
        <v>870.904</v>
      </c>
      <c r="I12" s="658">
        <f>SUM(I7:I11)</f>
        <v>1946.33</v>
      </c>
      <c r="J12" s="658">
        <f ca="1">SUM(J7:J11)</f>
        <v>1550.6644516948222</v>
      </c>
      <c r="K12" s="388"/>
    </row>
    <row r="13" spans="1:11" ht="21" hidden="1" customHeight="1">
      <c r="A13" s="78"/>
      <c r="B13" s="395"/>
      <c r="C13" s="395"/>
      <c r="D13" s="395"/>
      <c r="E13" s="395"/>
      <c r="F13" s="395"/>
      <c r="G13" s="395"/>
      <c r="H13" s="395"/>
      <c r="I13" s="395"/>
      <c r="J13" s="395"/>
      <c r="K13" s="388"/>
    </row>
    <row r="14" spans="1:11" ht="31.5" customHeight="1">
      <c r="A14" s="146" t="s">
        <v>166</v>
      </c>
      <c r="B14" s="147" t="s">
        <v>168</v>
      </c>
      <c r="C14" s="294"/>
      <c r="D14" s="294"/>
      <c r="E14" s="294"/>
      <c r="F14" s="294"/>
      <c r="G14" s="294"/>
      <c r="H14" s="294"/>
      <c r="I14" s="294"/>
      <c r="J14" s="294"/>
      <c r="K14" s="388"/>
    </row>
    <row r="15" spans="1:11" ht="21" customHeight="1">
      <c r="A15" s="276">
        <v>1</v>
      </c>
      <c r="B15" s="396" t="s">
        <v>1170</v>
      </c>
      <c r="C15" s="391"/>
      <c r="D15" s="541">
        <f>'[1]P&amp;L21-22'!$B$10/100</f>
        <v>13.177141999999998</v>
      </c>
      <c r="E15" s="391"/>
      <c r="F15" s="391"/>
      <c r="G15" s="391"/>
      <c r="H15" s="391">
        <v>0</v>
      </c>
      <c r="I15" s="391"/>
      <c r="J15" s="391">
        <f>D15</f>
        <v>13.177141999999998</v>
      </c>
      <c r="K15" s="388"/>
    </row>
    <row r="16" spans="1:11" ht="21" customHeight="1">
      <c r="A16" s="276">
        <v>2</v>
      </c>
      <c r="B16" s="396"/>
      <c r="C16" s="391"/>
      <c r="D16" s="391"/>
      <c r="E16" s="391"/>
      <c r="F16" s="391"/>
      <c r="G16" s="391"/>
      <c r="H16" s="391"/>
      <c r="I16" s="391"/>
      <c r="J16" s="391"/>
      <c r="K16" s="388"/>
    </row>
    <row r="17" spans="1:11" ht="21" customHeight="1" thickBot="1">
      <c r="A17" s="397"/>
      <c r="B17" s="393" t="s">
        <v>171</v>
      </c>
      <c r="C17" s="398">
        <f>C15</f>
        <v>0</v>
      </c>
      <c r="D17" s="398">
        <f>D15</f>
        <v>13.177141999999998</v>
      </c>
      <c r="E17" s="398">
        <f>E15</f>
        <v>0</v>
      </c>
      <c r="F17" s="398"/>
      <c r="G17" s="398"/>
      <c r="H17" s="398">
        <f>H15</f>
        <v>0</v>
      </c>
      <c r="I17" s="398">
        <f>I15</f>
        <v>0</v>
      </c>
      <c r="J17" s="398">
        <f>J15</f>
        <v>13.177141999999998</v>
      </c>
      <c r="K17" s="388"/>
    </row>
    <row r="18" spans="1:11" ht="21" customHeight="1" thickBot="1">
      <c r="A18" s="399"/>
      <c r="B18" s="399" t="s">
        <v>296</v>
      </c>
      <c r="C18" s="400">
        <f>C12+C17</f>
        <v>1279.2</v>
      </c>
      <c r="D18" s="400">
        <f>D12+D17</f>
        <v>1002.3199999000001</v>
      </c>
      <c r="E18" s="400">
        <f>E12+E17</f>
        <v>870.904</v>
      </c>
      <c r="F18" s="400"/>
      <c r="G18" s="400"/>
      <c r="H18" s="400">
        <f>H12+H17</f>
        <v>870.904</v>
      </c>
      <c r="I18" s="400">
        <f>I12+I17</f>
        <v>1946.33</v>
      </c>
      <c r="J18" s="400">
        <f ca="1">J12+J17</f>
        <v>1563.8415936948222</v>
      </c>
      <c r="K18" s="388"/>
    </row>
    <row r="19" spans="1:11" ht="21" customHeight="1" thickTop="1">
      <c r="A19" s="519"/>
      <c r="B19" s="519"/>
      <c r="C19" s="520"/>
      <c r="D19" s="520"/>
      <c r="E19" s="520"/>
      <c r="F19" s="520"/>
      <c r="G19" s="520"/>
      <c r="H19" s="520"/>
      <c r="I19" s="520"/>
      <c r="J19" s="520"/>
      <c r="K19" s="388"/>
    </row>
    <row r="20" spans="1:11" ht="21" customHeight="1">
      <c r="A20" s="401" t="s">
        <v>1778</v>
      </c>
      <c r="B20" s="388"/>
      <c r="C20" s="388"/>
      <c r="D20" s="388"/>
      <c r="E20" s="388"/>
      <c r="F20" s="388"/>
      <c r="G20" s="388"/>
      <c r="H20" s="388"/>
      <c r="I20" s="388"/>
      <c r="K20" s="388"/>
    </row>
    <row r="21" spans="1:11" ht="45" customHeight="1">
      <c r="A21" s="1426"/>
      <c r="B21" s="1427"/>
      <c r="C21" s="455" t="s">
        <v>1247</v>
      </c>
      <c r="D21" s="388"/>
      <c r="E21" s="293"/>
      <c r="F21" s="388"/>
    </row>
    <row r="22" spans="1:11" ht="21" customHeight="1">
      <c r="A22" s="1426"/>
      <c r="B22" s="1427"/>
      <c r="C22" s="291" t="s">
        <v>1252</v>
      </c>
      <c r="D22" s="388"/>
      <c r="E22" s="293"/>
      <c r="F22" s="388"/>
    </row>
    <row r="23" spans="1:11">
      <c r="A23" s="146" t="s">
        <v>161</v>
      </c>
      <c r="B23" s="1193" t="s">
        <v>162</v>
      </c>
      <c r="C23" s="1140"/>
      <c r="D23" s="388"/>
    </row>
    <row r="24" spans="1:11" ht="31.5">
      <c r="A24" s="78">
        <v>1</v>
      </c>
      <c r="B24" s="1194" t="s">
        <v>556</v>
      </c>
      <c r="C24" s="1195">
        <f ca="1">'F1'!K44*('F3'!L39/'F3'!L47)</f>
        <v>677.62061857238825</v>
      </c>
      <c r="D24" s="388"/>
    </row>
    <row r="25" spans="1:11" ht="31.5">
      <c r="A25" s="78">
        <v>2</v>
      </c>
      <c r="B25" s="1194" t="s">
        <v>557</v>
      </c>
      <c r="C25" s="1195">
        <f ca="1">'F1'!K44*('F3'!L40/'F3'!L47)</f>
        <v>705.00335768237028</v>
      </c>
      <c r="D25" s="388"/>
    </row>
    <row r="26" spans="1:11">
      <c r="A26" s="78">
        <v>3</v>
      </c>
      <c r="B26" s="1196"/>
      <c r="C26" s="1196"/>
      <c r="D26" s="388"/>
    </row>
    <row r="27" spans="1:11">
      <c r="A27" s="78"/>
      <c r="B27" s="1197" t="s">
        <v>164</v>
      </c>
      <c r="C27" s="1198"/>
      <c r="D27" s="388"/>
    </row>
    <row r="28" spans="1:11">
      <c r="A28" s="78"/>
      <c r="B28" s="1197" t="s">
        <v>165</v>
      </c>
      <c r="C28" s="1168"/>
      <c r="D28" s="388"/>
    </row>
    <row r="29" spans="1:11" ht="16.5" thickBot="1">
      <c r="A29" s="78"/>
      <c r="B29" s="1199" t="s">
        <v>171</v>
      </c>
      <c r="C29" s="1200">
        <f ca="1">C24+C25</f>
        <v>1382.6239762547584</v>
      </c>
      <c r="D29" s="1291"/>
      <c r="E29" s="1079"/>
    </row>
    <row r="30" spans="1:11" ht="31.5">
      <c r="A30" s="146" t="s">
        <v>166</v>
      </c>
      <c r="B30" s="1193" t="s">
        <v>168</v>
      </c>
      <c r="C30" s="1140"/>
      <c r="D30" s="388"/>
    </row>
    <row r="31" spans="1:11">
      <c r="A31" s="78">
        <v>1</v>
      </c>
      <c r="B31" s="1194" t="s">
        <v>1170</v>
      </c>
      <c r="C31" s="1195">
        <f ca="1">'F1'!K44*'F3'!L45/'F3'!L47</f>
        <v>20.434879932822327</v>
      </c>
      <c r="D31" s="1078"/>
    </row>
    <row r="32" spans="1:11">
      <c r="A32" s="78">
        <v>2</v>
      </c>
      <c r="B32" s="1201"/>
      <c r="C32" s="1201"/>
      <c r="D32" s="388"/>
    </row>
    <row r="33" spans="1:10" ht="16.5" thickBot="1">
      <c r="A33" s="402"/>
      <c r="B33" s="1199" t="s">
        <v>171</v>
      </c>
      <c r="C33" s="1200">
        <f ca="1">C31</f>
        <v>20.434879932822327</v>
      </c>
      <c r="D33" s="1291"/>
    </row>
    <row r="34" spans="1:10" ht="16.5" thickBot="1">
      <c r="A34" s="403"/>
      <c r="B34" s="1202" t="s">
        <v>296</v>
      </c>
      <c r="C34" s="1203">
        <f ca="1">C29+C33</f>
        <v>1403.0588561875807</v>
      </c>
      <c r="D34" s="388"/>
    </row>
    <row r="35" spans="1:10" ht="16.5" thickTop="1">
      <c r="A35" s="404" t="s">
        <v>401</v>
      </c>
      <c r="B35" s="1204" t="s">
        <v>402</v>
      </c>
      <c r="C35" s="1205"/>
      <c r="D35" s="388"/>
    </row>
    <row r="36" spans="1:10">
      <c r="A36" s="403"/>
      <c r="B36" s="1206" t="s">
        <v>403</v>
      </c>
      <c r="C36" s="1207"/>
      <c r="D36" s="388"/>
    </row>
    <row r="37" spans="1:10">
      <c r="I37" s="388"/>
    </row>
    <row r="38" spans="1:10">
      <c r="I38" s="388"/>
    </row>
    <row r="40" spans="1:10" ht="16.5">
      <c r="H40" s="1341" t="s">
        <v>427</v>
      </c>
      <c r="I40" s="1341"/>
      <c r="J40" s="1341"/>
    </row>
  </sheetData>
  <mergeCells count="12">
    <mergeCell ref="H40:J40"/>
    <mergeCell ref="A21:A22"/>
    <mergeCell ref="B21:B22"/>
    <mergeCell ref="A1:J1"/>
    <mergeCell ref="A4:A5"/>
    <mergeCell ref="B4:B5"/>
    <mergeCell ref="C4:D4"/>
    <mergeCell ref="I3:J3"/>
    <mergeCell ref="A3:H3"/>
    <mergeCell ref="E4:H4"/>
    <mergeCell ref="I4:J4"/>
    <mergeCell ref="A2:B2"/>
  </mergeCells>
  <pageMargins left="0.21" right="0.2" top="0.74803149606299213" bottom="0.74803149606299213" header="0.31496062992125984" footer="0.31496062992125984"/>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507"/>
  <sheetViews>
    <sheetView showGridLines="0" view="pageBreakPreview" topLeftCell="A504" zoomScale="55" zoomScaleNormal="55" zoomScaleSheetLayoutView="55" workbookViewId="0">
      <selection activeCell="H353" sqref="H353"/>
    </sheetView>
  </sheetViews>
  <sheetFormatPr defaultColWidth="9.140625" defaultRowHeight="15.75"/>
  <cols>
    <col min="1" max="1" width="4.140625" style="99" customWidth="1"/>
    <col min="2" max="2" width="6.28515625" style="165" bestFit="1" customWidth="1"/>
    <col min="3" max="3" width="48.7109375" style="885" customWidth="1"/>
    <col min="4" max="4" width="15.42578125" style="165" customWidth="1"/>
    <col min="5" max="5" width="14.42578125" style="99" bestFit="1" customWidth="1"/>
    <col min="6" max="6" width="17.28515625" style="99" customWidth="1"/>
    <col min="7" max="7" width="12.85546875" style="99" bestFit="1" customWidth="1"/>
    <col min="8" max="8" width="19.85546875" style="99" bestFit="1" customWidth="1"/>
    <col min="9" max="9" width="12.28515625" style="771" bestFit="1" customWidth="1"/>
    <col min="10" max="10" width="19.85546875" style="99" bestFit="1" customWidth="1"/>
    <col min="11" max="11" width="3.7109375" style="99" customWidth="1"/>
    <col min="12" max="16384" width="9.140625" style="99"/>
  </cols>
  <sheetData>
    <row r="1" spans="2:11">
      <c r="J1" s="771"/>
    </row>
    <row r="2" spans="2:11">
      <c r="B2" s="1437" t="s">
        <v>1233</v>
      </c>
      <c r="C2" s="1437"/>
      <c r="D2" s="1437"/>
      <c r="E2" s="1437"/>
      <c r="F2" s="1437"/>
      <c r="G2" s="888"/>
      <c r="H2" s="888"/>
      <c r="I2" s="515"/>
      <c r="J2" s="771"/>
      <c r="K2" s="513"/>
    </row>
    <row r="3" spans="2:11">
      <c r="B3" s="1438" t="s">
        <v>900</v>
      </c>
      <c r="C3" s="1438"/>
      <c r="D3" s="1438"/>
      <c r="E3" s="1438"/>
      <c r="F3" s="1438"/>
      <c r="G3" s="1438"/>
      <c r="H3" s="1438"/>
      <c r="I3" s="514"/>
      <c r="J3" s="515"/>
      <c r="K3" s="513"/>
    </row>
    <row r="4" spans="2:11">
      <c r="B4" s="1439" t="s">
        <v>173</v>
      </c>
      <c r="C4" s="1439"/>
      <c r="D4" s="1439"/>
      <c r="E4" s="1439"/>
      <c r="F4" s="1439"/>
      <c r="G4" s="1439"/>
      <c r="H4" s="1439"/>
      <c r="I4" s="514"/>
      <c r="J4" s="515"/>
      <c r="K4" s="513"/>
    </row>
    <row r="5" spans="2:11" ht="47.25">
      <c r="B5" s="518" t="s">
        <v>174</v>
      </c>
      <c r="C5" s="889" t="s">
        <v>996</v>
      </c>
      <c r="D5" s="776" t="s">
        <v>997</v>
      </c>
      <c r="E5" s="890" t="s">
        <v>998</v>
      </c>
      <c r="F5" s="890" t="s">
        <v>999</v>
      </c>
      <c r="G5" s="890" t="s">
        <v>1000</v>
      </c>
      <c r="H5" s="890" t="s">
        <v>1001</v>
      </c>
      <c r="I5" s="891"/>
      <c r="J5" s="515"/>
      <c r="K5" s="513"/>
    </row>
    <row r="6" spans="2:11">
      <c r="B6" s="723">
        <v>1</v>
      </c>
      <c r="C6" s="921" t="s">
        <v>1466</v>
      </c>
      <c r="D6" s="919" t="s">
        <v>1002</v>
      </c>
      <c r="E6" s="919" t="s">
        <v>1006</v>
      </c>
      <c r="F6" s="921">
        <v>1</v>
      </c>
      <c r="G6" s="921">
        <v>132</v>
      </c>
      <c r="H6" s="1001">
        <v>0.5</v>
      </c>
      <c r="I6" s="725"/>
      <c r="J6" s="725"/>
      <c r="K6" s="513"/>
    </row>
    <row r="7" spans="2:11">
      <c r="B7" s="723">
        <v>2</v>
      </c>
      <c r="C7" s="921" t="s">
        <v>1467</v>
      </c>
      <c r="D7" s="919" t="s">
        <v>1002</v>
      </c>
      <c r="E7" s="919" t="s">
        <v>1006</v>
      </c>
      <c r="F7" s="921">
        <v>1</v>
      </c>
      <c r="G7" s="921">
        <v>132</v>
      </c>
      <c r="H7" s="1001">
        <v>0.1</v>
      </c>
      <c r="I7" s="725"/>
      <c r="J7" s="725"/>
      <c r="K7" s="513"/>
    </row>
    <row r="8" spans="2:11">
      <c r="B8" s="723">
        <v>3</v>
      </c>
      <c r="C8" s="921" t="s">
        <v>1469</v>
      </c>
      <c r="D8" s="919" t="s">
        <v>1002</v>
      </c>
      <c r="E8" s="919" t="s">
        <v>1006</v>
      </c>
      <c r="F8" s="921">
        <v>1</v>
      </c>
      <c r="G8" s="921">
        <v>132</v>
      </c>
      <c r="H8" s="1001">
        <v>44</v>
      </c>
      <c r="I8" s="725"/>
      <c r="J8" s="725"/>
      <c r="K8" s="513"/>
    </row>
    <row r="9" spans="2:11">
      <c r="B9" s="723">
        <v>4</v>
      </c>
      <c r="C9" s="921" t="s">
        <v>1470</v>
      </c>
      <c r="D9" s="919" t="s">
        <v>1002</v>
      </c>
      <c r="E9" s="919" t="s">
        <v>1006</v>
      </c>
      <c r="F9" s="921">
        <v>1</v>
      </c>
      <c r="G9" s="921">
        <v>132</v>
      </c>
      <c r="H9" s="1001">
        <v>35.4</v>
      </c>
      <c r="I9" s="725"/>
      <c r="J9" s="725"/>
      <c r="K9" s="513"/>
    </row>
    <row r="10" spans="2:11">
      <c r="B10" s="723">
        <v>5</v>
      </c>
      <c r="C10" s="921" t="s">
        <v>2090</v>
      </c>
      <c r="D10" s="919" t="s">
        <v>1002</v>
      </c>
      <c r="E10" s="919" t="s">
        <v>1003</v>
      </c>
      <c r="F10" s="921">
        <v>1</v>
      </c>
      <c r="G10" s="921">
        <v>132</v>
      </c>
      <c r="H10" s="1001">
        <v>9.1999999999999993</v>
      </c>
      <c r="I10" s="725"/>
      <c r="J10" s="725"/>
      <c r="K10" s="513"/>
    </row>
    <row r="11" spans="2:11">
      <c r="B11" s="723">
        <v>6</v>
      </c>
      <c r="C11" s="921" t="s">
        <v>2091</v>
      </c>
      <c r="D11" s="919" t="s">
        <v>1002</v>
      </c>
      <c r="E11" s="919" t="s">
        <v>1006</v>
      </c>
      <c r="F11" s="921">
        <v>1</v>
      </c>
      <c r="G11" s="921">
        <v>132</v>
      </c>
      <c r="H11" s="1001">
        <v>14.56</v>
      </c>
      <c r="I11" s="725"/>
      <c r="J11" s="725"/>
      <c r="K11" s="513"/>
    </row>
    <row r="12" spans="2:11" s="165" customFormat="1">
      <c r="B12" s="723">
        <v>7</v>
      </c>
      <c r="C12" s="921" t="s">
        <v>2092</v>
      </c>
      <c r="D12" s="919" t="s">
        <v>1002</v>
      </c>
      <c r="E12" s="919" t="s">
        <v>1003</v>
      </c>
      <c r="F12" s="921">
        <v>1</v>
      </c>
      <c r="G12" s="921">
        <v>132</v>
      </c>
      <c r="H12" s="1002">
        <v>23.2</v>
      </c>
      <c r="I12" s="725"/>
      <c r="J12" s="725"/>
      <c r="K12" s="886"/>
    </row>
    <row r="13" spans="2:11">
      <c r="B13" s="723">
        <v>8</v>
      </c>
      <c r="C13" s="921" t="s">
        <v>1564</v>
      </c>
      <c r="D13" s="919" t="s">
        <v>1002</v>
      </c>
      <c r="E13" s="919" t="s">
        <v>1006</v>
      </c>
      <c r="F13" s="921">
        <v>1</v>
      </c>
      <c r="G13" s="921">
        <v>132</v>
      </c>
      <c r="H13" s="1002">
        <v>22.5</v>
      </c>
      <c r="I13" s="725"/>
      <c r="J13" s="725"/>
      <c r="K13" s="513"/>
    </row>
    <row r="14" spans="2:11">
      <c r="B14" s="723">
        <v>9</v>
      </c>
      <c r="C14" s="921" t="s">
        <v>1563</v>
      </c>
      <c r="D14" s="919" t="s">
        <v>1002</v>
      </c>
      <c r="E14" s="919" t="s">
        <v>1006</v>
      </c>
      <c r="F14" s="921">
        <v>1</v>
      </c>
      <c r="G14" s="921">
        <v>132</v>
      </c>
      <c r="H14" s="1002">
        <v>23.8</v>
      </c>
      <c r="I14" s="725"/>
      <c r="J14" s="725"/>
      <c r="K14" s="513"/>
    </row>
    <row r="15" spans="2:11">
      <c r="B15" s="723">
        <v>10</v>
      </c>
      <c r="C15" s="923" t="s">
        <v>1566</v>
      </c>
      <c r="D15" s="919" t="s">
        <v>1002</v>
      </c>
      <c r="E15" s="919" t="s">
        <v>1006</v>
      </c>
      <c r="F15" s="921">
        <v>1</v>
      </c>
      <c r="G15" s="921">
        <v>132</v>
      </c>
      <c r="H15" s="1002">
        <v>26.4</v>
      </c>
      <c r="I15" s="725"/>
      <c r="J15" s="725"/>
      <c r="K15" s="513"/>
    </row>
    <row r="16" spans="2:11">
      <c r="B16" s="723">
        <v>11</v>
      </c>
      <c r="C16" s="921" t="s">
        <v>1565</v>
      </c>
      <c r="D16" s="919" t="s">
        <v>1002</v>
      </c>
      <c r="E16" s="919" t="s">
        <v>1006</v>
      </c>
      <c r="F16" s="921">
        <v>1</v>
      </c>
      <c r="G16" s="921">
        <v>132</v>
      </c>
      <c r="H16" s="1002">
        <v>69.459999999999994</v>
      </c>
      <c r="I16" s="725"/>
      <c r="J16" s="725"/>
      <c r="K16" s="513"/>
    </row>
    <row r="17" spans="2:11">
      <c r="B17" s="723">
        <v>12</v>
      </c>
      <c r="C17" s="921" t="s">
        <v>1529</v>
      </c>
      <c r="D17" s="919" t="s">
        <v>1002</v>
      </c>
      <c r="E17" s="919" t="s">
        <v>1003</v>
      </c>
      <c r="F17" s="921">
        <v>1</v>
      </c>
      <c r="G17" s="921">
        <v>132</v>
      </c>
      <c r="H17" s="1002">
        <v>134.54</v>
      </c>
      <c r="I17" s="725"/>
      <c r="J17" s="725"/>
      <c r="K17" s="513"/>
    </row>
    <row r="18" spans="2:11">
      <c r="B18" s="723">
        <v>13</v>
      </c>
      <c r="C18" s="921" t="s">
        <v>2093</v>
      </c>
      <c r="D18" s="919" t="s">
        <v>1002</v>
      </c>
      <c r="E18" s="919" t="s">
        <v>1003</v>
      </c>
      <c r="F18" s="921">
        <v>1</v>
      </c>
      <c r="G18" s="921">
        <v>132</v>
      </c>
      <c r="H18" s="1002">
        <v>140.80000000000001</v>
      </c>
      <c r="I18" s="725"/>
      <c r="J18" s="725"/>
      <c r="K18" s="513"/>
    </row>
    <row r="19" spans="2:11">
      <c r="B19" s="723">
        <v>14</v>
      </c>
      <c r="C19" s="921" t="s">
        <v>1559</v>
      </c>
      <c r="D19" s="919" t="s">
        <v>1002</v>
      </c>
      <c r="E19" s="919" t="s">
        <v>1006</v>
      </c>
      <c r="F19" s="921">
        <v>1</v>
      </c>
      <c r="G19" s="921">
        <v>132</v>
      </c>
      <c r="H19" s="921">
        <v>51.44</v>
      </c>
      <c r="I19" s="725"/>
      <c r="J19" s="725"/>
      <c r="K19" s="513"/>
    </row>
    <row r="20" spans="2:11">
      <c r="B20" s="723">
        <v>15</v>
      </c>
      <c r="C20" s="921" t="s">
        <v>1560</v>
      </c>
      <c r="D20" s="919" t="s">
        <v>1002</v>
      </c>
      <c r="E20" s="919" t="s">
        <v>1006</v>
      </c>
      <c r="F20" s="921">
        <v>1</v>
      </c>
      <c r="G20" s="921">
        <v>132</v>
      </c>
      <c r="H20" s="921">
        <v>21.853999999999999</v>
      </c>
      <c r="I20" s="725"/>
      <c r="J20" s="725"/>
      <c r="K20" s="513"/>
    </row>
    <row r="21" spans="2:11">
      <c r="B21" s="723">
        <v>16</v>
      </c>
      <c r="C21" s="921" t="s">
        <v>2094</v>
      </c>
      <c r="D21" s="919" t="s">
        <v>1002</v>
      </c>
      <c r="E21" s="919" t="s">
        <v>1006</v>
      </c>
      <c r="F21" s="921">
        <v>1</v>
      </c>
      <c r="G21" s="921">
        <v>132</v>
      </c>
      <c r="H21" s="921">
        <v>46</v>
      </c>
      <c r="I21" s="725"/>
      <c r="J21" s="725"/>
      <c r="K21" s="513"/>
    </row>
    <row r="22" spans="2:11">
      <c r="B22" s="723">
        <v>17</v>
      </c>
      <c r="C22" s="921" t="s">
        <v>2095</v>
      </c>
      <c r="D22" s="919" t="s">
        <v>1002</v>
      </c>
      <c r="E22" s="919" t="s">
        <v>1006</v>
      </c>
      <c r="F22" s="921">
        <v>1</v>
      </c>
      <c r="G22" s="921">
        <v>132</v>
      </c>
      <c r="H22" s="1002">
        <v>44</v>
      </c>
      <c r="I22" s="725"/>
      <c r="J22" s="725"/>
      <c r="K22" s="513"/>
    </row>
    <row r="23" spans="2:11">
      <c r="B23" s="723">
        <v>18</v>
      </c>
      <c r="C23" s="920" t="s">
        <v>1562</v>
      </c>
      <c r="D23" s="919" t="s">
        <v>1002</v>
      </c>
      <c r="E23" s="919" t="s">
        <v>1003</v>
      </c>
      <c r="F23" s="921">
        <v>1</v>
      </c>
      <c r="G23" s="921">
        <v>132</v>
      </c>
      <c r="H23" s="921">
        <v>28.978000000000002</v>
      </c>
      <c r="I23" s="725"/>
      <c r="J23" s="725"/>
      <c r="K23" s="513"/>
    </row>
    <row r="24" spans="2:11">
      <c r="B24" s="723">
        <v>19</v>
      </c>
      <c r="C24" s="921" t="s">
        <v>1558</v>
      </c>
      <c r="D24" s="919" t="s">
        <v>1002</v>
      </c>
      <c r="E24" s="919" t="s">
        <v>1006</v>
      </c>
      <c r="F24" s="921">
        <v>1</v>
      </c>
      <c r="G24" s="921">
        <v>132</v>
      </c>
      <c r="H24" s="1002">
        <v>40</v>
      </c>
      <c r="I24" s="725"/>
      <c r="J24" s="725"/>
      <c r="K24" s="513"/>
    </row>
    <row r="25" spans="2:11">
      <c r="B25" s="723">
        <v>20</v>
      </c>
      <c r="C25" s="921" t="s">
        <v>2096</v>
      </c>
      <c r="D25" s="919" t="s">
        <v>1002</v>
      </c>
      <c r="E25" s="919" t="s">
        <v>1006</v>
      </c>
      <c r="F25" s="921">
        <v>1</v>
      </c>
      <c r="G25" s="921">
        <v>132</v>
      </c>
      <c r="H25" s="1002">
        <v>55</v>
      </c>
      <c r="I25" s="725"/>
      <c r="J25" s="725"/>
      <c r="K25" s="513"/>
    </row>
    <row r="26" spans="2:11">
      <c r="B26" s="723">
        <v>21</v>
      </c>
      <c r="C26" s="723" t="s">
        <v>2097</v>
      </c>
      <c r="D26" s="919" t="s">
        <v>1002</v>
      </c>
      <c r="E26" s="919" t="s">
        <v>1006</v>
      </c>
      <c r="F26" s="921">
        <v>1</v>
      </c>
      <c r="G26" s="921">
        <v>132</v>
      </c>
      <c r="H26" s="1001">
        <v>83</v>
      </c>
      <c r="I26" s="725"/>
      <c r="J26" s="725"/>
      <c r="K26" s="513"/>
    </row>
    <row r="27" spans="2:11">
      <c r="B27" s="723">
        <v>22</v>
      </c>
      <c r="C27" s="921" t="s">
        <v>2098</v>
      </c>
      <c r="D27" s="919" t="s">
        <v>1002</v>
      </c>
      <c r="E27" s="919" t="s">
        <v>1006</v>
      </c>
      <c r="F27" s="921">
        <v>1</v>
      </c>
      <c r="G27" s="921">
        <v>132</v>
      </c>
      <c r="H27" s="1001">
        <v>34</v>
      </c>
      <c r="I27" s="725"/>
      <c r="J27" s="725"/>
      <c r="K27" s="513"/>
    </row>
    <row r="28" spans="2:11">
      <c r="B28" s="723">
        <v>23</v>
      </c>
      <c r="C28" s="1001" t="s">
        <v>1557</v>
      </c>
      <c r="D28" s="919" t="s">
        <v>1002</v>
      </c>
      <c r="E28" s="919" t="s">
        <v>1006</v>
      </c>
      <c r="F28" s="921">
        <v>1</v>
      </c>
      <c r="G28" s="921">
        <v>132</v>
      </c>
      <c r="H28" s="1002">
        <v>39</v>
      </c>
      <c r="I28" s="725"/>
      <c r="J28" s="725"/>
      <c r="K28" s="513"/>
    </row>
    <row r="29" spans="2:11">
      <c r="B29" s="723">
        <v>24</v>
      </c>
      <c r="C29" s="921" t="s">
        <v>1555</v>
      </c>
      <c r="D29" s="919" t="s">
        <v>1002</v>
      </c>
      <c r="E29" s="919" t="s">
        <v>1006</v>
      </c>
      <c r="F29" s="921">
        <v>1</v>
      </c>
      <c r="G29" s="921">
        <v>132</v>
      </c>
      <c r="H29" s="1002">
        <v>32</v>
      </c>
      <c r="I29" s="725"/>
      <c r="J29" s="725"/>
      <c r="K29" s="513"/>
    </row>
    <row r="30" spans="2:11">
      <c r="B30" s="723">
        <v>25</v>
      </c>
      <c r="C30" s="921" t="s">
        <v>2099</v>
      </c>
      <c r="D30" s="919" t="s">
        <v>1002</v>
      </c>
      <c r="E30" s="919" t="s">
        <v>1006</v>
      </c>
      <c r="F30" s="921">
        <v>1</v>
      </c>
      <c r="G30" s="921">
        <v>132</v>
      </c>
      <c r="H30" s="1002">
        <v>62.7</v>
      </c>
      <c r="I30" s="725"/>
      <c r="J30" s="725"/>
      <c r="K30" s="513"/>
    </row>
    <row r="31" spans="2:11">
      <c r="B31" s="723">
        <v>26</v>
      </c>
      <c r="C31" s="921" t="s">
        <v>2100</v>
      </c>
      <c r="D31" s="919" t="s">
        <v>1002</v>
      </c>
      <c r="E31" s="919" t="s">
        <v>1006</v>
      </c>
      <c r="F31" s="921">
        <v>1</v>
      </c>
      <c r="G31" s="921">
        <v>132</v>
      </c>
      <c r="H31" s="1002">
        <v>66.17</v>
      </c>
      <c r="I31" s="725"/>
      <c r="J31" s="725"/>
      <c r="K31" s="513"/>
    </row>
    <row r="32" spans="2:11">
      <c r="B32" s="723">
        <v>27</v>
      </c>
      <c r="C32" s="921" t="s">
        <v>1488</v>
      </c>
      <c r="D32" s="919" t="s">
        <v>1002</v>
      </c>
      <c r="E32" s="919" t="s">
        <v>1006</v>
      </c>
      <c r="F32" s="921">
        <v>1</v>
      </c>
      <c r="G32" s="921">
        <v>132</v>
      </c>
      <c r="H32" s="1001">
        <v>56</v>
      </c>
      <c r="I32" s="725"/>
      <c r="J32" s="725"/>
      <c r="K32" s="513"/>
    </row>
    <row r="33" spans="2:11">
      <c r="B33" s="723">
        <v>28</v>
      </c>
      <c r="C33" s="723" t="s">
        <v>1489</v>
      </c>
      <c r="D33" s="919" t="s">
        <v>1002</v>
      </c>
      <c r="E33" s="919" t="s">
        <v>1006</v>
      </c>
      <c r="F33" s="921">
        <v>1</v>
      </c>
      <c r="G33" s="921">
        <v>132</v>
      </c>
      <c r="H33" s="319">
        <v>30.14</v>
      </c>
      <c r="I33" s="725"/>
      <c r="J33" s="725"/>
      <c r="K33" s="513"/>
    </row>
    <row r="34" spans="2:11">
      <c r="B34" s="723">
        <v>29</v>
      </c>
      <c r="C34" s="921" t="s">
        <v>1484</v>
      </c>
      <c r="D34" s="919" t="s">
        <v>1002</v>
      </c>
      <c r="E34" s="919" t="s">
        <v>1003</v>
      </c>
      <c r="F34" s="921">
        <v>1</v>
      </c>
      <c r="G34" s="921">
        <v>132</v>
      </c>
      <c r="H34" s="319">
        <v>36</v>
      </c>
      <c r="I34" s="725"/>
      <c r="J34" s="725"/>
      <c r="K34" s="513"/>
    </row>
    <row r="35" spans="2:11">
      <c r="B35" s="723">
        <v>30</v>
      </c>
      <c r="C35" s="921" t="s">
        <v>1485</v>
      </c>
      <c r="D35" s="919" t="s">
        <v>1002</v>
      </c>
      <c r="E35" s="919" t="s">
        <v>1003</v>
      </c>
      <c r="F35" s="921">
        <v>1</v>
      </c>
      <c r="G35" s="921">
        <v>132</v>
      </c>
      <c r="H35" s="922">
        <v>23.571999999999999</v>
      </c>
      <c r="I35" s="725"/>
      <c r="J35" s="725"/>
      <c r="K35" s="513"/>
    </row>
    <row r="36" spans="2:11">
      <c r="B36" s="723">
        <v>31</v>
      </c>
      <c r="C36" s="921" t="s">
        <v>1468</v>
      </c>
      <c r="D36" s="919" t="s">
        <v>1002</v>
      </c>
      <c r="E36" s="919" t="s">
        <v>1006</v>
      </c>
      <c r="F36" s="921">
        <v>1</v>
      </c>
      <c r="G36" s="921">
        <v>132</v>
      </c>
      <c r="H36" s="1001">
        <v>77.5</v>
      </c>
      <c r="I36" s="725"/>
      <c r="J36" s="725"/>
      <c r="K36" s="513"/>
    </row>
    <row r="37" spans="2:11">
      <c r="B37" s="723">
        <v>32</v>
      </c>
      <c r="C37" s="921" t="s">
        <v>1492</v>
      </c>
      <c r="D37" s="919" t="s">
        <v>1002</v>
      </c>
      <c r="E37" s="919" t="s">
        <v>1006</v>
      </c>
      <c r="F37" s="921">
        <v>1</v>
      </c>
      <c r="G37" s="921">
        <v>132</v>
      </c>
      <c r="H37" s="1001">
        <v>29</v>
      </c>
      <c r="I37" s="725"/>
      <c r="J37" s="725"/>
      <c r="K37" s="513"/>
    </row>
    <row r="38" spans="2:11">
      <c r="B38" s="723">
        <v>33</v>
      </c>
      <c r="C38" s="1001" t="s">
        <v>2101</v>
      </c>
      <c r="D38" s="919" t="s">
        <v>1002</v>
      </c>
      <c r="E38" s="919" t="s">
        <v>1006</v>
      </c>
      <c r="F38" s="921">
        <v>1</v>
      </c>
      <c r="G38" s="921">
        <v>132</v>
      </c>
      <c r="H38" s="1001">
        <v>94</v>
      </c>
      <c r="I38" s="725"/>
      <c r="J38" s="725"/>
      <c r="K38" s="513"/>
    </row>
    <row r="39" spans="2:11">
      <c r="B39" s="723">
        <v>34</v>
      </c>
      <c r="C39" s="921" t="s">
        <v>2102</v>
      </c>
      <c r="D39" s="919" t="s">
        <v>1002</v>
      </c>
      <c r="E39" s="919" t="s">
        <v>1006</v>
      </c>
      <c r="F39" s="921">
        <v>1</v>
      </c>
      <c r="G39" s="921">
        <v>132</v>
      </c>
      <c r="H39" s="1001">
        <v>28</v>
      </c>
      <c r="I39" s="725"/>
      <c r="J39" s="725"/>
      <c r="K39" s="513"/>
    </row>
    <row r="40" spans="2:11">
      <c r="B40" s="723">
        <v>35</v>
      </c>
      <c r="C40" s="921" t="s">
        <v>2103</v>
      </c>
      <c r="D40" s="919" t="s">
        <v>1002</v>
      </c>
      <c r="E40" s="919" t="s">
        <v>1006</v>
      </c>
      <c r="F40" s="921">
        <v>1</v>
      </c>
      <c r="G40" s="921">
        <v>132</v>
      </c>
      <c r="H40" s="1001">
        <v>26</v>
      </c>
      <c r="I40" s="725"/>
      <c r="J40" s="725"/>
      <c r="K40" s="513"/>
    </row>
    <row r="41" spans="2:11">
      <c r="B41" s="723">
        <v>36</v>
      </c>
      <c r="C41" s="921" t="s">
        <v>2104</v>
      </c>
      <c r="D41" s="919" t="s">
        <v>1002</v>
      </c>
      <c r="E41" s="919" t="s">
        <v>1006</v>
      </c>
      <c r="F41" s="921">
        <v>1</v>
      </c>
      <c r="G41" s="921">
        <v>132</v>
      </c>
      <c r="H41" s="1001">
        <v>19</v>
      </c>
      <c r="I41" s="725"/>
      <c r="J41" s="725"/>
      <c r="K41" s="513"/>
    </row>
    <row r="42" spans="2:11">
      <c r="B42" s="723">
        <v>37</v>
      </c>
      <c r="C42" s="921" t="s">
        <v>2105</v>
      </c>
      <c r="D42" s="919" t="s">
        <v>1002</v>
      </c>
      <c r="E42" s="919" t="s">
        <v>1006</v>
      </c>
      <c r="F42" s="921">
        <v>1</v>
      </c>
      <c r="G42" s="921">
        <v>132</v>
      </c>
      <c r="H42" s="1001">
        <v>30</v>
      </c>
      <c r="I42" s="725"/>
      <c r="J42" s="725"/>
      <c r="K42" s="513"/>
    </row>
    <row r="43" spans="2:11">
      <c r="B43" s="723">
        <v>38</v>
      </c>
      <c r="C43" s="921" t="s">
        <v>2106</v>
      </c>
      <c r="D43" s="919" t="s">
        <v>1002</v>
      </c>
      <c r="E43" s="919" t="s">
        <v>1006</v>
      </c>
      <c r="F43" s="921">
        <v>1</v>
      </c>
      <c r="G43" s="921">
        <v>132</v>
      </c>
      <c r="H43" s="1001">
        <v>14</v>
      </c>
      <c r="I43" s="725"/>
      <c r="J43" s="725"/>
      <c r="K43" s="513"/>
    </row>
    <row r="44" spans="2:11">
      <c r="B44" s="723">
        <v>39</v>
      </c>
      <c r="C44" s="921" t="s">
        <v>1494</v>
      </c>
      <c r="D44" s="919" t="s">
        <v>1002</v>
      </c>
      <c r="E44" s="919" t="s">
        <v>1003</v>
      </c>
      <c r="F44" s="921">
        <v>1</v>
      </c>
      <c r="G44" s="921">
        <v>132</v>
      </c>
      <c r="H44" s="1001">
        <v>56</v>
      </c>
      <c r="I44" s="725"/>
      <c r="J44" s="725"/>
      <c r="K44" s="513"/>
    </row>
    <row r="45" spans="2:11">
      <c r="B45" s="723">
        <v>40</v>
      </c>
      <c r="C45" s="921" t="s">
        <v>1495</v>
      </c>
      <c r="D45" s="919" t="s">
        <v>1002</v>
      </c>
      <c r="E45" s="919" t="s">
        <v>1006</v>
      </c>
      <c r="F45" s="921">
        <v>1</v>
      </c>
      <c r="G45" s="921">
        <v>132</v>
      </c>
      <c r="H45" s="319">
        <v>0.05</v>
      </c>
      <c r="I45" s="725"/>
      <c r="J45" s="725"/>
      <c r="K45" s="513"/>
    </row>
    <row r="46" spans="2:11">
      <c r="B46" s="723">
        <v>41</v>
      </c>
      <c r="C46" s="921" t="s">
        <v>1486</v>
      </c>
      <c r="D46" s="919" t="s">
        <v>1002</v>
      </c>
      <c r="E46" s="919" t="s">
        <v>1006</v>
      </c>
      <c r="F46" s="921">
        <v>1</v>
      </c>
      <c r="G46" s="921">
        <v>132</v>
      </c>
      <c r="H46" s="1001">
        <v>58.22</v>
      </c>
      <c r="I46" s="725"/>
      <c r="J46" s="725"/>
      <c r="K46" s="513"/>
    </row>
    <row r="47" spans="2:11">
      <c r="B47" s="723">
        <v>42</v>
      </c>
      <c r="C47" s="921" t="s">
        <v>1487</v>
      </c>
      <c r="D47" s="919" t="s">
        <v>1002</v>
      </c>
      <c r="E47" s="919" t="s">
        <v>1006</v>
      </c>
      <c r="F47" s="921">
        <v>1</v>
      </c>
      <c r="G47" s="921">
        <v>132</v>
      </c>
      <c r="H47" s="1001">
        <v>27.28</v>
      </c>
      <c r="I47" s="725"/>
      <c r="J47" s="725"/>
      <c r="K47" s="513"/>
    </row>
    <row r="48" spans="2:11">
      <c r="B48" s="723">
        <v>43</v>
      </c>
      <c r="C48" s="921" t="s">
        <v>1488</v>
      </c>
      <c r="D48" s="919" t="s">
        <v>1002</v>
      </c>
      <c r="E48" s="919" t="s">
        <v>1006</v>
      </c>
      <c r="F48" s="921">
        <v>1</v>
      </c>
      <c r="G48" s="921">
        <v>132</v>
      </c>
      <c r="H48" s="1001">
        <v>56</v>
      </c>
      <c r="I48" s="725"/>
      <c r="J48" s="725"/>
      <c r="K48" s="513"/>
    </row>
    <row r="49" spans="2:11">
      <c r="B49" s="723">
        <v>44</v>
      </c>
      <c r="C49" s="1003" t="s">
        <v>2107</v>
      </c>
      <c r="D49" s="919" t="s">
        <v>1002</v>
      </c>
      <c r="E49" s="919" t="s">
        <v>1003</v>
      </c>
      <c r="F49" s="921">
        <v>1</v>
      </c>
      <c r="G49" s="921">
        <v>132</v>
      </c>
      <c r="H49" s="1004">
        <v>70</v>
      </c>
      <c r="I49" s="725"/>
      <c r="J49" s="725"/>
      <c r="K49" s="513"/>
    </row>
    <row r="50" spans="2:11">
      <c r="B50" s="723">
        <v>45</v>
      </c>
      <c r="C50" s="723" t="s">
        <v>1489</v>
      </c>
      <c r="D50" s="919" t="s">
        <v>1002</v>
      </c>
      <c r="E50" s="919" t="s">
        <v>1006</v>
      </c>
      <c r="F50" s="921">
        <v>1</v>
      </c>
      <c r="G50" s="921">
        <v>132</v>
      </c>
      <c r="H50" s="1001">
        <v>30.14</v>
      </c>
      <c r="I50" s="725"/>
      <c r="J50" s="725"/>
    </row>
    <row r="51" spans="2:11">
      <c r="B51" s="723">
        <v>46</v>
      </c>
      <c r="C51" s="1001" t="s">
        <v>2108</v>
      </c>
      <c r="D51" s="919" t="s">
        <v>1002</v>
      </c>
      <c r="E51" s="919" t="s">
        <v>1006</v>
      </c>
      <c r="F51" s="921">
        <v>1</v>
      </c>
      <c r="G51" s="921">
        <v>132</v>
      </c>
      <c r="H51" s="319">
        <v>17.309999999999999</v>
      </c>
      <c r="I51" s="725"/>
      <c r="J51" s="725"/>
    </row>
    <row r="52" spans="2:11">
      <c r="B52" s="723">
        <v>47</v>
      </c>
      <c r="C52" s="921" t="s">
        <v>1491</v>
      </c>
      <c r="D52" s="919" t="s">
        <v>1002</v>
      </c>
      <c r="E52" s="919" t="s">
        <v>1006</v>
      </c>
      <c r="F52" s="921">
        <v>1</v>
      </c>
      <c r="G52" s="921">
        <v>132</v>
      </c>
      <c r="H52" s="1001">
        <v>37.5</v>
      </c>
      <c r="I52" s="725"/>
      <c r="J52" s="725"/>
    </row>
    <row r="53" spans="2:11">
      <c r="B53" s="723">
        <v>48</v>
      </c>
      <c r="C53" s="921" t="s">
        <v>1490</v>
      </c>
      <c r="D53" s="919" t="s">
        <v>1002</v>
      </c>
      <c r="E53" s="919" t="s">
        <v>1006</v>
      </c>
      <c r="F53" s="921">
        <v>1</v>
      </c>
      <c r="G53" s="921">
        <v>132</v>
      </c>
      <c r="H53" s="1001">
        <v>32</v>
      </c>
      <c r="I53" s="725"/>
      <c r="J53" s="725"/>
    </row>
    <row r="54" spans="2:11">
      <c r="B54" s="723">
        <v>49</v>
      </c>
      <c r="C54" s="921" t="s">
        <v>1493</v>
      </c>
      <c r="D54" s="919" t="s">
        <v>1002</v>
      </c>
      <c r="E54" s="919" t="s">
        <v>1006</v>
      </c>
      <c r="F54" s="921">
        <v>1</v>
      </c>
      <c r="G54" s="921">
        <v>132</v>
      </c>
      <c r="H54" s="1001">
        <v>24.32</v>
      </c>
      <c r="I54" s="725"/>
      <c r="J54" s="725"/>
    </row>
    <row r="55" spans="2:11">
      <c r="B55" s="723">
        <v>50</v>
      </c>
      <c r="C55" s="1001" t="s">
        <v>2109</v>
      </c>
      <c r="D55" s="919" t="s">
        <v>1002</v>
      </c>
      <c r="E55" s="919" t="s">
        <v>1006</v>
      </c>
      <c r="F55" s="921">
        <v>1</v>
      </c>
      <c r="G55" s="921">
        <v>132</v>
      </c>
      <c r="H55" s="319">
        <v>10.26</v>
      </c>
      <c r="I55" s="725"/>
      <c r="J55" s="725"/>
    </row>
    <row r="56" spans="2:11">
      <c r="B56" s="723">
        <v>51</v>
      </c>
      <c r="C56" s="1001" t="s">
        <v>1496</v>
      </c>
      <c r="D56" s="919" t="s">
        <v>1002</v>
      </c>
      <c r="E56" s="919" t="s">
        <v>1006</v>
      </c>
      <c r="F56" s="921">
        <v>1</v>
      </c>
      <c r="G56" s="921">
        <v>132</v>
      </c>
      <c r="H56" s="1001">
        <v>30</v>
      </c>
      <c r="I56" s="725"/>
      <c r="J56" s="725"/>
      <c r="K56" s="513"/>
    </row>
    <row r="57" spans="2:11">
      <c r="B57" s="723">
        <v>52</v>
      </c>
      <c r="C57" s="723" t="s">
        <v>2110</v>
      </c>
      <c r="D57" s="919" t="s">
        <v>1002</v>
      </c>
      <c r="E57" s="919" t="s">
        <v>1006</v>
      </c>
      <c r="F57" s="921">
        <v>1</v>
      </c>
      <c r="G57" s="921">
        <v>132</v>
      </c>
      <c r="H57" s="319">
        <v>55</v>
      </c>
      <c r="I57" s="725"/>
      <c r="J57" s="725"/>
      <c r="K57" s="513"/>
    </row>
    <row r="58" spans="2:11">
      <c r="B58" s="723">
        <v>53</v>
      </c>
      <c r="C58" s="921" t="s">
        <v>1475</v>
      </c>
      <c r="D58" s="919" t="s">
        <v>1002</v>
      </c>
      <c r="E58" s="919" t="s">
        <v>1003</v>
      </c>
      <c r="F58" s="921">
        <v>1</v>
      </c>
      <c r="G58" s="921">
        <v>132</v>
      </c>
      <c r="H58" s="922">
        <v>77</v>
      </c>
      <c r="I58" s="725"/>
      <c r="J58" s="725"/>
      <c r="K58" s="513"/>
    </row>
    <row r="59" spans="2:11">
      <c r="B59" s="723">
        <v>54</v>
      </c>
      <c r="C59" s="919" t="s">
        <v>2111</v>
      </c>
      <c r="D59" s="919" t="s">
        <v>1002</v>
      </c>
      <c r="E59" s="919" t="s">
        <v>1006</v>
      </c>
      <c r="F59" s="921">
        <v>1</v>
      </c>
      <c r="G59" s="921">
        <v>132</v>
      </c>
      <c r="H59" s="1001">
        <v>24.46</v>
      </c>
      <c r="I59" s="725"/>
      <c r="J59" s="725"/>
      <c r="K59" s="513"/>
    </row>
    <row r="60" spans="2:11">
      <c r="B60" s="723">
        <v>55</v>
      </c>
      <c r="C60" s="919" t="s">
        <v>2112</v>
      </c>
      <c r="D60" s="919" t="s">
        <v>1002</v>
      </c>
      <c r="E60" s="919" t="s">
        <v>1006</v>
      </c>
      <c r="F60" s="921">
        <v>1</v>
      </c>
      <c r="G60" s="921">
        <v>132</v>
      </c>
      <c r="H60" s="1001">
        <v>16.8</v>
      </c>
      <c r="I60" s="725"/>
      <c r="J60" s="725"/>
      <c r="K60" s="513"/>
    </row>
    <row r="61" spans="2:11">
      <c r="B61" s="723">
        <v>56</v>
      </c>
      <c r="C61" s="921" t="s">
        <v>1456</v>
      </c>
      <c r="D61" s="919" t="s">
        <v>1002</v>
      </c>
      <c r="E61" s="919" t="s">
        <v>1006</v>
      </c>
      <c r="F61" s="921">
        <v>1</v>
      </c>
      <c r="G61" s="921">
        <v>132</v>
      </c>
      <c r="H61" s="1001">
        <v>45</v>
      </c>
      <c r="I61" s="725"/>
      <c r="J61" s="725"/>
      <c r="K61" s="513"/>
    </row>
    <row r="62" spans="2:11">
      <c r="B62" s="723">
        <v>57</v>
      </c>
      <c r="C62" s="921" t="s">
        <v>1455</v>
      </c>
      <c r="D62" s="919" t="s">
        <v>1002</v>
      </c>
      <c r="E62" s="919" t="s">
        <v>1003</v>
      </c>
      <c r="F62" s="921">
        <v>1</v>
      </c>
      <c r="G62" s="921">
        <v>132</v>
      </c>
      <c r="H62" s="1001">
        <v>28.9</v>
      </c>
      <c r="I62" s="725"/>
      <c r="J62" s="725"/>
      <c r="K62" s="513"/>
    </row>
    <row r="63" spans="2:11">
      <c r="B63" s="723">
        <v>58</v>
      </c>
      <c r="C63" s="921" t="s">
        <v>1459</v>
      </c>
      <c r="D63" s="919" t="s">
        <v>1002</v>
      </c>
      <c r="E63" s="919" t="s">
        <v>1006</v>
      </c>
      <c r="F63" s="921">
        <v>1</v>
      </c>
      <c r="G63" s="921">
        <v>132</v>
      </c>
      <c r="H63" s="1001">
        <v>87.6</v>
      </c>
      <c r="I63" s="725"/>
      <c r="J63" s="725"/>
      <c r="K63" s="513"/>
    </row>
    <row r="64" spans="2:11">
      <c r="B64" s="723">
        <v>59</v>
      </c>
      <c r="C64" s="921" t="s">
        <v>1453</v>
      </c>
      <c r="D64" s="919" t="s">
        <v>1002</v>
      </c>
      <c r="E64" s="919" t="s">
        <v>1006</v>
      </c>
      <c r="F64" s="921">
        <v>1</v>
      </c>
      <c r="G64" s="921">
        <v>132</v>
      </c>
      <c r="H64" s="1001">
        <v>30</v>
      </c>
      <c r="I64" s="725"/>
      <c r="J64" s="725"/>
      <c r="K64" s="513"/>
    </row>
    <row r="65" spans="2:11">
      <c r="B65" s="723">
        <v>60</v>
      </c>
      <c r="C65" s="921" t="s">
        <v>1461</v>
      </c>
      <c r="D65" s="919" t="s">
        <v>1002</v>
      </c>
      <c r="E65" s="919" t="s">
        <v>1006</v>
      </c>
      <c r="F65" s="921">
        <v>1</v>
      </c>
      <c r="G65" s="921">
        <v>132</v>
      </c>
      <c r="H65" s="1001">
        <v>26</v>
      </c>
      <c r="I65" s="725"/>
      <c r="J65" s="725"/>
      <c r="K65" s="513"/>
    </row>
    <row r="66" spans="2:11">
      <c r="B66" s="723">
        <v>61</v>
      </c>
      <c r="C66" s="921" t="s">
        <v>1464</v>
      </c>
      <c r="D66" s="919" t="s">
        <v>1002</v>
      </c>
      <c r="E66" s="919" t="s">
        <v>1003</v>
      </c>
      <c r="F66" s="921">
        <v>1</v>
      </c>
      <c r="G66" s="921">
        <v>132</v>
      </c>
      <c r="H66" s="1001">
        <v>95</v>
      </c>
      <c r="I66" s="725"/>
      <c r="J66" s="725"/>
      <c r="K66" s="513"/>
    </row>
    <row r="67" spans="2:11">
      <c r="B67" s="723">
        <v>62</v>
      </c>
      <c r="C67" s="921" t="s">
        <v>1463</v>
      </c>
      <c r="D67" s="919" t="s">
        <v>1002</v>
      </c>
      <c r="E67" s="919" t="s">
        <v>1006</v>
      </c>
      <c r="F67" s="921">
        <v>1</v>
      </c>
      <c r="G67" s="921">
        <v>132</v>
      </c>
      <c r="H67" s="1001">
        <v>1</v>
      </c>
      <c r="I67" s="725"/>
      <c r="J67" s="725"/>
      <c r="K67" s="513"/>
    </row>
    <row r="68" spans="2:11">
      <c r="B68" s="723">
        <v>63</v>
      </c>
      <c r="C68" s="921" t="s">
        <v>1457</v>
      </c>
      <c r="D68" s="919" t="s">
        <v>1002</v>
      </c>
      <c r="E68" s="919" t="s">
        <v>1006</v>
      </c>
      <c r="F68" s="921">
        <v>1</v>
      </c>
      <c r="G68" s="921">
        <v>132</v>
      </c>
      <c r="H68" s="1001">
        <v>40</v>
      </c>
      <c r="I68" s="725"/>
      <c r="J68" s="725"/>
      <c r="K68" s="513"/>
    </row>
    <row r="69" spans="2:11">
      <c r="B69" s="723">
        <v>64</v>
      </c>
      <c r="C69" s="921" t="s">
        <v>1458</v>
      </c>
      <c r="D69" s="919" t="s">
        <v>1002</v>
      </c>
      <c r="E69" s="919" t="s">
        <v>1006</v>
      </c>
      <c r="F69" s="921">
        <v>1</v>
      </c>
      <c r="G69" s="921">
        <v>132</v>
      </c>
      <c r="H69" s="1001">
        <v>21</v>
      </c>
      <c r="I69" s="726"/>
      <c r="J69" s="726"/>
      <c r="K69" s="513"/>
    </row>
    <row r="70" spans="2:11">
      <c r="B70" s="723">
        <v>65</v>
      </c>
      <c r="C70" s="921" t="s">
        <v>1454</v>
      </c>
      <c r="D70" s="919" t="s">
        <v>1002</v>
      </c>
      <c r="E70" s="919" t="s">
        <v>1006</v>
      </c>
      <c r="F70" s="921">
        <v>1</v>
      </c>
      <c r="G70" s="921">
        <v>132</v>
      </c>
      <c r="H70" s="1001">
        <v>39</v>
      </c>
      <c r="I70" s="726"/>
      <c r="J70" s="726"/>
      <c r="K70" s="513"/>
    </row>
    <row r="71" spans="2:11">
      <c r="B71" s="723">
        <v>66</v>
      </c>
      <c r="C71" s="921" t="s">
        <v>1460</v>
      </c>
      <c r="D71" s="919" t="s">
        <v>1002</v>
      </c>
      <c r="E71" s="919" t="s">
        <v>1006</v>
      </c>
      <c r="F71" s="921">
        <v>1</v>
      </c>
      <c r="G71" s="921">
        <v>132</v>
      </c>
      <c r="H71" s="1001">
        <v>55.6</v>
      </c>
      <c r="I71" s="725"/>
      <c r="J71" s="725"/>
    </row>
    <row r="72" spans="2:11">
      <c r="B72" s="723">
        <v>67</v>
      </c>
      <c r="C72" s="921" t="s">
        <v>1473</v>
      </c>
      <c r="D72" s="919" t="s">
        <v>1002</v>
      </c>
      <c r="E72" s="919" t="s">
        <v>1006</v>
      </c>
      <c r="F72" s="921">
        <v>1</v>
      </c>
      <c r="G72" s="921">
        <v>132</v>
      </c>
      <c r="H72" s="1001">
        <v>30.5</v>
      </c>
      <c r="I72" s="725"/>
      <c r="J72" s="725"/>
    </row>
    <row r="73" spans="2:11" s="892" customFormat="1">
      <c r="B73" s="723">
        <v>68</v>
      </c>
      <c r="C73" s="921" t="s">
        <v>1462</v>
      </c>
      <c r="D73" s="919" t="s">
        <v>1002</v>
      </c>
      <c r="E73" s="919" t="s">
        <v>1006</v>
      </c>
      <c r="F73" s="921">
        <v>1</v>
      </c>
      <c r="G73" s="921">
        <v>132</v>
      </c>
      <c r="H73" s="1001">
        <v>29</v>
      </c>
      <c r="I73" s="725"/>
      <c r="J73" s="725"/>
    </row>
    <row r="74" spans="2:11" s="892" customFormat="1">
      <c r="B74" s="723">
        <v>69</v>
      </c>
      <c r="C74" s="921" t="s">
        <v>1465</v>
      </c>
      <c r="D74" s="919" t="s">
        <v>1002</v>
      </c>
      <c r="E74" s="919" t="s">
        <v>1003</v>
      </c>
      <c r="F74" s="921">
        <v>1</v>
      </c>
      <c r="G74" s="921">
        <v>132</v>
      </c>
      <c r="H74" s="1001">
        <v>42</v>
      </c>
      <c r="I74" s="725"/>
      <c r="J74" s="725"/>
    </row>
    <row r="75" spans="2:11" s="892" customFormat="1">
      <c r="B75" s="723">
        <v>70</v>
      </c>
      <c r="C75" s="921" t="s">
        <v>1474</v>
      </c>
      <c r="D75" s="919" t="s">
        <v>1002</v>
      </c>
      <c r="E75" s="919" t="s">
        <v>1006</v>
      </c>
      <c r="F75" s="921">
        <v>1</v>
      </c>
      <c r="G75" s="921">
        <v>132</v>
      </c>
      <c r="H75" s="1001">
        <v>0.75</v>
      </c>
      <c r="I75" s="725"/>
      <c r="J75" s="725"/>
      <c r="K75" s="893"/>
    </row>
    <row r="76" spans="2:11" s="892" customFormat="1">
      <c r="B76" s="723">
        <v>71</v>
      </c>
      <c r="C76" s="921" t="s">
        <v>1471</v>
      </c>
      <c r="D76" s="919" t="s">
        <v>1002</v>
      </c>
      <c r="E76" s="919" t="s">
        <v>1006</v>
      </c>
      <c r="F76" s="921">
        <v>1</v>
      </c>
      <c r="G76" s="921">
        <v>132</v>
      </c>
      <c r="H76" s="1001">
        <v>34</v>
      </c>
      <c r="I76" s="725"/>
      <c r="J76" s="725"/>
      <c r="K76" s="893"/>
    </row>
    <row r="77" spans="2:11" s="892" customFormat="1">
      <c r="B77" s="723">
        <v>72</v>
      </c>
      <c r="C77" s="921" t="s">
        <v>1472</v>
      </c>
      <c r="D77" s="919" t="s">
        <v>1002</v>
      </c>
      <c r="E77" s="919" t="s">
        <v>1006</v>
      </c>
      <c r="F77" s="921">
        <v>1</v>
      </c>
      <c r="G77" s="921">
        <v>132</v>
      </c>
      <c r="H77" s="1001">
        <v>34</v>
      </c>
      <c r="I77" s="725"/>
      <c r="J77" s="725"/>
      <c r="K77" s="893"/>
    </row>
    <row r="78" spans="2:11" s="892" customFormat="1">
      <c r="B78" s="723">
        <v>73</v>
      </c>
      <c r="C78" s="921" t="s">
        <v>2113</v>
      </c>
      <c r="D78" s="919" t="s">
        <v>1002</v>
      </c>
      <c r="E78" s="919" t="s">
        <v>1003</v>
      </c>
      <c r="F78" s="921">
        <v>1</v>
      </c>
      <c r="G78" s="921">
        <v>132</v>
      </c>
      <c r="H78" s="1001">
        <v>104</v>
      </c>
      <c r="I78" s="725"/>
      <c r="J78" s="725"/>
      <c r="K78" s="893"/>
    </row>
    <row r="79" spans="2:11" s="892" customFormat="1">
      <c r="B79" s="723">
        <v>74</v>
      </c>
      <c r="C79" s="921" t="s">
        <v>2114</v>
      </c>
      <c r="D79" s="919" t="s">
        <v>1002</v>
      </c>
      <c r="E79" s="919" t="s">
        <v>1006</v>
      </c>
      <c r="F79" s="921">
        <v>1</v>
      </c>
      <c r="G79" s="921">
        <v>132</v>
      </c>
      <c r="H79" s="1001">
        <v>4</v>
      </c>
      <c r="I79" s="725"/>
      <c r="J79" s="725"/>
      <c r="K79" s="893"/>
    </row>
    <row r="80" spans="2:11" s="892" customFormat="1">
      <c r="B80" s="723">
        <v>75</v>
      </c>
      <c r="C80" s="921" t="s">
        <v>1571</v>
      </c>
      <c r="D80" s="919" t="s">
        <v>1002</v>
      </c>
      <c r="E80" s="919" t="s">
        <v>1003</v>
      </c>
      <c r="F80" s="921">
        <v>1</v>
      </c>
      <c r="G80" s="921">
        <v>132</v>
      </c>
      <c r="H80" s="1002">
        <v>101</v>
      </c>
      <c r="I80" s="725"/>
      <c r="J80" s="725"/>
      <c r="K80" s="893"/>
    </row>
    <row r="81" spans="2:11" s="892" customFormat="1">
      <c r="B81" s="723">
        <v>76</v>
      </c>
      <c r="C81" s="921" t="s">
        <v>1569</v>
      </c>
      <c r="D81" s="919" t="s">
        <v>1002</v>
      </c>
      <c r="E81" s="919" t="s">
        <v>1003</v>
      </c>
      <c r="F81" s="921">
        <v>1</v>
      </c>
      <c r="G81" s="921">
        <v>132</v>
      </c>
      <c r="H81" s="1002">
        <v>71</v>
      </c>
      <c r="I81" s="725"/>
      <c r="J81" s="725"/>
      <c r="K81" s="893"/>
    </row>
    <row r="82" spans="2:11" s="892" customFormat="1">
      <c r="B82" s="723">
        <v>77</v>
      </c>
      <c r="C82" s="723" t="s">
        <v>1540</v>
      </c>
      <c r="D82" s="919" t="s">
        <v>1002</v>
      </c>
      <c r="E82" s="919" t="s">
        <v>1006</v>
      </c>
      <c r="F82" s="921">
        <v>1</v>
      </c>
      <c r="G82" s="921">
        <v>132</v>
      </c>
      <c r="H82" s="1004">
        <v>76</v>
      </c>
      <c r="I82" s="725"/>
      <c r="J82" s="725"/>
      <c r="K82" s="893"/>
    </row>
    <row r="83" spans="2:11" s="892" customFormat="1">
      <c r="B83" s="723">
        <v>78</v>
      </c>
      <c r="C83" s="921" t="s">
        <v>1556</v>
      </c>
      <c r="D83" s="919" t="s">
        <v>1002</v>
      </c>
      <c r="E83" s="919" t="s">
        <v>1003</v>
      </c>
      <c r="F83" s="921">
        <v>1</v>
      </c>
      <c r="G83" s="921">
        <v>132</v>
      </c>
      <c r="H83" s="1002">
        <v>60</v>
      </c>
      <c r="I83" s="725"/>
      <c r="J83" s="725"/>
      <c r="K83" s="893"/>
    </row>
    <row r="84" spans="2:11">
      <c r="B84" s="723">
        <v>79</v>
      </c>
      <c r="C84" s="921" t="s">
        <v>1568</v>
      </c>
      <c r="D84" s="919" t="s">
        <v>1002</v>
      </c>
      <c r="E84" s="919" t="s">
        <v>1006</v>
      </c>
      <c r="F84" s="921">
        <v>1</v>
      </c>
      <c r="G84" s="921">
        <v>132</v>
      </c>
      <c r="H84" s="1001">
        <v>30</v>
      </c>
      <c r="I84" s="725"/>
      <c r="J84" s="725"/>
      <c r="K84" s="513"/>
    </row>
    <row r="85" spans="2:11">
      <c r="B85" s="723">
        <v>80</v>
      </c>
      <c r="C85" s="919" t="s">
        <v>2115</v>
      </c>
      <c r="D85" s="919" t="s">
        <v>1002</v>
      </c>
      <c r="E85" s="919" t="s">
        <v>1006</v>
      </c>
      <c r="F85" s="921">
        <v>1</v>
      </c>
      <c r="G85" s="921">
        <v>132</v>
      </c>
      <c r="H85" s="1001">
        <v>35.049999999999997</v>
      </c>
      <c r="I85" s="725"/>
      <c r="J85" s="725"/>
      <c r="K85" s="513"/>
    </row>
    <row r="86" spans="2:11">
      <c r="B86" s="723">
        <v>81</v>
      </c>
      <c r="C86" s="919" t="s">
        <v>2116</v>
      </c>
      <c r="D86" s="919" t="s">
        <v>1002</v>
      </c>
      <c r="E86" s="919" t="s">
        <v>1006</v>
      </c>
      <c r="F86" s="921">
        <v>1</v>
      </c>
      <c r="G86" s="921">
        <v>132</v>
      </c>
      <c r="H86" s="1001">
        <v>42.35</v>
      </c>
      <c r="I86" s="725"/>
      <c r="J86" s="725"/>
      <c r="K86" s="513"/>
    </row>
    <row r="87" spans="2:11">
      <c r="B87" s="723">
        <v>82</v>
      </c>
      <c r="C87" s="1005" t="s">
        <v>2117</v>
      </c>
      <c r="D87" s="919" t="s">
        <v>1002</v>
      </c>
      <c r="E87" s="919" t="s">
        <v>1003</v>
      </c>
      <c r="F87" s="921">
        <v>1</v>
      </c>
      <c r="G87" s="921">
        <v>132</v>
      </c>
      <c r="H87" s="922">
        <v>104</v>
      </c>
      <c r="I87" s="725"/>
      <c r="J87" s="725"/>
      <c r="K87" s="513"/>
    </row>
    <row r="88" spans="2:11">
      <c r="B88" s="723">
        <v>83</v>
      </c>
      <c r="C88" s="918" t="s">
        <v>2118</v>
      </c>
      <c r="D88" s="919" t="s">
        <v>1002</v>
      </c>
      <c r="E88" s="919" t="s">
        <v>1003</v>
      </c>
      <c r="F88" s="921">
        <v>1</v>
      </c>
      <c r="G88" s="921">
        <v>132</v>
      </c>
      <c r="H88" s="1002">
        <v>30</v>
      </c>
      <c r="I88" s="725"/>
      <c r="J88" s="725"/>
      <c r="K88" s="513"/>
    </row>
    <row r="89" spans="2:11">
      <c r="B89" s="723">
        <v>84</v>
      </c>
      <c r="C89" s="921" t="s">
        <v>1567</v>
      </c>
      <c r="D89" s="919" t="s">
        <v>1002</v>
      </c>
      <c r="E89" s="919" t="s">
        <v>1003</v>
      </c>
      <c r="F89" s="921">
        <v>1</v>
      </c>
      <c r="G89" s="921">
        <v>132</v>
      </c>
      <c r="H89" s="922">
        <v>140.80000000000001</v>
      </c>
      <c r="I89" s="725"/>
      <c r="J89" s="725"/>
      <c r="K89" s="513"/>
    </row>
    <row r="90" spans="2:11" ht="15.75" customHeight="1">
      <c r="B90" s="723">
        <v>85</v>
      </c>
      <c r="C90" s="921" t="s">
        <v>1570</v>
      </c>
      <c r="D90" s="919" t="s">
        <v>1002</v>
      </c>
      <c r="E90" s="919" t="s">
        <v>1006</v>
      </c>
      <c r="F90" s="921">
        <v>1</v>
      </c>
      <c r="G90" s="921">
        <v>132</v>
      </c>
      <c r="H90" s="922">
        <v>16.54</v>
      </c>
      <c r="I90" s="725"/>
      <c r="J90" s="725"/>
      <c r="K90" s="513"/>
    </row>
    <row r="91" spans="2:11">
      <c r="B91" s="723">
        <v>86</v>
      </c>
      <c r="C91" s="921" t="s">
        <v>2119</v>
      </c>
      <c r="D91" s="919" t="s">
        <v>1002</v>
      </c>
      <c r="E91" s="919" t="s">
        <v>1006</v>
      </c>
      <c r="F91" s="921">
        <v>1</v>
      </c>
      <c r="G91" s="921">
        <v>132</v>
      </c>
      <c r="H91" s="1002">
        <v>35</v>
      </c>
      <c r="I91" s="725"/>
      <c r="J91" s="725"/>
      <c r="K91" s="513"/>
    </row>
    <row r="92" spans="2:11">
      <c r="B92" s="723">
        <v>87</v>
      </c>
      <c r="C92" s="921" t="s">
        <v>2120</v>
      </c>
      <c r="D92" s="919" t="s">
        <v>1002</v>
      </c>
      <c r="E92" s="919" t="s">
        <v>1006</v>
      </c>
      <c r="F92" s="921">
        <v>1</v>
      </c>
      <c r="G92" s="921">
        <v>132</v>
      </c>
      <c r="H92" s="1002">
        <v>46</v>
      </c>
      <c r="I92" s="725"/>
      <c r="J92" s="725"/>
      <c r="K92" s="513"/>
    </row>
    <row r="93" spans="2:11">
      <c r="B93" s="723">
        <v>88</v>
      </c>
      <c r="C93" s="919" t="s">
        <v>2121</v>
      </c>
      <c r="D93" s="919" t="s">
        <v>1002</v>
      </c>
      <c r="E93" s="919" t="s">
        <v>1006</v>
      </c>
      <c r="F93" s="921">
        <v>1</v>
      </c>
      <c r="G93" s="921">
        <v>132</v>
      </c>
      <c r="H93" s="1002">
        <v>42</v>
      </c>
      <c r="I93" s="725"/>
      <c r="J93" s="725"/>
    </row>
    <row r="94" spans="2:11">
      <c r="B94" s="723">
        <v>89</v>
      </c>
      <c r="C94" s="921" t="s">
        <v>1551</v>
      </c>
      <c r="D94" s="919" t="s">
        <v>1002</v>
      </c>
      <c r="E94" s="919" t="s">
        <v>1003</v>
      </c>
      <c r="F94" s="921">
        <v>1</v>
      </c>
      <c r="G94" s="921">
        <v>132</v>
      </c>
      <c r="H94" s="1006">
        <v>119</v>
      </c>
      <c r="I94" s="725"/>
      <c r="J94" s="725"/>
      <c r="K94" s="513"/>
    </row>
    <row r="95" spans="2:11">
      <c r="B95" s="723">
        <v>90</v>
      </c>
      <c r="C95" s="921" t="s">
        <v>1554</v>
      </c>
      <c r="D95" s="919" t="s">
        <v>1002</v>
      </c>
      <c r="E95" s="919" t="s">
        <v>1006</v>
      </c>
      <c r="F95" s="921">
        <v>1</v>
      </c>
      <c r="G95" s="921">
        <v>132</v>
      </c>
      <c r="H95" s="1002">
        <v>42.6</v>
      </c>
      <c r="I95" s="725"/>
      <c r="J95" s="725"/>
      <c r="K95" s="513"/>
    </row>
    <row r="96" spans="2:11">
      <c r="B96" s="723">
        <v>91</v>
      </c>
      <c r="C96" s="921" t="s">
        <v>1549</v>
      </c>
      <c r="D96" s="919" t="s">
        <v>1002</v>
      </c>
      <c r="E96" s="919" t="s">
        <v>1003</v>
      </c>
      <c r="F96" s="921">
        <v>1</v>
      </c>
      <c r="G96" s="921">
        <v>132</v>
      </c>
      <c r="H96" s="1001">
        <v>80</v>
      </c>
      <c r="I96" s="725"/>
      <c r="J96" s="725"/>
      <c r="K96" s="513"/>
    </row>
    <row r="97" spans="2:11">
      <c r="B97" s="723">
        <v>92</v>
      </c>
      <c r="C97" s="921" t="s">
        <v>2122</v>
      </c>
      <c r="D97" s="919" t="s">
        <v>1002</v>
      </c>
      <c r="E97" s="919" t="s">
        <v>1006</v>
      </c>
      <c r="F97" s="921">
        <v>1</v>
      </c>
      <c r="G97" s="921">
        <v>132</v>
      </c>
      <c r="H97" s="1001">
        <v>51</v>
      </c>
      <c r="I97" s="725"/>
      <c r="J97" s="725"/>
      <c r="K97" s="513"/>
    </row>
    <row r="98" spans="2:11">
      <c r="B98" s="723">
        <v>93</v>
      </c>
      <c r="C98" s="921" t="s">
        <v>1552</v>
      </c>
      <c r="D98" s="919" t="s">
        <v>1002</v>
      </c>
      <c r="E98" s="919" t="s">
        <v>1006</v>
      </c>
      <c r="F98" s="921">
        <v>1</v>
      </c>
      <c r="G98" s="921">
        <v>132</v>
      </c>
      <c r="H98" s="1006">
        <v>3.5</v>
      </c>
      <c r="I98" s="725"/>
      <c r="J98" s="725"/>
      <c r="K98" s="513"/>
    </row>
    <row r="99" spans="2:11">
      <c r="B99" s="723">
        <v>94</v>
      </c>
      <c r="C99" s="921" t="s">
        <v>1553</v>
      </c>
      <c r="D99" s="919" t="s">
        <v>1002</v>
      </c>
      <c r="E99" s="919" t="s">
        <v>1006</v>
      </c>
      <c r="F99" s="921">
        <v>1</v>
      </c>
      <c r="G99" s="921">
        <v>132</v>
      </c>
      <c r="H99" s="1006">
        <v>5.5</v>
      </c>
      <c r="I99" s="725"/>
      <c r="J99" s="725"/>
      <c r="K99" s="513"/>
    </row>
    <row r="100" spans="2:11">
      <c r="B100" s="723">
        <v>95</v>
      </c>
      <c r="C100" s="921" t="s">
        <v>1555</v>
      </c>
      <c r="D100" s="919" t="s">
        <v>1002</v>
      </c>
      <c r="E100" s="919" t="s">
        <v>1006</v>
      </c>
      <c r="F100" s="921">
        <v>1</v>
      </c>
      <c r="G100" s="921">
        <v>132</v>
      </c>
      <c r="H100" s="1002">
        <v>32</v>
      </c>
      <c r="I100" s="725"/>
      <c r="J100" s="725"/>
      <c r="K100" s="513"/>
    </row>
    <row r="101" spans="2:11">
      <c r="B101" s="723">
        <v>96</v>
      </c>
      <c r="C101" s="921" t="s">
        <v>1587</v>
      </c>
      <c r="D101" s="919" t="s">
        <v>1002</v>
      </c>
      <c r="E101" s="919" t="s">
        <v>1003</v>
      </c>
      <c r="F101" s="921">
        <v>1</v>
      </c>
      <c r="G101" s="921">
        <v>132</v>
      </c>
      <c r="H101" s="922">
        <v>70</v>
      </c>
      <c r="I101" s="725"/>
      <c r="J101" s="725"/>
    </row>
    <row r="102" spans="2:11">
      <c r="B102" s="723">
        <v>97</v>
      </c>
      <c r="C102" s="921" t="s">
        <v>1584</v>
      </c>
      <c r="D102" s="919" t="s">
        <v>1002</v>
      </c>
      <c r="E102" s="919" t="s">
        <v>1006</v>
      </c>
      <c r="F102" s="921">
        <v>1</v>
      </c>
      <c r="G102" s="921">
        <v>132</v>
      </c>
      <c r="H102" s="1002">
        <v>33</v>
      </c>
      <c r="I102" s="725"/>
      <c r="J102" s="725"/>
    </row>
    <row r="103" spans="2:11">
      <c r="B103" s="723">
        <v>98</v>
      </c>
      <c r="C103" s="921" t="s">
        <v>1585</v>
      </c>
      <c r="D103" s="919" t="s">
        <v>1002</v>
      </c>
      <c r="E103" s="919" t="s">
        <v>1006</v>
      </c>
      <c r="F103" s="921">
        <v>1</v>
      </c>
      <c r="G103" s="921">
        <v>132</v>
      </c>
      <c r="H103" s="1002">
        <v>30</v>
      </c>
      <c r="I103" s="725"/>
      <c r="J103" s="725"/>
    </row>
    <row r="104" spans="2:11">
      <c r="B104" s="723">
        <v>99</v>
      </c>
      <c r="C104" s="921" t="s">
        <v>1577</v>
      </c>
      <c r="D104" s="919" t="s">
        <v>1002</v>
      </c>
      <c r="E104" s="919" t="s">
        <v>1006</v>
      </c>
      <c r="F104" s="921">
        <v>1</v>
      </c>
      <c r="G104" s="921">
        <v>132</v>
      </c>
      <c r="H104" s="1002">
        <v>56</v>
      </c>
      <c r="I104" s="725"/>
      <c r="J104" s="725"/>
    </row>
    <row r="105" spans="2:11">
      <c r="B105" s="723">
        <v>100</v>
      </c>
      <c r="C105" s="921" t="s">
        <v>1578</v>
      </c>
      <c r="D105" s="919" t="s">
        <v>1002</v>
      </c>
      <c r="E105" s="919" t="s">
        <v>1006</v>
      </c>
      <c r="F105" s="921">
        <v>1</v>
      </c>
      <c r="G105" s="921">
        <v>132</v>
      </c>
      <c r="H105" s="1002">
        <v>50</v>
      </c>
      <c r="I105" s="725"/>
      <c r="J105" s="725"/>
    </row>
    <row r="106" spans="2:11">
      <c r="B106" s="723">
        <v>101</v>
      </c>
      <c r="C106" s="918" t="s">
        <v>1583</v>
      </c>
      <c r="D106" s="919" t="s">
        <v>1002</v>
      </c>
      <c r="E106" s="919" t="s">
        <v>1006</v>
      </c>
      <c r="F106" s="921">
        <v>1</v>
      </c>
      <c r="G106" s="921">
        <v>132</v>
      </c>
      <c r="H106" s="922">
        <v>15</v>
      </c>
      <c r="I106" s="725"/>
      <c r="J106" s="725"/>
    </row>
    <row r="107" spans="2:11">
      <c r="B107" s="723">
        <v>102</v>
      </c>
      <c r="C107" s="921" t="s">
        <v>1580</v>
      </c>
      <c r="D107" s="919" t="s">
        <v>1002</v>
      </c>
      <c r="E107" s="919" t="s">
        <v>1003</v>
      </c>
      <c r="F107" s="921">
        <v>1</v>
      </c>
      <c r="G107" s="921">
        <v>132</v>
      </c>
      <c r="H107" s="1002">
        <v>2</v>
      </c>
      <c r="I107" s="725"/>
      <c r="J107" s="725"/>
    </row>
    <row r="108" spans="2:11">
      <c r="B108" s="723">
        <v>103</v>
      </c>
      <c r="C108" s="921" t="s">
        <v>1581</v>
      </c>
      <c r="D108" s="919" t="s">
        <v>1002</v>
      </c>
      <c r="E108" s="919" t="s">
        <v>1006</v>
      </c>
      <c r="F108" s="921">
        <v>1</v>
      </c>
      <c r="G108" s="921">
        <v>132</v>
      </c>
      <c r="H108" s="922">
        <v>3</v>
      </c>
      <c r="I108" s="725"/>
      <c r="J108" s="725"/>
    </row>
    <row r="109" spans="2:11">
      <c r="B109" s="723">
        <v>104</v>
      </c>
      <c r="C109" s="921" t="s">
        <v>1582</v>
      </c>
      <c r="D109" s="919" t="s">
        <v>1002</v>
      </c>
      <c r="E109" s="919" t="s">
        <v>1006</v>
      </c>
      <c r="F109" s="921">
        <v>1</v>
      </c>
      <c r="G109" s="921">
        <v>132</v>
      </c>
      <c r="H109" s="1002">
        <v>57</v>
      </c>
      <c r="I109" s="725"/>
      <c r="J109" s="725"/>
    </row>
    <row r="110" spans="2:11">
      <c r="B110" s="723">
        <v>105</v>
      </c>
      <c r="C110" s="921" t="s">
        <v>1579</v>
      </c>
      <c r="D110" s="919" t="s">
        <v>1002</v>
      </c>
      <c r="E110" s="919" t="s">
        <v>1006</v>
      </c>
      <c r="F110" s="921">
        <v>1</v>
      </c>
      <c r="G110" s="921">
        <v>132</v>
      </c>
      <c r="H110" s="1002">
        <v>61.5</v>
      </c>
      <c r="I110" s="725"/>
      <c r="J110" s="725"/>
    </row>
    <row r="111" spans="2:11">
      <c r="B111" s="723">
        <v>106</v>
      </c>
      <c r="C111" s="921" t="s">
        <v>1521</v>
      </c>
      <c r="D111" s="919" t="s">
        <v>1002</v>
      </c>
      <c r="E111" s="919" t="s">
        <v>1006</v>
      </c>
      <c r="F111" s="921">
        <v>1</v>
      </c>
      <c r="G111" s="921">
        <v>132</v>
      </c>
      <c r="H111" s="319">
        <v>45</v>
      </c>
      <c r="I111" s="725"/>
      <c r="J111" s="725"/>
    </row>
    <row r="112" spans="2:11">
      <c r="B112" s="723">
        <v>107</v>
      </c>
      <c r="C112" s="921" t="s">
        <v>1522</v>
      </c>
      <c r="D112" s="919" t="s">
        <v>1002</v>
      </c>
      <c r="E112" s="919" t="s">
        <v>1006</v>
      </c>
      <c r="F112" s="921">
        <v>1</v>
      </c>
      <c r="G112" s="921">
        <v>132</v>
      </c>
      <c r="H112" s="319">
        <v>23.5</v>
      </c>
      <c r="I112" s="725"/>
      <c r="J112" s="725"/>
    </row>
    <row r="113" spans="2:10">
      <c r="B113" s="723">
        <v>108</v>
      </c>
      <c r="C113" s="923" t="s">
        <v>1431</v>
      </c>
      <c r="D113" s="919" t="s">
        <v>1002</v>
      </c>
      <c r="E113" s="919" t="s">
        <v>1003</v>
      </c>
      <c r="F113" s="921">
        <v>1</v>
      </c>
      <c r="G113" s="921">
        <v>132</v>
      </c>
      <c r="H113" s="921">
        <v>50.98</v>
      </c>
      <c r="I113" s="725"/>
      <c r="J113" s="725"/>
    </row>
    <row r="114" spans="2:10">
      <c r="B114" s="723">
        <v>109</v>
      </c>
      <c r="C114" s="921" t="s">
        <v>1514</v>
      </c>
      <c r="D114" s="919" t="s">
        <v>1002</v>
      </c>
      <c r="E114" s="919" t="s">
        <v>1003</v>
      </c>
      <c r="F114" s="921">
        <v>1</v>
      </c>
      <c r="G114" s="921">
        <v>132</v>
      </c>
      <c r="H114" s="1001">
        <v>66</v>
      </c>
      <c r="I114" s="725"/>
      <c r="J114" s="725"/>
    </row>
    <row r="115" spans="2:10">
      <c r="B115" s="723">
        <v>110</v>
      </c>
      <c r="C115" s="921" t="s">
        <v>1511</v>
      </c>
      <c r="D115" s="919" t="s">
        <v>1002</v>
      </c>
      <c r="E115" s="919" t="s">
        <v>1003</v>
      </c>
      <c r="F115" s="921">
        <v>1</v>
      </c>
      <c r="G115" s="921">
        <v>132</v>
      </c>
      <c r="H115" s="1001">
        <v>104</v>
      </c>
      <c r="I115" s="725"/>
      <c r="J115" s="725"/>
    </row>
    <row r="116" spans="2:10">
      <c r="B116" s="723">
        <v>111</v>
      </c>
      <c r="C116" s="921" t="s">
        <v>1513</v>
      </c>
      <c r="D116" s="919" t="s">
        <v>1002</v>
      </c>
      <c r="E116" s="919" t="s">
        <v>1003</v>
      </c>
      <c r="F116" s="921">
        <v>1</v>
      </c>
      <c r="G116" s="921">
        <v>132</v>
      </c>
      <c r="H116" s="922">
        <v>50</v>
      </c>
      <c r="I116" s="725"/>
      <c r="J116" s="725"/>
    </row>
    <row r="117" spans="2:10">
      <c r="B117" s="723">
        <v>112</v>
      </c>
      <c r="C117" s="921" t="s">
        <v>1512</v>
      </c>
      <c r="D117" s="919" t="s">
        <v>1002</v>
      </c>
      <c r="E117" s="919" t="s">
        <v>1006</v>
      </c>
      <c r="F117" s="921">
        <v>1</v>
      </c>
      <c r="G117" s="921">
        <v>132</v>
      </c>
      <c r="H117" s="1001">
        <v>35</v>
      </c>
      <c r="I117" s="725"/>
      <c r="J117" s="725"/>
    </row>
    <row r="118" spans="2:10">
      <c r="B118" s="723">
        <v>113</v>
      </c>
      <c r="C118" s="921" t="s">
        <v>1515</v>
      </c>
      <c r="D118" s="919" t="s">
        <v>1002</v>
      </c>
      <c r="E118" s="919" t="s">
        <v>1003</v>
      </c>
      <c r="F118" s="921">
        <v>1</v>
      </c>
      <c r="G118" s="921">
        <v>132</v>
      </c>
      <c r="H118" s="1001">
        <v>72.44</v>
      </c>
      <c r="I118" s="725"/>
      <c r="J118" s="725"/>
    </row>
    <row r="119" spans="2:10">
      <c r="B119" s="723">
        <v>114</v>
      </c>
      <c r="C119" s="1001" t="s">
        <v>2123</v>
      </c>
      <c r="D119" s="919" t="s">
        <v>1002</v>
      </c>
      <c r="E119" s="919" t="s">
        <v>1003</v>
      </c>
      <c r="F119" s="921">
        <v>1</v>
      </c>
      <c r="G119" s="921">
        <v>132</v>
      </c>
      <c r="H119" s="1004">
        <v>68.599999999999994</v>
      </c>
      <c r="I119" s="725"/>
      <c r="J119" s="725"/>
    </row>
    <row r="120" spans="2:10">
      <c r="B120" s="723">
        <v>115</v>
      </c>
      <c r="C120" s="921" t="s">
        <v>1520</v>
      </c>
      <c r="D120" s="919" t="s">
        <v>1002</v>
      </c>
      <c r="E120" s="919" t="s">
        <v>1006</v>
      </c>
      <c r="F120" s="921">
        <v>1</v>
      </c>
      <c r="G120" s="921">
        <v>132</v>
      </c>
      <c r="H120" s="1001">
        <v>46.6</v>
      </c>
      <c r="I120" s="725"/>
      <c r="J120" s="725"/>
    </row>
    <row r="121" spans="2:10">
      <c r="B121" s="723">
        <v>116</v>
      </c>
      <c r="C121" s="921" t="s">
        <v>1501</v>
      </c>
      <c r="D121" s="919" t="s">
        <v>1002</v>
      </c>
      <c r="E121" s="919" t="s">
        <v>1006</v>
      </c>
      <c r="F121" s="921">
        <v>1</v>
      </c>
      <c r="G121" s="921">
        <v>132</v>
      </c>
      <c r="H121" s="1001">
        <v>32</v>
      </c>
      <c r="I121" s="725"/>
      <c r="J121" s="725"/>
    </row>
    <row r="122" spans="2:10">
      <c r="B122" s="723">
        <v>117</v>
      </c>
      <c r="C122" s="921" t="s">
        <v>1518</v>
      </c>
      <c r="D122" s="919" t="s">
        <v>1002</v>
      </c>
      <c r="E122" s="919" t="s">
        <v>1006</v>
      </c>
      <c r="F122" s="921">
        <v>1</v>
      </c>
      <c r="G122" s="921">
        <v>132</v>
      </c>
      <c r="H122" s="1001">
        <v>6</v>
      </c>
      <c r="I122" s="725"/>
      <c r="J122" s="725"/>
    </row>
    <row r="123" spans="2:10">
      <c r="B123" s="723">
        <v>118</v>
      </c>
      <c r="C123" s="918" t="s">
        <v>1519</v>
      </c>
      <c r="D123" s="919" t="s">
        <v>1002</v>
      </c>
      <c r="E123" s="919" t="s">
        <v>1006</v>
      </c>
      <c r="F123" s="921">
        <v>1</v>
      </c>
      <c r="G123" s="921">
        <v>132</v>
      </c>
      <c r="H123" s="922">
        <v>26.7</v>
      </c>
      <c r="I123" s="725"/>
      <c r="J123" s="725"/>
    </row>
    <row r="124" spans="2:10">
      <c r="B124" s="723">
        <v>119</v>
      </c>
      <c r="C124" s="1004" t="s">
        <v>1516</v>
      </c>
      <c r="D124" s="919" t="s">
        <v>1002</v>
      </c>
      <c r="E124" s="919" t="s">
        <v>1003</v>
      </c>
      <c r="F124" s="921">
        <v>1</v>
      </c>
      <c r="G124" s="921">
        <v>132</v>
      </c>
      <c r="H124" s="1004">
        <v>160</v>
      </c>
      <c r="I124" s="725"/>
      <c r="J124" s="725"/>
    </row>
    <row r="125" spans="2:10">
      <c r="B125" s="723">
        <v>120</v>
      </c>
      <c r="C125" s="923" t="s">
        <v>1430</v>
      </c>
      <c r="D125" s="919" t="s">
        <v>1002</v>
      </c>
      <c r="E125" s="919" t="s">
        <v>1003</v>
      </c>
      <c r="F125" s="921">
        <v>1</v>
      </c>
      <c r="G125" s="921">
        <v>132</v>
      </c>
      <c r="H125" s="921">
        <v>32</v>
      </c>
      <c r="I125" s="725"/>
      <c r="J125" s="725"/>
    </row>
    <row r="126" spans="2:10">
      <c r="B126" s="723">
        <v>121</v>
      </c>
      <c r="C126" s="921" t="s">
        <v>1530</v>
      </c>
      <c r="D126" s="919" t="s">
        <v>1002</v>
      </c>
      <c r="E126" s="919" t="s">
        <v>1006</v>
      </c>
      <c r="F126" s="921">
        <v>1</v>
      </c>
      <c r="G126" s="921">
        <v>132</v>
      </c>
      <c r="H126" s="1001">
        <v>38.5</v>
      </c>
      <c r="I126" s="725"/>
      <c r="J126" s="725"/>
    </row>
    <row r="127" spans="2:10">
      <c r="B127" s="723">
        <v>122</v>
      </c>
      <c r="C127" s="921" t="s">
        <v>1533</v>
      </c>
      <c r="D127" s="919" t="s">
        <v>1002</v>
      </c>
      <c r="E127" s="919" t="s">
        <v>1006</v>
      </c>
      <c r="F127" s="921">
        <v>1</v>
      </c>
      <c r="G127" s="921">
        <v>132</v>
      </c>
      <c r="H127" s="1001">
        <v>25.35</v>
      </c>
      <c r="I127" s="725"/>
      <c r="J127" s="725"/>
    </row>
    <row r="128" spans="2:10">
      <c r="B128" s="723">
        <v>123</v>
      </c>
      <c r="C128" s="921" t="s">
        <v>1531</v>
      </c>
      <c r="D128" s="919" t="s">
        <v>1002</v>
      </c>
      <c r="E128" s="919" t="s">
        <v>1006</v>
      </c>
      <c r="F128" s="921">
        <v>1</v>
      </c>
      <c r="G128" s="921">
        <v>132</v>
      </c>
      <c r="H128" s="1001">
        <v>16.3</v>
      </c>
      <c r="I128" s="725"/>
      <c r="J128" s="725"/>
    </row>
    <row r="129" spans="2:10">
      <c r="B129" s="723">
        <v>124</v>
      </c>
      <c r="C129" s="921" t="s">
        <v>1534</v>
      </c>
      <c r="D129" s="919" t="s">
        <v>1002</v>
      </c>
      <c r="E129" s="919" t="s">
        <v>1006</v>
      </c>
      <c r="F129" s="921">
        <v>1</v>
      </c>
      <c r="G129" s="921">
        <v>132</v>
      </c>
      <c r="H129" s="1001">
        <v>19.170000000000002</v>
      </c>
      <c r="I129" s="725"/>
      <c r="J129" s="725"/>
    </row>
    <row r="130" spans="2:10">
      <c r="B130" s="723">
        <v>125</v>
      </c>
      <c r="C130" s="921" t="s">
        <v>2124</v>
      </c>
      <c r="D130" s="919" t="s">
        <v>1002</v>
      </c>
      <c r="E130" s="919" t="s">
        <v>1006</v>
      </c>
      <c r="F130" s="921">
        <v>1</v>
      </c>
      <c r="G130" s="921">
        <v>132</v>
      </c>
      <c r="H130" s="921">
        <v>108</v>
      </c>
      <c r="I130" s="725"/>
      <c r="J130" s="725"/>
    </row>
    <row r="131" spans="2:10">
      <c r="B131" s="723">
        <v>126</v>
      </c>
      <c r="C131" s="723" t="s">
        <v>2125</v>
      </c>
      <c r="D131" s="919" t="s">
        <v>1002</v>
      </c>
      <c r="E131" s="919" t="s">
        <v>1006</v>
      </c>
      <c r="F131" s="921">
        <v>1</v>
      </c>
      <c r="G131" s="921">
        <v>132</v>
      </c>
      <c r="H131" s="921">
        <v>57</v>
      </c>
      <c r="I131" s="725"/>
      <c r="J131" s="725"/>
    </row>
    <row r="132" spans="2:10">
      <c r="B132" s="723">
        <v>127</v>
      </c>
      <c r="C132" s="923" t="s">
        <v>2126</v>
      </c>
      <c r="D132" s="919" t="s">
        <v>1002</v>
      </c>
      <c r="E132" s="919" t="s">
        <v>1006</v>
      </c>
      <c r="F132" s="921">
        <v>1</v>
      </c>
      <c r="G132" s="921">
        <v>132</v>
      </c>
      <c r="H132" s="1001">
        <v>56</v>
      </c>
      <c r="I132" s="725"/>
      <c r="J132" s="725"/>
    </row>
    <row r="133" spans="2:10">
      <c r="B133" s="723">
        <v>128</v>
      </c>
      <c r="C133" s="921" t="s">
        <v>1575</v>
      </c>
      <c r="D133" s="919" t="s">
        <v>1002</v>
      </c>
      <c r="E133" s="919" t="s">
        <v>1003</v>
      </c>
      <c r="F133" s="921">
        <v>1</v>
      </c>
      <c r="G133" s="921">
        <v>132</v>
      </c>
      <c r="H133" s="1002">
        <v>16</v>
      </c>
      <c r="I133" s="725"/>
      <c r="J133" s="725"/>
    </row>
    <row r="134" spans="2:10">
      <c r="B134" s="723">
        <v>129</v>
      </c>
      <c r="C134" s="921" t="s">
        <v>1576</v>
      </c>
      <c r="D134" s="919" t="s">
        <v>1002</v>
      </c>
      <c r="E134" s="919" t="s">
        <v>1006</v>
      </c>
      <c r="F134" s="921">
        <v>1</v>
      </c>
      <c r="G134" s="921">
        <v>132</v>
      </c>
      <c r="H134" s="922">
        <v>27</v>
      </c>
      <c r="I134" s="725"/>
      <c r="J134" s="725"/>
    </row>
    <row r="135" spans="2:10">
      <c r="B135" s="723">
        <v>130</v>
      </c>
      <c r="C135" s="921" t="s">
        <v>1572</v>
      </c>
      <c r="D135" s="919" t="s">
        <v>1002</v>
      </c>
      <c r="E135" s="919" t="s">
        <v>1006</v>
      </c>
      <c r="F135" s="921">
        <v>1</v>
      </c>
      <c r="G135" s="921">
        <v>132</v>
      </c>
      <c r="H135" s="1002">
        <v>30</v>
      </c>
      <c r="I135" s="725"/>
      <c r="J135" s="725"/>
    </row>
    <row r="136" spans="2:10">
      <c r="B136" s="723">
        <v>131</v>
      </c>
      <c r="C136" s="921" t="s">
        <v>2127</v>
      </c>
      <c r="D136" s="919" t="s">
        <v>1002</v>
      </c>
      <c r="E136" s="919" t="s">
        <v>1006</v>
      </c>
      <c r="F136" s="921">
        <v>1</v>
      </c>
      <c r="G136" s="921">
        <v>132</v>
      </c>
      <c r="H136" s="1002">
        <v>38</v>
      </c>
      <c r="I136" s="725"/>
      <c r="J136" s="725"/>
    </row>
    <row r="137" spans="2:10">
      <c r="B137" s="723">
        <v>132</v>
      </c>
      <c r="C137" s="1007" t="s">
        <v>2128</v>
      </c>
      <c r="D137" s="919" t="s">
        <v>1002</v>
      </c>
      <c r="E137" s="919" t="s">
        <v>1006</v>
      </c>
      <c r="F137" s="921">
        <v>1</v>
      </c>
      <c r="G137" s="921">
        <v>132</v>
      </c>
      <c r="H137" s="1001">
        <v>3</v>
      </c>
      <c r="I137" s="725"/>
      <c r="J137" s="725"/>
    </row>
    <row r="138" spans="2:10">
      <c r="B138" s="723">
        <v>133</v>
      </c>
      <c r="C138" s="1004" t="s">
        <v>2129</v>
      </c>
      <c r="D138" s="919" t="s">
        <v>1002</v>
      </c>
      <c r="E138" s="919" t="s">
        <v>1006</v>
      </c>
      <c r="F138" s="921">
        <v>1</v>
      </c>
      <c r="G138" s="921">
        <v>132</v>
      </c>
      <c r="H138" s="319">
        <v>1.5</v>
      </c>
      <c r="I138" s="725"/>
      <c r="J138" s="725"/>
    </row>
    <row r="139" spans="2:10">
      <c r="B139" s="723">
        <v>134</v>
      </c>
      <c r="C139" s="923" t="s">
        <v>1436</v>
      </c>
      <c r="D139" s="919" t="s">
        <v>1002</v>
      </c>
      <c r="E139" s="919" t="s">
        <v>1003</v>
      </c>
      <c r="F139" s="921">
        <v>1</v>
      </c>
      <c r="G139" s="921">
        <v>132</v>
      </c>
      <c r="H139" s="921">
        <v>150</v>
      </c>
      <c r="I139" s="725"/>
      <c r="J139" s="725"/>
    </row>
    <row r="140" spans="2:10" ht="30">
      <c r="B140" s="723">
        <v>135</v>
      </c>
      <c r="C140" s="723" t="s">
        <v>2130</v>
      </c>
      <c r="D140" s="919" t="s">
        <v>1002</v>
      </c>
      <c r="E140" s="919" t="s">
        <v>1006</v>
      </c>
      <c r="F140" s="921">
        <v>1</v>
      </c>
      <c r="G140" s="921">
        <v>132</v>
      </c>
      <c r="H140" s="1001">
        <v>5</v>
      </c>
      <c r="I140" s="725"/>
      <c r="J140" s="725"/>
    </row>
    <row r="141" spans="2:10">
      <c r="B141" s="723">
        <v>136</v>
      </c>
      <c r="C141" s="921" t="s">
        <v>1527</v>
      </c>
      <c r="D141" s="919" t="s">
        <v>1002</v>
      </c>
      <c r="E141" s="919" t="s">
        <v>1006</v>
      </c>
      <c r="F141" s="921">
        <v>1</v>
      </c>
      <c r="G141" s="921">
        <v>132</v>
      </c>
      <c r="H141" s="1002">
        <v>67</v>
      </c>
      <c r="I141" s="725"/>
      <c r="J141" s="725"/>
    </row>
    <row r="142" spans="2:10">
      <c r="B142" s="723">
        <v>137</v>
      </c>
      <c r="C142" s="921" t="s">
        <v>1573</v>
      </c>
      <c r="D142" s="919" t="s">
        <v>1002</v>
      </c>
      <c r="E142" s="919" t="s">
        <v>1006</v>
      </c>
      <c r="F142" s="921">
        <v>1</v>
      </c>
      <c r="G142" s="921">
        <v>132</v>
      </c>
      <c r="H142" s="1002">
        <v>15</v>
      </c>
      <c r="I142" s="725"/>
      <c r="J142" s="725"/>
    </row>
    <row r="143" spans="2:10">
      <c r="B143" s="723">
        <v>138</v>
      </c>
      <c r="C143" s="724" t="s">
        <v>1574</v>
      </c>
      <c r="D143" s="919" t="s">
        <v>1002</v>
      </c>
      <c r="E143" s="919" t="s">
        <v>1006</v>
      </c>
      <c r="F143" s="921">
        <v>1</v>
      </c>
      <c r="G143" s="921">
        <v>132</v>
      </c>
      <c r="H143" s="1002">
        <v>42</v>
      </c>
      <c r="I143" s="725"/>
      <c r="J143" s="725"/>
    </row>
    <row r="144" spans="2:10">
      <c r="B144" s="723">
        <v>139</v>
      </c>
      <c r="C144" s="921" t="s">
        <v>1528</v>
      </c>
      <c r="D144" s="919" t="s">
        <v>1002</v>
      </c>
      <c r="E144" s="919" t="s">
        <v>1006</v>
      </c>
      <c r="F144" s="921">
        <v>1</v>
      </c>
      <c r="G144" s="921">
        <v>132</v>
      </c>
      <c r="H144" s="1002">
        <v>40</v>
      </c>
      <c r="I144" s="727"/>
      <c r="J144" s="727"/>
    </row>
    <row r="145" spans="2:10">
      <c r="B145" s="723">
        <v>140</v>
      </c>
      <c r="C145" s="1004" t="s">
        <v>2131</v>
      </c>
      <c r="D145" s="919" t="s">
        <v>1002</v>
      </c>
      <c r="E145" s="919" t="s">
        <v>1006</v>
      </c>
      <c r="F145" s="921">
        <v>1</v>
      </c>
      <c r="G145" s="921">
        <v>132</v>
      </c>
      <c r="H145" s="319">
        <v>19.5</v>
      </c>
      <c r="I145" s="727"/>
      <c r="J145" s="727"/>
    </row>
    <row r="146" spans="2:10">
      <c r="B146" s="723">
        <v>141</v>
      </c>
      <c r="C146" s="921" t="s">
        <v>1532</v>
      </c>
      <c r="D146" s="919" t="s">
        <v>1002</v>
      </c>
      <c r="E146" s="919" t="s">
        <v>1006</v>
      </c>
      <c r="F146" s="921">
        <v>1</v>
      </c>
      <c r="G146" s="921">
        <v>132</v>
      </c>
      <c r="H146" s="1001">
        <v>36</v>
      </c>
      <c r="I146" s="727"/>
      <c r="J146" s="727"/>
    </row>
    <row r="147" spans="2:10">
      <c r="B147" s="723">
        <v>142</v>
      </c>
      <c r="C147" s="923" t="s">
        <v>1437</v>
      </c>
      <c r="D147" s="919" t="s">
        <v>1002</v>
      </c>
      <c r="E147" s="919" t="s">
        <v>1003</v>
      </c>
      <c r="F147" s="921">
        <v>1</v>
      </c>
      <c r="G147" s="921">
        <v>132</v>
      </c>
      <c r="H147" s="921">
        <v>20.04</v>
      </c>
      <c r="I147" s="725"/>
      <c r="J147" s="725"/>
    </row>
    <row r="148" spans="2:10">
      <c r="B148" s="723">
        <v>143</v>
      </c>
      <c r="C148" s="921" t="s">
        <v>1529</v>
      </c>
      <c r="D148" s="919" t="s">
        <v>1002</v>
      </c>
      <c r="E148" s="919" t="s">
        <v>1003</v>
      </c>
      <c r="F148" s="921">
        <v>1</v>
      </c>
      <c r="G148" s="921">
        <v>132</v>
      </c>
      <c r="H148" s="1002">
        <v>134.54</v>
      </c>
      <c r="I148" s="725"/>
      <c r="J148" s="725"/>
    </row>
    <row r="149" spans="2:10">
      <c r="B149" s="723">
        <v>144</v>
      </c>
      <c r="C149" s="921" t="s">
        <v>1482</v>
      </c>
      <c r="D149" s="919" t="s">
        <v>1002</v>
      </c>
      <c r="E149" s="919" t="s">
        <v>1006</v>
      </c>
      <c r="F149" s="921">
        <v>1</v>
      </c>
      <c r="G149" s="921">
        <v>132</v>
      </c>
      <c r="H149" s="1001">
        <v>33</v>
      </c>
      <c r="I149" s="725"/>
      <c r="J149" s="725"/>
    </row>
    <row r="150" spans="2:10">
      <c r="B150" s="723">
        <v>145</v>
      </c>
      <c r="C150" s="921" t="s">
        <v>1476</v>
      </c>
      <c r="D150" s="919" t="s">
        <v>1002</v>
      </c>
      <c r="E150" s="919" t="s">
        <v>1006</v>
      </c>
      <c r="F150" s="921">
        <v>1</v>
      </c>
      <c r="G150" s="921">
        <v>132</v>
      </c>
      <c r="H150" s="1001">
        <v>27</v>
      </c>
      <c r="I150" s="725"/>
      <c r="J150" s="725"/>
    </row>
    <row r="151" spans="2:10">
      <c r="B151" s="723">
        <v>146</v>
      </c>
      <c r="C151" s="921" t="s">
        <v>1457</v>
      </c>
      <c r="D151" s="919" t="s">
        <v>1002</v>
      </c>
      <c r="E151" s="919" t="s">
        <v>1006</v>
      </c>
      <c r="F151" s="921">
        <v>1</v>
      </c>
      <c r="G151" s="921">
        <v>132</v>
      </c>
      <c r="H151" s="1001">
        <v>40</v>
      </c>
      <c r="I151" s="725"/>
      <c r="J151" s="725"/>
    </row>
    <row r="152" spans="2:10">
      <c r="B152" s="723">
        <v>147</v>
      </c>
      <c r="C152" s="923" t="s">
        <v>2132</v>
      </c>
      <c r="D152" s="919" t="s">
        <v>1002</v>
      </c>
      <c r="E152" s="919" t="s">
        <v>1006</v>
      </c>
      <c r="F152" s="921">
        <v>1</v>
      </c>
      <c r="G152" s="921">
        <v>132</v>
      </c>
      <c r="H152" s="921">
        <v>60</v>
      </c>
      <c r="I152" s="725"/>
      <c r="J152" s="725"/>
    </row>
    <row r="153" spans="2:10">
      <c r="B153" s="723">
        <v>148</v>
      </c>
      <c r="C153" s="921" t="s">
        <v>1460</v>
      </c>
      <c r="D153" s="919" t="s">
        <v>1002</v>
      </c>
      <c r="E153" s="919" t="s">
        <v>1006</v>
      </c>
      <c r="F153" s="921">
        <v>1</v>
      </c>
      <c r="G153" s="921">
        <v>132</v>
      </c>
      <c r="H153" s="1001">
        <v>60</v>
      </c>
      <c r="I153" s="725"/>
      <c r="J153" s="725"/>
    </row>
    <row r="154" spans="2:10">
      <c r="B154" s="723">
        <v>149</v>
      </c>
      <c r="C154" s="921" t="s">
        <v>1480</v>
      </c>
      <c r="D154" s="919" t="s">
        <v>1002</v>
      </c>
      <c r="E154" s="919" t="s">
        <v>1003</v>
      </c>
      <c r="F154" s="921">
        <v>1</v>
      </c>
      <c r="G154" s="921">
        <v>132</v>
      </c>
      <c r="H154" s="1001">
        <v>36</v>
      </c>
      <c r="I154" s="725"/>
      <c r="J154" s="725"/>
    </row>
    <row r="155" spans="2:10">
      <c r="B155" s="723">
        <v>150</v>
      </c>
      <c r="C155" s="722" t="s">
        <v>1483</v>
      </c>
      <c r="D155" s="919" t="s">
        <v>1002</v>
      </c>
      <c r="E155" s="919" t="s">
        <v>1006</v>
      </c>
      <c r="F155" s="921">
        <v>1</v>
      </c>
      <c r="G155" s="921">
        <v>132</v>
      </c>
      <c r="H155" s="1001">
        <v>1</v>
      </c>
      <c r="I155" s="725"/>
      <c r="J155" s="725"/>
    </row>
    <row r="156" spans="2:10">
      <c r="B156" s="723">
        <v>151</v>
      </c>
      <c r="C156" s="923" t="s">
        <v>2133</v>
      </c>
      <c r="D156" s="919" t="s">
        <v>1002</v>
      </c>
      <c r="E156" s="919" t="s">
        <v>1006</v>
      </c>
      <c r="F156" s="921">
        <v>1</v>
      </c>
      <c r="G156" s="921">
        <v>132</v>
      </c>
      <c r="H156" s="1001">
        <v>1</v>
      </c>
      <c r="I156" s="725"/>
      <c r="J156" s="725"/>
    </row>
    <row r="157" spans="2:10">
      <c r="B157" s="723">
        <v>152</v>
      </c>
      <c r="C157" s="921" t="s">
        <v>2134</v>
      </c>
      <c r="D157" s="919" t="s">
        <v>1002</v>
      </c>
      <c r="E157" s="919" t="s">
        <v>1006</v>
      </c>
      <c r="F157" s="921">
        <v>1</v>
      </c>
      <c r="G157" s="921">
        <v>132</v>
      </c>
      <c r="H157" s="1001">
        <v>1</v>
      </c>
      <c r="I157" s="725"/>
      <c r="J157" s="725"/>
    </row>
    <row r="158" spans="2:10">
      <c r="B158" s="723">
        <v>153</v>
      </c>
      <c r="C158" s="921" t="s">
        <v>1477</v>
      </c>
      <c r="D158" s="919" t="s">
        <v>1002</v>
      </c>
      <c r="E158" s="919" t="s">
        <v>1006</v>
      </c>
      <c r="F158" s="921">
        <v>1</v>
      </c>
      <c r="G158" s="921">
        <v>132</v>
      </c>
      <c r="H158" s="319">
        <v>34</v>
      </c>
      <c r="I158" s="725"/>
      <c r="J158" s="725"/>
    </row>
    <row r="159" spans="2:10">
      <c r="B159" s="723">
        <v>154</v>
      </c>
      <c r="C159" s="921" t="s">
        <v>1479</v>
      </c>
      <c r="D159" s="919" t="s">
        <v>1002</v>
      </c>
      <c r="E159" s="919" t="s">
        <v>1003</v>
      </c>
      <c r="F159" s="921">
        <v>1</v>
      </c>
      <c r="G159" s="921">
        <v>132</v>
      </c>
      <c r="H159" s="1001">
        <v>53.4</v>
      </c>
      <c r="I159" s="725"/>
      <c r="J159" s="725"/>
    </row>
    <row r="160" spans="2:10">
      <c r="B160" s="723">
        <v>155</v>
      </c>
      <c r="C160" s="923" t="s">
        <v>1427</v>
      </c>
      <c r="D160" s="919" t="s">
        <v>1002</v>
      </c>
      <c r="E160" s="919" t="s">
        <v>1003</v>
      </c>
      <c r="F160" s="921">
        <v>1</v>
      </c>
      <c r="G160" s="921">
        <v>132</v>
      </c>
      <c r="H160" s="921">
        <v>52.6</v>
      </c>
      <c r="I160" s="725"/>
      <c r="J160" s="725"/>
    </row>
    <row r="161" spans="2:10">
      <c r="B161" s="723">
        <v>156</v>
      </c>
      <c r="C161" s="923" t="s">
        <v>1440</v>
      </c>
      <c r="D161" s="919" t="s">
        <v>1002</v>
      </c>
      <c r="E161" s="919" t="s">
        <v>1006</v>
      </c>
      <c r="F161" s="921">
        <v>1</v>
      </c>
      <c r="G161" s="921">
        <v>132</v>
      </c>
      <c r="H161" s="1004">
        <v>2.83</v>
      </c>
      <c r="I161" s="725"/>
      <c r="J161" s="725"/>
    </row>
    <row r="162" spans="2:10">
      <c r="B162" s="723">
        <v>157</v>
      </c>
      <c r="C162" s="923" t="s">
        <v>1441</v>
      </c>
      <c r="D162" s="919" t="s">
        <v>1002</v>
      </c>
      <c r="E162" s="919" t="s">
        <v>1006</v>
      </c>
      <c r="F162" s="921">
        <v>1</v>
      </c>
      <c r="G162" s="921">
        <v>132</v>
      </c>
      <c r="H162" s="1004">
        <v>2.83</v>
      </c>
      <c r="I162" s="725"/>
      <c r="J162" s="725"/>
    </row>
    <row r="163" spans="2:10">
      <c r="B163" s="723">
        <v>158</v>
      </c>
      <c r="C163" s="722" t="s">
        <v>1481</v>
      </c>
      <c r="D163" s="919" t="s">
        <v>1002</v>
      </c>
      <c r="E163" s="919" t="s">
        <v>1006</v>
      </c>
      <c r="F163" s="921">
        <v>1</v>
      </c>
      <c r="G163" s="921">
        <v>132</v>
      </c>
      <c r="H163" s="922">
        <v>41</v>
      </c>
      <c r="I163" s="725"/>
      <c r="J163" s="725"/>
    </row>
    <row r="164" spans="2:10">
      <c r="B164" s="723">
        <v>159</v>
      </c>
      <c r="C164" s="923" t="s">
        <v>1426</v>
      </c>
      <c r="D164" s="919" t="s">
        <v>1002</v>
      </c>
      <c r="E164" s="919" t="s">
        <v>1006</v>
      </c>
      <c r="F164" s="921">
        <v>1</v>
      </c>
      <c r="G164" s="921">
        <v>132</v>
      </c>
      <c r="H164" s="921">
        <v>7</v>
      </c>
      <c r="I164" s="725"/>
      <c r="J164" s="725"/>
    </row>
    <row r="165" spans="2:10">
      <c r="B165" s="723">
        <v>160</v>
      </c>
      <c r="C165" s="921" t="s">
        <v>1478</v>
      </c>
      <c r="D165" s="919" t="s">
        <v>1002</v>
      </c>
      <c r="E165" s="919" t="s">
        <v>1006</v>
      </c>
      <c r="F165" s="921">
        <v>1</v>
      </c>
      <c r="G165" s="921">
        <v>132</v>
      </c>
      <c r="H165" s="1001">
        <v>4.01</v>
      </c>
      <c r="I165" s="725"/>
      <c r="J165" s="725"/>
    </row>
    <row r="166" spans="2:10">
      <c r="B166" s="723">
        <v>161</v>
      </c>
      <c r="C166" s="923" t="s">
        <v>1422</v>
      </c>
      <c r="D166" s="919" t="s">
        <v>1002</v>
      </c>
      <c r="E166" s="919" t="s">
        <v>1006</v>
      </c>
      <c r="F166" s="921">
        <v>1</v>
      </c>
      <c r="G166" s="921">
        <v>132</v>
      </c>
      <c r="H166" s="1001">
        <v>1</v>
      </c>
      <c r="I166" s="725"/>
      <c r="J166" s="725"/>
    </row>
    <row r="167" spans="2:10">
      <c r="B167" s="723">
        <v>162</v>
      </c>
      <c r="C167" s="921" t="s">
        <v>1461</v>
      </c>
      <c r="D167" s="919" t="s">
        <v>1002</v>
      </c>
      <c r="E167" s="919" t="s">
        <v>1006</v>
      </c>
      <c r="F167" s="921">
        <v>1</v>
      </c>
      <c r="G167" s="921">
        <v>132</v>
      </c>
      <c r="H167" s="1001">
        <v>1</v>
      </c>
      <c r="I167" s="725"/>
      <c r="J167" s="725"/>
    </row>
    <row r="168" spans="2:10">
      <c r="B168" s="723">
        <v>163</v>
      </c>
      <c r="C168" s="921" t="s">
        <v>1462</v>
      </c>
      <c r="D168" s="919" t="s">
        <v>1002</v>
      </c>
      <c r="E168" s="919" t="s">
        <v>1006</v>
      </c>
      <c r="F168" s="921">
        <v>1</v>
      </c>
      <c r="G168" s="921">
        <v>132</v>
      </c>
      <c r="H168" s="1001">
        <v>27.43</v>
      </c>
      <c r="I168" s="725"/>
      <c r="J168" s="725"/>
    </row>
    <row r="169" spans="2:10">
      <c r="B169" s="723">
        <v>164</v>
      </c>
      <c r="C169" s="921" t="s">
        <v>1602</v>
      </c>
      <c r="D169" s="919" t="s">
        <v>1002</v>
      </c>
      <c r="E169" s="919" t="s">
        <v>1003</v>
      </c>
      <c r="F169" s="921">
        <v>1</v>
      </c>
      <c r="G169" s="921">
        <v>132</v>
      </c>
      <c r="H169" s="1002">
        <v>74.400000000000006</v>
      </c>
      <c r="I169" s="725"/>
      <c r="J169" s="725"/>
    </row>
    <row r="170" spans="2:10">
      <c r="B170" s="723">
        <v>165</v>
      </c>
      <c r="C170" s="923" t="s">
        <v>1420</v>
      </c>
      <c r="D170" s="919" t="s">
        <v>1002</v>
      </c>
      <c r="E170" s="919" t="s">
        <v>1003</v>
      </c>
      <c r="F170" s="921">
        <v>1</v>
      </c>
      <c r="G170" s="921">
        <v>132</v>
      </c>
      <c r="H170" s="921">
        <v>117.2</v>
      </c>
      <c r="I170" s="725"/>
      <c r="J170" s="725"/>
    </row>
    <row r="171" spans="2:10">
      <c r="B171" s="723">
        <v>166</v>
      </c>
      <c r="C171" s="921" t="s">
        <v>1596</v>
      </c>
      <c r="D171" s="919" t="s">
        <v>1002</v>
      </c>
      <c r="E171" s="919" t="s">
        <v>1006</v>
      </c>
      <c r="F171" s="921">
        <v>1</v>
      </c>
      <c r="G171" s="921">
        <v>132</v>
      </c>
      <c r="H171" s="1001">
        <v>18.2</v>
      </c>
      <c r="I171" s="725"/>
      <c r="J171" s="725"/>
    </row>
    <row r="172" spans="2:10">
      <c r="B172" s="723">
        <v>167</v>
      </c>
      <c r="C172" s="921" t="s">
        <v>1601</v>
      </c>
      <c r="D172" s="919" t="s">
        <v>1002</v>
      </c>
      <c r="E172" s="919" t="s">
        <v>1006</v>
      </c>
      <c r="F172" s="921">
        <v>1</v>
      </c>
      <c r="G172" s="921">
        <v>132</v>
      </c>
      <c r="H172" s="1001">
        <v>18.8</v>
      </c>
      <c r="I172" s="725"/>
      <c r="J172" s="725"/>
    </row>
    <row r="173" spans="2:10">
      <c r="B173" s="723">
        <v>168</v>
      </c>
      <c r="C173" s="921" t="s">
        <v>1605</v>
      </c>
      <c r="D173" s="919" t="s">
        <v>1002</v>
      </c>
      <c r="E173" s="919" t="s">
        <v>1006</v>
      </c>
      <c r="F173" s="921">
        <v>1</v>
      </c>
      <c r="G173" s="921">
        <v>132</v>
      </c>
      <c r="H173" s="1001">
        <v>48</v>
      </c>
      <c r="I173" s="725"/>
      <c r="J173" s="725"/>
    </row>
    <row r="174" spans="2:10">
      <c r="B174" s="723">
        <v>169</v>
      </c>
      <c r="C174" s="921" t="s">
        <v>1597</v>
      </c>
      <c r="D174" s="919" t="s">
        <v>1002</v>
      </c>
      <c r="E174" s="919" t="s">
        <v>1006</v>
      </c>
      <c r="F174" s="921">
        <v>1</v>
      </c>
      <c r="G174" s="921">
        <v>132</v>
      </c>
      <c r="H174" s="1002">
        <v>55</v>
      </c>
      <c r="I174" s="727"/>
      <c r="J174" s="727"/>
    </row>
    <row r="175" spans="2:10">
      <c r="B175" s="723">
        <v>170</v>
      </c>
      <c r="C175" s="921" t="s">
        <v>1598</v>
      </c>
      <c r="D175" s="919" t="s">
        <v>1002</v>
      </c>
      <c r="E175" s="919" t="s">
        <v>1003</v>
      </c>
      <c r="F175" s="921">
        <v>1</v>
      </c>
      <c r="G175" s="921">
        <v>132</v>
      </c>
      <c r="H175" s="1002">
        <v>54</v>
      </c>
      <c r="I175" s="727"/>
      <c r="J175" s="727"/>
    </row>
    <row r="176" spans="2:10">
      <c r="B176" s="723">
        <v>171</v>
      </c>
      <c r="C176" s="918" t="s">
        <v>1599</v>
      </c>
      <c r="D176" s="919" t="s">
        <v>1002</v>
      </c>
      <c r="E176" s="919" t="s">
        <v>1006</v>
      </c>
      <c r="F176" s="921">
        <v>1</v>
      </c>
      <c r="G176" s="921">
        <v>132</v>
      </c>
      <c r="H176" s="922">
        <v>26</v>
      </c>
      <c r="I176" s="725"/>
      <c r="J176" s="725"/>
    </row>
    <row r="177" spans="2:10">
      <c r="B177" s="723">
        <v>172</v>
      </c>
      <c r="C177" s="923" t="s">
        <v>1419</v>
      </c>
      <c r="D177" s="919" t="s">
        <v>1002</v>
      </c>
      <c r="E177" s="919" t="s">
        <v>1003</v>
      </c>
      <c r="F177" s="921">
        <v>1</v>
      </c>
      <c r="G177" s="921">
        <v>132</v>
      </c>
      <c r="H177" s="921">
        <v>78</v>
      </c>
      <c r="I177" s="725"/>
      <c r="J177" s="725"/>
    </row>
    <row r="178" spans="2:10">
      <c r="B178" s="723">
        <v>173</v>
      </c>
      <c r="C178" s="921" t="s">
        <v>1600</v>
      </c>
      <c r="D178" s="919" t="s">
        <v>1002</v>
      </c>
      <c r="E178" s="919" t="s">
        <v>1006</v>
      </c>
      <c r="F178" s="921">
        <v>1</v>
      </c>
      <c r="G178" s="921">
        <v>132</v>
      </c>
      <c r="H178" s="1002">
        <v>43</v>
      </c>
      <c r="I178" s="727"/>
      <c r="J178" s="727"/>
    </row>
    <row r="179" spans="2:10">
      <c r="B179" s="723">
        <v>174</v>
      </c>
      <c r="C179" s="921" t="s">
        <v>1594</v>
      </c>
      <c r="D179" s="919" t="s">
        <v>1002</v>
      </c>
      <c r="E179" s="919" t="s">
        <v>1006</v>
      </c>
      <c r="F179" s="921">
        <v>1</v>
      </c>
      <c r="G179" s="921">
        <v>132</v>
      </c>
      <c r="H179" s="1002">
        <v>27</v>
      </c>
      <c r="I179" s="725"/>
      <c r="J179" s="725"/>
    </row>
    <row r="180" spans="2:10">
      <c r="B180" s="723">
        <v>175</v>
      </c>
      <c r="C180" s="921" t="s">
        <v>1595</v>
      </c>
      <c r="D180" s="919" t="s">
        <v>1002</v>
      </c>
      <c r="E180" s="919" t="s">
        <v>1006</v>
      </c>
      <c r="F180" s="921">
        <v>1</v>
      </c>
      <c r="G180" s="921">
        <v>132</v>
      </c>
      <c r="H180" s="1002">
        <v>55</v>
      </c>
      <c r="I180" s="725"/>
      <c r="J180" s="725"/>
    </row>
    <row r="181" spans="2:10">
      <c r="B181" s="723">
        <v>176</v>
      </c>
      <c r="C181" s="921" t="s">
        <v>1598</v>
      </c>
      <c r="D181" s="919" t="s">
        <v>1002</v>
      </c>
      <c r="E181" s="919" t="s">
        <v>1003</v>
      </c>
      <c r="F181" s="921">
        <v>1</v>
      </c>
      <c r="G181" s="921">
        <v>132</v>
      </c>
      <c r="H181" s="1002">
        <v>54</v>
      </c>
      <c r="I181" s="725"/>
      <c r="J181" s="725"/>
    </row>
    <row r="182" spans="2:10">
      <c r="B182" s="723">
        <v>177</v>
      </c>
      <c r="C182" s="921" t="s">
        <v>1603</v>
      </c>
      <c r="D182" s="919" t="s">
        <v>1002</v>
      </c>
      <c r="E182" s="919" t="s">
        <v>1006</v>
      </c>
      <c r="F182" s="921">
        <v>1</v>
      </c>
      <c r="G182" s="921">
        <v>132</v>
      </c>
      <c r="H182" s="1002">
        <v>71</v>
      </c>
      <c r="I182" s="725"/>
      <c r="J182" s="725"/>
    </row>
    <row r="183" spans="2:10">
      <c r="B183" s="723">
        <v>178</v>
      </c>
      <c r="C183" s="921" t="s">
        <v>1604</v>
      </c>
      <c r="D183" s="919" t="s">
        <v>1002</v>
      </c>
      <c r="E183" s="919" t="s">
        <v>1006</v>
      </c>
      <c r="F183" s="921">
        <v>1</v>
      </c>
      <c r="G183" s="921">
        <v>132</v>
      </c>
      <c r="H183" s="1001">
        <v>35</v>
      </c>
      <c r="I183" s="725"/>
      <c r="J183" s="725"/>
    </row>
    <row r="184" spans="2:10">
      <c r="B184" s="723">
        <v>179</v>
      </c>
      <c r="C184" s="1007" t="s">
        <v>2135</v>
      </c>
      <c r="D184" s="919" t="s">
        <v>1002</v>
      </c>
      <c r="E184" s="919" t="s">
        <v>1006</v>
      </c>
      <c r="F184" s="921">
        <v>1</v>
      </c>
      <c r="G184" s="921">
        <v>132</v>
      </c>
      <c r="H184" s="1001">
        <v>8.5</v>
      </c>
      <c r="I184" s="725"/>
      <c r="J184" s="725"/>
    </row>
    <row r="185" spans="2:10">
      <c r="B185" s="723">
        <v>180</v>
      </c>
      <c r="C185" s="923" t="s">
        <v>1421</v>
      </c>
      <c r="D185" s="919" t="s">
        <v>1002</v>
      </c>
      <c r="E185" s="919" t="s">
        <v>1003</v>
      </c>
      <c r="F185" s="921">
        <v>1</v>
      </c>
      <c r="G185" s="921">
        <v>132</v>
      </c>
      <c r="H185" s="921">
        <v>80</v>
      </c>
      <c r="I185" s="727"/>
      <c r="J185" s="727"/>
    </row>
    <row r="186" spans="2:10">
      <c r="B186" s="723">
        <v>181</v>
      </c>
      <c r="C186" s="921" t="s">
        <v>2136</v>
      </c>
      <c r="D186" s="919" t="s">
        <v>1002</v>
      </c>
      <c r="E186" s="919" t="s">
        <v>1006</v>
      </c>
      <c r="F186" s="921">
        <v>1</v>
      </c>
      <c r="G186" s="921">
        <v>132</v>
      </c>
      <c r="H186" s="1002">
        <v>80</v>
      </c>
      <c r="I186" s="725"/>
      <c r="J186" s="725"/>
    </row>
    <row r="187" spans="2:10">
      <c r="B187" s="723">
        <v>182</v>
      </c>
      <c r="C187" s="918" t="s">
        <v>2137</v>
      </c>
      <c r="D187" s="919" t="s">
        <v>1002</v>
      </c>
      <c r="E187" s="919" t="s">
        <v>1006</v>
      </c>
      <c r="F187" s="921">
        <v>1</v>
      </c>
      <c r="G187" s="921">
        <v>132</v>
      </c>
      <c r="H187" s="922">
        <v>70</v>
      </c>
      <c r="I187" s="725"/>
      <c r="J187" s="725"/>
    </row>
    <row r="188" spans="2:10">
      <c r="B188" s="723">
        <v>183</v>
      </c>
      <c r="C188" s="918" t="s">
        <v>2138</v>
      </c>
      <c r="D188" s="919" t="s">
        <v>1002</v>
      </c>
      <c r="E188" s="919" t="s">
        <v>1006</v>
      </c>
      <c r="F188" s="921">
        <v>1</v>
      </c>
      <c r="G188" s="921">
        <v>132</v>
      </c>
      <c r="H188" s="922">
        <v>38</v>
      </c>
      <c r="I188" s="725"/>
      <c r="J188" s="725"/>
    </row>
    <row r="189" spans="2:10">
      <c r="B189" s="723">
        <v>184</v>
      </c>
      <c r="C189" s="1001" t="s">
        <v>1606</v>
      </c>
      <c r="D189" s="919" t="s">
        <v>1002</v>
      </c>
      <c r="E189" s="919" t="s">
        <v>1006</v>
      </c>
      <c r="F189" s="921">
        <v>1</v>
      </c>
      <c r="G189" s="921">
        <v>132</v>
      </c>
      <c r="H189" s="1002">
        <v>35.85</v>
      </c>
      <c r="I189" s="725"/>
      <c r="J189" s="725"/>
    </row>
    <row r="190" spans="2:10">
      <c r="B190" s="723">
        <v>185</v>
      </c>
      <c r="C190" s="1001" t="s">
        <v>1607</v>
      </c>
      <c r="D190" s="919" t="s">
        <v>1002</v>
      </c>
      <c r="E190" s="919" t="s">
        <v>1006</v>
      </c>
      <c r="F190" s="921">
        <v>1</v>
      </c>
      <c r="G190" s="921">
        <v>132</v>
      </c>
      <c r="H190" s="1002">
        <v>80</v>
      </c>
      <c r="I190" s="727"/>
      <c r="J190" s="727"/>
    </row>
    <row r="191" spans="2:10">
      <c r="B191" s="723">
        <v>186</v>
      </c>
      <c r="C191" s="918" t="s">
        <v>1608</v>
      </c>
      <c r="D191" s="919" t="s">
        <v>1002</v>
      </c>
      <c r="E191" s="919" t="s">
        <v>1006</v>
      </c>
      <c r="F191" s="921">
        <v>1</v>
      </c>
      <c r="G191" s="921">
        <v>132</v>
      </c>
      <c r="H191" s="922">
        <v>60</v>
      </c>
      <c r="I191" s="727"/>
      <c r="J191" s="727"/>
    </row>
    <row r="192" spans="2:10">
      <c r="B192" s="723">
        <v>187</v>
      </c>
      <c r="C192" s="1005" t="s">
        <v>2139</v>
      </c>
      <c r="D192" s="919" t="s">
        <v>1002</v>
      </c>
      <c r="E192" s="919" t="s">
        <v>1006</v>
      </c>
      <c r="F192" s="921">
        <v>1</v>
      </c>
      <c r="G192" s="921">
        <v>132</v>
      </c>
      <c r="H192" s="922">
        <v>3</v>
      </c>
      <c r="I192" s="725"/>
      <c r="J192" s="725"/>
    </row>
    <row r="193" spans="2:10">
      <c r="B193" s="723">
        <v>188</v>
      </c>
      <c r="C193" s="918" t="s">
        <v>1609</v>
      </c>
      <c r="D193" s="919" t="s">
        <v>1002</v>
      </c>
      <c r="E193" s="919" t="s">
        <v>1006</v>
      </c>
      <c r="F193" s="921">
        <v>1</v>
      </c>
      <c r="G193" s="921">
        <v>132</v>
      </c>
      <c r="H193" s="922">
        <v>20</v>
      </c>
      <c r="I193" s="725"/>
      <c r="J193" s="725"/>
    </row>
    <row r="194" spans="2:10">
      <c r="B194" s="723">
        <v>189</v>
      </c>
      <c r="C194" s="918" t="s">
        <v>1610</v>
      </c>
      <c r="D194" s="919" t="s">
        <v>1002</v>
      </c>
      <c r="E194" s="919" t="s">
        <v>1006</v>
      </c>
      <c r="F194" s="921">
        <v>1</v>
      </c>
      <c r="G194" s="921">
        <v>132</v>
      </c>
      <c r="H194" s="922">
        <v>17</v>
      </c>
      <c r="I194" s="725"/>
      <c r="J194" s="725"/>
    </row>
    <row r="195" spans="2:10">
      <c r="B195" s="723">
        <v>190</v>
      </c>
      <c r="C195" s="918" t="s">
        <v>1611</v>
      </c>
      <c r="D195" s="919" t="s">
        <v>1002</v>
      </c>
      <c r="E195" s="919" t="s">
        <v>1006</v>
      </c>
      <c r="F195" s="921">
        <v>1</v>
      </c>
      <c r="G195" s="921">
        <v>132</v>
      </c>
      <c r="H195" s="922">
        <v>3</v>
      </c>
      <c r="I195" s="725"/>
      <c r="J195" s="725"/>
    </row>
    <row r="196" spans="2:10">
      <c r="B196" s="723">
        <v>191</v>
      </c>
      <c r="C196" s="918" t="s">
        <v>2140</v>
      </c>
      <c r="D196" s="919" t="s">
        <v>1002</v>
      </c>
      <c r="E196" s="919" t="s">
        <v>1006</v>
      </c>
      <c r="F196" s="921">
        <v>1</v>
      </c>
      <c r="G196" s="921">
        <v>132</v>
      </c>
      <c r="H196" s="922">
        <v>2.19</v>
      </c>
      <c r="I196" s="725"/>
      <c r="J196" s="725"/>
    </row>
    <row r="197" spans="2:10">
      <c r="B197" s="723">
        <v>192</v>
      </c>
      <c r="C197" s="921" t="s">
        <v>2141</v>
      </c>
      <c r="D197" s="919" t="s">
        <v>1002</v>
      </c>
      <c r="E197" s="919" t="s">
        <v>1003</v>
      </c>
      <c r="F197" s="921">
        <v>1</v>
      </c>
      <c r="G197" s="921">
        <v>132</v>
      </c>
      <c r="H197" s="1004">
        <v>36</v>
      </c>
      <c r="I197" s="725"/>
      <c r="J197" s="725"/>
    </row>
    <row r="198" spans="2:10">
      <c r="B198" s="723">
        <v>193</v>
      </c>
      <c r="C198" s="921" t="s">
        <v>1445</v>
      </c>
      <c r="D198" s="919" t="s">
        <v>1002</v>
      </c>
      <c r="E198" s="919" t="s">
        <v>1006</v>
      </c>
      <c r="F198" s="921">
        <v>1</v>
      </c>
      <c r="G198" s="921">
        <v>132</v>
      </c>
      <c r="H198" s="1004">
        <v>4.67</v>
      </c>
      <c r="I198" s="725"/>
      <c r="J198" s="725"/>
    </row>
    <row r="199" spans="2:10">
      <c r="B199" s="723">
        <v>194</v>
      </c>
      <c r="C199" s="1001" t="s">
        <v>2142</v>
      </c>
      <c r="D199" s="919" t="s">
        <v>1002</v>
      </c>
      <c r="E199" s="919" t="s">
        <v>1006</v>
      </c>
      <c r="F199" s="921">
        <v>1</v>
      </c>
      <c r="G199" s="921">
        <v>132</v>
      </c>
      <c r="H199" s="1004">
        <v>2.4700000000000002</v>
      </c>
      <c r="I199" s="725"/>
      <c r="J199" s="725"/>
    </row>
    <row r="200" spans="2:10">
      <c r="B200" s="723">
        <v>195</v>
      </c>
      <c r="C200" s="921" t="s">
        <v>1450</v>
      </c>
      <c r="D200" s="919" t="s">
        <v>1002</v>
      </c>
      <c r="E200" s="919" t="s">
        <v>1003</v>
      </c>
      <c r="F200" s="921">
        <v>1</v>
      </c>
      <c r="G200" s="921">
        <v>132</v>
      </c>
      <c r="H200" s="1001">
        <v>35.200000000000003</v>
      </c>
      <c r="I200" s="725"/>
      <c r="J200" s="725"/>
    </row>
    <row r="201" spans="2:10">
      <c r="B201" s="723">
        <v>196</v>
      </c>
      <c r="C201" s="921" t="s">
        <v>1451</v>
      </c>
      <c r="D201" s="919" t="s">
        <v>1002</v>
      </c>
      <c r="E201" s="919" t="s">
        <v>1003</v>
      </c>
      <c r="F201" s="921">
        <v>1</v>
      </c>
      <c r="G201" s="921">
        <v>132</v>
      </c>
      <c r="H201" s="922">
        <v>36</v>
      </c>
      <c r="I201" s="725"/>
      <c r="J201" s="725"/>
    </row>
    <row r="202" spans="2:10">
      <c r="B202" s="723">
        <v>197</v>
      </c>
      <c r="C202" s="921" t="s">
        <v>1449</v>
      </c>
      <c r="D202" s="919" t="s">
        <v>1002</v>
      </c>
      <c r="E202" s="919" t="s">
        <v>1003</v>
      </c>
      <c r="F202" s="921">
        <v>1</v>
      </c>
      <c r="G202" s="921">
        <v>132</v>
      </c>
      <c r="H202" s="1001">
        <v>35</v>
      </c>
      <c r="I202" s="725"/>
      <c r="J202" s="725"/>
    </row>
    <row r="203" spans="2:10">
      <c r="B203" s="723">
        <v>198</v>
      </c>
      <c r="C203" s="921" t="s">
        <v>1452</v>
      </c>
      <c r="D203" s="919" t="s">
        <v>1002</v>
      </c>
      <c r="E203" s="919" t="s">
        <v>1006</v>
      </c>
      <c r="F203" s="921">
        <v>1</v>
      </c>
      <c r="G203" s="921">
        <v>132</v>
      </c>
      <c r="H203" s="922">
        <v>1.5</v>
      </c>
      <c r="I203" s="727"/>
      <c r="J203" s="727"/>
    </row>
    <row r="204" spans="2:10">
      <c r="B204" s="723">
        <v>199</v>
      </c>
      <c r="C204" s="921" t="s">
        <v>1539</v>
      </c>
      <c r="D204" s="919" t="s">
        <v>1002</v>
      </c>
      <c r="E204" s="919" t="s">
        <v>1006</v>
      </c>
      <c r="F204" s="921">
        <v>1</v>
      </c>
      <c r="G204" s="921">
        <v>132</v>
      </c>
      <c r="H204" s="1004">
        <v>20.5</v>
      </c>
      <c r="I204" s="727"/>
      <c r="J204" s="727"/>
    </row>
    <row r="205" spans="2:10">
      <c r="B205" s="723">
        <v>200</v>
      </c>
      <c r="C205" s="921" t="s">
        <v>1537</v>
      </c>
      <c r="D205" s="919" t="s">
        <v>1002</v>
      </c>
      <c r="E205" s="919" t="s">
        <v>1006</v>
      </c>
      <c r="F205" s="921">
        <v>1</v>
      </c>
      <c r="G205" s="921">
        <v>132</v>
      </c>
      <c r="H205" s="1001">
        <v>23</v>
      </c>
      <c r="I205" s="725"/>
      <c r="J205" s="725"/>
    </row>
    <row r="206" spans="2:10">
      <c r="B206" s="723">
        <v>201</v>
      </c>
      <c r="C206" s="921" t="s">
        <v>1541</v>
      </c>
      <c r="D206" s="919" t="s">
        <v>1002</v>
      </c>
      <c r="E206" s="919" t="s">
        <v>1006</v>
      </c>
      <c r="F206" s="921">
        <v>1</v>
      </c>
      <c r="G206" s="921">
        <v>132</v>
      </c>
      <c r="H206" s="319">
        <v>38</v>
      </c>
      <c r="I206" s="725"/>
      <c r="J206" s="725"/>
    </row>
    <row r="207" spans="2:10">
      <c r="B207" s="723">
        <v>202</v>
      </c>
      <c r="C207" s="1004" t="s">
        <v>2143</v>
      </c>
      <c r="D207" s="919" t="s">
        <v>1002</v>
      </c>
      <c r="E207" s="919" t="s">
        <v>1006</v>
      </c>
      <c r="F207" s="921">
        <v>1</v>
      </c>
      <c r="G207" s="921">
        <v>132</v>
      </c>
      <c r="H207" s="319">
        <v>2.5</v>
      </c>
      <c r="I207" s="725"/>
      <c r="J207" s="725"/>
    </row>
    <row r="208" spans="2:10">
      <c r="B208" s="723">
        <v>203</v>
      </c>
      <c r="C208" s="922" t="s">
        <v>1543</v>
      </c>
      <c r="D208" s="919" t="s">
        <v>1002</v>
      </c>
      <c r="E208" s="919" t="s">
        <v>1006</v>
      </c>
      <c r="F208" s="921">
        <v>1</v>
      </c>
      <c r="G208" s="921">
        <v>132</v>
      </c>
      <c r="H208" s="922">
        <v>72</v>
      </c>
      <c r="I208" s="725"/>
      <c r="J208" s="725"/>
    </row>
    <row r="209" spans="2:10">
      <c r="B209" s="723">
        <v>204</v>
      </c>
      <c r="C209" s="723" t="s">
        <v>1550</v>
      </c>
      <c r="D209" s="919" t="s">
        <v>1002</v>
      </c>
      <c r="E209" s="919" t="s">
        <v>1006</v>
      </c>
      <c r="F209" s="921">
        <v>1</v>
      </c>
      <c r="G209" s="921">
        <v>132</v>
      </c>
      <c r="H209" s="1004">
        <v>38</v>
      </c>
      <c r="I209" s="725"/>
      <c r="J209" s="725"/>
    </row>
    <row r="210" spans="2:10">
      <c r="B210" s="723">
        <v>205</v>
      </c>
      <c r="C210" s="921" t="s">
        <v>1544</v>
      </c>
      <c r="D210" s="919" t="s">
        <v>1002</v>
      </c>
      <c r="E210" s="919" t="s">
        <v>1003</v>
      </c>
      <c r="F210" s="921">
        <v>1</v>
      </c>
      <c r="G210" s="921">
        <v>132</v>
      </c>
      <c r="H210" s="1002">
        <v>171.82</v>
      </c>
      <c r="I210" s="725"/>
      <c r="J210" s="725"/>
    </row>
    <row r="211" spans="2:10">
      <c r="B211" s="723">
        <v>206</v>
      </c>
      <c r="C211" s="921" t="s">
        <v>1545</v>
      </c>
      <c r="D211" s="919" t="s">
        <v>1002</v>
      </c>
      <c r="E211" s="919" t="s">
        <v>1006</v>
      </c>
      <c r="F211" s="921">
        <v>1</v>
      </c>
      <c r="G211" s="921">
        <v>132</v>
      </c>
      <c r="H211" s="1001">
        <v>88.8</v>
      </c>
      <c r="I211" s="725"/>
      <c r="J211" s="725"/>
    </row>
    <row r="212" spans="2:10">
      <c r="B212" s="723">
        <v>207</v>
      </c>
      <c r="C212" s="921" t="s">
        <v>1548</v>
      </c>
      <c r="D212" s="919" t="s">
        <v>1002</v>
      </c>
      <c r="E212" s="919" t="s">
        <v>1006</v>
      </c>
      <c r="F212" s="921">
        <v>1</v>
      </c>
      <c r="G212" s="921">
        <v>132</v>
      </c>
      <c r="H212" s="1002">
        <v>32</v>
      </c>
      <c r="I212" s="725"/>
      <c r="J212" s="725"/>
    </row>
    <row r="213" spans="2:10">
      <c r="B213" s="723">
        <v>208</v>
      </c>
      <c r="C213" s="921" t="s">
        <v>1546</v>
      </c>
      <c r="D213" s="919" t="s">
        <v>1002</v>
      </c>
      <c r="E213" s="919" t="s">
        <v>1006</v>
      </c>
      <c r="F213" s="921">
        <v>1</v>
      </c>
      <c r="G213" s="921">
        <v>132</v>
      </c>
      <c r="H213" s="1004">
        <v>31.6</v>
      </c>
      <c r="I213" s="725"/>
      <c r="J213" s="725"/>
    </row>
    <row r="214" spans="2:10">
      <c r="B214" s="723">
        <v>209</v>
      </c>
      <c r="C214" s="923" t="s">
        <v>1444</v>
      </c>
      <c r="D214" s="919" t="s">
        <v>1002</v>
      </c>
      <c r="E214" s="919" t="s">
        <v>1006</v>
      </c>
      <c r="F214" s="921">
        <v>1</v>
      </c>
      <c r="G214" s="921">
        <v>132</v>
      </c>
      <c r="H214" s="1004">
        <v>1.2</v>
      </c>
      <c r="I214" s="725"/>
      <c r="J214" s="725"/>
    </row>
    <row r="215" spans="2:10">
      <c r="B215" s="723">
        <v>210</v>
      </c>
      <c r="C215" s="921" t="s">
        <v>1542</v>
      </c>
      <c r="D215" s="919" t="s">
        <v>1002</v>
      </c>
      <c r="E215" s="919" t="s">
        <v>1003</v>
      </c>
      <c r="F215" s="921">
        <v>1</v>
      </c>
      <c r="G215" s="921">
        <v>132</v>
      </c>
      <c r="H215" s="1001">
        <v>19.559999999999999</v>
      </c>
      <c r="I215" s="725"/>
      <c r="J215" s="725"/>
    </row>
    <row r="216" spans="2:10">
      <c r="B216" s="723">
        <v>211</v>
      </c>
      <c r="C216" s="923" t="s">
        <v>1425</v>
      </c>
      <c r="D216" s="919" t="s">
        <v>1002</v>
      </c>
      <c r="E216" s="919" t="s">
        <v>1006</v>
      </c>
      <c r="F216" s="921">
        <v>1</v>
      </c>
      <c r="G216" s="921">
        <v>132</v>
      </c>
      <c r="H216" s="921">
        <v>70</v>
      </c>
      <c r="I216" s="725"/>
      <c r="J216" s="725"/>
    </row>
    <row r="217" spans="2:10">
      <c r="B217" s="723">
        <v>212</v>
      </c>
      <c r="C217" s="724" t="s">
        <v>1547</v>
      </c>
      <c r="D217" s="919" t="s">
        <v>1002</v>
      </c>
      <c r="E217" s="919" t="s">
        <v>1006</v>
      </c>
      <c r="F217" s="921">
        <v>1</v>
      </c>
      <c r="G217" s="921">
        <v>132</v>
      </c>
      <c r="H217" s="1002">
        <v>58.5</v>
      </c>
      <c r="I217" s="725"/>
      <c r="J217" s="725"/>
    </row>
    <row r="218" spans="2:10">
      <c r="B218" s="723">
        <v>213</v>
      </c>
      <c r="C218" s="923" t="s">
        <v>1423</v>
      </c>
      <c r="D218" s="919" t="s">
        <v>1002</v>
      </c>
      <c r="E218" s="919" t="s">
        <v>1003</v>
      </c>
      <c r="F218" s="921">
        <v>1</v>
      </c>
      <c r="G218" s="921">
        <v>132</v>
      </c>
      <c r="H218" s="921">
        <v>1.7</v>
      </c>
      <c r="I218" s="728"/>
      <c r="J218" s="728"/>
    </row>
    <row r="219" spans="2:10">
      <c r="B219" s="723">
        <v>214</v>
      </c>
      <c r="C219" s="923" t="s">
        <v>1424</v>
      </c>
      <c r="D219" s="919" t="s">
        <v>1002</v>
      </c>
      <c r="E219" s="919" t="s">
        <v>1006</v>
      </c>
      <c r="F219" s="921">
        <v>1</v>
      </c>
      <c r="G219" s="921">
        <v>132</v>
      </c>
      <c r="H219" s="921">
        <v>0.75</v>
      </c>
      <c r="I219" s="725"/>
      <c r="J219" s="725"/>
    </row>
    <row r="220" spans="2:10">
      <c r="B220" s="723">
        <v>215</v>
      </c>
      <c r="C220" s="921" t="s">
        <v>1536</v>
      </c>
      <c r="D220" s="919" t="s">
        <v>1002</v>
      </c>
      <c r="E220" s="919" t="s">
        <v>1006</v>
      </c>
      <c r="F220" s="921">
        <v>1</v>
      </c>
      <c r="G220" s="921">
        <v>132</v>
      </c>
      <c r="H220" s="319">
        <v>66</v>
      </c>
      <c r="I220" s="726"/>
      <c r="J220" s="726"/>
    </row>
    <row r="221" spans="2:10">
      <c r="B221" s="723">
        <v>216</v>
      </c>
      <c r="C221" s="723" t="s">
        <v>1538</v>
      </c>
      <c r="D221" s="919" t="s">
        <v>1002</v>
      </c>
      <c r="E221" s="919" t="s">
        <v>1006</v>
      </c>
      <c r="F221" s="921">
        <v>1</v>
      </c>
      <c r="G221" s="921">
        <v>132</v>
      </c>
      <c r="H221" s="1004">
        <v>105</v>
      </c>
      <c r="I221" s="725"/>
      <c r="J221" s="725"/>
    </row>
    <row r="222" spans="2:10">
      <c r="B222" s="723">
        <v>217</v>
      </c>
      <c r="C222" s="921" t="s">
        <v>1535</v>
      </c>
      <c r="D222" s="919" t="s">
        <v>1002</v>
      </c>
      <c r="E222" s="919" t="s">
        <v>1006</v>
      </c>
      <c r="F222" s="921">
        <v>1</v>
      </c>
      <c r="G222" s="921">
        <v>132</v>
      </c>
      <c r="H222" s="1001">
        <v>60</v>
      </c>
      <c r="I222" s="725"/>
      <c r="J222" s="725"/>
    </row>
    <row r="223" spans="2:10">
      <c r="B223" s="723">
        <v>218</v>
      </c>
      <c r="C223" s="1008" t="s">
        <v>2144</v>
      </c>
      <c r="D223" s="919" t="s">
        <v>1002</v>
      </c>
      <c r="E223" s="919" t="s">
        <v>1006</v>
      </c>
      <c r="F223" s="921">
        <v>1</v>
      </c>
      <c r="G223" s="921">
        <v>132</v>
      </c>
      <c r="H223" s="1008">
        <v>45</v>
      </c>
      <c r="I223" s="725"/>
      <c r="J223" s="725"/>
    </row>
    <row r="224" spans="2:10">
      <c r="B224" s="723">
        <v>219</v>
      </c>
      <c r="C224" s="723" t="s">
        <v>2145</v>
      </c>
      <c r="D224" s="919" t="s">
        <v>1002</v>
      </c>
      <c r="E224" s="919" t="s">
        <v>1006</v>
      </c>
      <c r="F224" s="921">
        <v>1</v>
      </c>
      <c r="G224" s="921">
        <v>132</v>
      </c>
      <c r="H224" s="921">
        <v>109</v>
      </c>
      <c r="I224" s="725"/>
      <c r="J224" s="725"/>
    </row>
    <row r="225" spans="2:10">
      <c r="B225" s="723">
        <v>220</v>
      </c>
      <c r="C225" s="923" t="s">
        <v>1429</v>
      </c>
      <c r="D225" s="919" t="s">
        <v>1002</v>
      </c>
      <c r="E225" s="919" t="s">
        <v>1003</v>
      </c>
      <c r="F225" s="921">
        <v>1</v>
      </c>
      <c r="G225" s="921">
        <v>132</v>
      </c>
      <c r="H225" s="921">
        <v>83.16</v>
      </c>
      <c r="I225" s="725"/>
      <c r="J225" s="725"/>
    </row>
    <row r="226" spans="2:10">
      <c r="B226" s="723">
        <v>221</v>
      </c>
      <c r="C226" s="923" t="s">
        <v>2146</v>
      </c>
      <c r="D226" s="919" t="s">
        <v>1002</v>
      </c>
      <c r="E226" s="919" t="s">
        <v>1006</v>
      </c>
      <c r="F226" s="921">
        <v>1</v>
      </c>
      <c r="G226" s="921">
        <v>132</v>
      </c>
      <c r="H226" s="921">
        <v>33</v>
      </c>
      <c r="I226" s="725"/>
      <c r="J226" s="725"/>
    </row>
    <row r="227" spans="2:10">
      <c r="B227" s="723">
        <v>222</v>
      </c>
      <c r="C227" s="921" t="s">
        <v>1523</v>
      </c>
      <c r="D227" s="919" t="s">
        <v>1002</v>
      </c>
      <c r="E227" s="919" t="s">
        <v>1006</v>
      </c>
      <c r="F227" s="921">
        <v>1</v>
      </c>
      <c r="G227" s="921">
        <v>132</v>
      </c>
      <c r="H227" s="922">
        <v>34.799999999999997</v>
      </c>
      <c r="I227" s="725"/>
      <c r="J227" s="725"/>
    </row>
    <row r="228" spans="2:10">
      <c r="B228" s="723">
        <v>223</v>
      </c>
      <c r="C228" s="919" t="s">
        <v>2147</v>
      </c>
      <c r="D228" s="919" t="s">
        <v>1002</v>
      </c>
      <c r="E228" s="919" t="s">
        <v>1006</v>
      </c>
      <c r="F228" s="921">
        <v>1</v>
      </c>
      <c r="G228" s="921">
        <v>132</v>
      </c>
      <c r="H228" s="922">
        <v>20</v>
      </c>
      <c r="I228" s="725"/>
      <c r="J228" s="725"/>
    </row>
    <row r="229" spans="2:10">
      <c r="B229" s="723">
        <v>224</v>
      </c>
      <c r="C229" s="919" t="s">
        <v>2148</v>
      </c>
      <c r="D229" s="919" t="s">
        <v>1002</v>
      </c>
      <c r="E229" s="919" t="s">
        <v>1006</v>
      </c>
      <c r="F229" s="921">
        <v>1</v>
      </c>
      <c r="G229" s="921">
        <v>132</v>
      </c>
      <c r="H229" s="922">
        <v>42</v>
      </c>
      <c r="I229" s="725"/>
      <c r="J229" s="725"/>
    </row>
    <row r="230" spans="2:10">
      <c r="B230" s="723">
        <v>225</v>
      </c>
      <c r="C230" s="921" t="s">
        <v>1524</v>
      </c>
      <c r="D230" s="919" t="s">
        <v>1002</v>
      </c>
      <c r="E230" s="919" t="s">
        <v>1006</v>
      </c>
      <c r="F230" s="921">
        <v>1</v>
      </c>
      <c r="G230" s="921">
        <v>132</v>
      </c>
      <c r="H230" s="1001">
        <v>29</v>
      </c>
      <c r="I230" s="725"/>
      <c r="J230" s="725"/>
    </row>
    <row r="231" spans="2:10">
      <c r="B231" s="723">
        <v>226</v>
      </c>
      <c r="C231" s="1001" t="s">
        <v>2149</v>
      </c>
      <c r="D231" s="919" t="s">
        <v>1002</v>
      </c>
      <c r="E231" s="919" t="s">
        <v>1003</v>
      </c>
      <c r="F231" s="921">
        <v>1</v>
      </c>
      <c r="G231" s="921">
        <v>132</v>
      </c>
      <c r="H231" s="1004">
        <v>25</v>
      </c>
      <c r="I231" s="725"/>
      <c r="J231" s="725"/>
    </row>
    <row r="232" spans="2:10">
      <c r="B232" s="723">
        <v>227</v>
      </c>
      <c r="C232" s="1005" t="s">
        <v>1525</v>
      </c>
      <c r="D232" s="919" t="s">
        <v>1002</v>
      </c>
      <c r="E232" s="919" t="s">
        <v>1003</v>
      </c>
      <c r="F232" s="921">
        <v>1</v>
      </c>
      <c r="G232" s="921">
        <v>132</v>
      </c>
      <c r="H232" s="1009">
        <v>68</v>
      </c>
      <c r="I232" s="727"/>
      <c r="J232" s="727"/>
    </row>
    <row r="233" spans="2:10">
      <c r="B233" s="723">
        <v>228</v>
      </c>
      <c r="C233" s="923" t="s">
        <v>1432</v>
      </c>
      <c r="D233" s="919" t="s">
        <v>1002</v>
      </c>
      <c r="E233" s="919" t="s">
        <v>1006</v>
      </c>
      <c r="F233" s="921">
        <v>1</v>
      </c>
      <c r="G233" s="921">
        <v>132</v>
      </c>
      <c r="H233" s="921">
        <v>6</v>
      </c>
      <c r="I233" s="727"/>
      <c r="J233" s="727"/>
    </row>
    <row r="234" spans="2:10">
      <c r="B234" s="723">
        <v>229</v>
      </c>
      <c r="C234" s="923" t="s">
        <v>1442</v>
      </c>
      <c r="D234" s="919" t="s">
        <v>1002</v>
      </c>
      <c r="E234" s="919" t="s">
        <v>1006</v>
      </c>
      <c r="F234" s="921">
        <v>1</v>
      </c>
      <c r="G234" s="921">
        <v>132</v>
      </c>
      <c r="H234" s="1001">
        <v>20</v>
      </c>
      <c r="I234" s="725"/>
      <c r="J234" s="725"/>
    </row>
    <row r="235" spans="2:10">
      <c r="B235" s="723">
        <v>230</v>
      </c>
      <c r="C235" s="1010" t="s">
        <v>1517</v>
      </c>
      <c r="D235" s="919" t="s">
        <v>1002</v>
      </c>
      <c r="E235" s="919" t="s">
        <v>1003</v>
      </c>
      <c r="F235" s="921">
        <v>1</v>
      </c>
      <c r="G235" s="921">
        <v>132</v>
      </c>
      <c r="H235" s="1004">
        <v>64.239999999999995</v>
      </c>
      <c r="I235" s="725"/>
      <c r="J235" s="725"/>
    </row>
    <row r="236" spans="2:10">
      <c r="B236" s="723">
        <v>231</v>
      </c>
      <c r="C236" s="923" t="s">
        <v>1428</v>
      </c>
      <c r="D236" s="919" t="s">
        <v>1002</v>
      </c>
      <c r="E236" s="919" t="s">
        <v>1003</v>
      </c>
      <c r="F236" s="921">
        <v>1</v>
      </c>
      <c r="G236" s="921">
        <v>132</v>
      </c>
      <c r="H236" s="921">
        <v>94</v>
      </c>
      <c r="I236" s="725"/>
      <c r="J236" s="725"/>
    </row>
    <row r="237" spans="2:10">
      <c r="B237" s="723">
        <v>232</v>
      </c>
      <c r="C237" s="923" t="s">
        <v>1443</v>
      </c>
      <c r="D237" s="919" t="s">
        <v>1002</v>
      </c>
      <c r="E237" s="919" t="s">
        <v>1006</v>
      </c>
      <c r="F237" s="921">
        <v>1</v>
      </c>
      <c r="G237" s="921">
        <v>132</v>
      </c>
      <c r="H237" s="1004">
        <v>86</v>
      </c>
      <c r="I237" s="725"/>
      <c r="J237" s="725"/>
    </row>
    <row r="238" spans="2:10">
      <c r="B238" s="723">
        <v>233</v>
      </c>
      <c r="C238" s="922" t="s">
        <v>1526</v>
      </c>
      <c r="D238" s="919" t="s">
        <v>1002</v>
      </c>
      <c r="E238" s="919" t="s">
        <v>1003</v>
      </c>
      <c r="F238" s="921">
        <v>1</v>
      </c>
      <c r="G238" s="921">
        <v>132</v>
      </c>
      <c r="H238" s="1009">
        <v>98</v>
      </c>
      <c r="I238" s="725"/>
      <c r="J238" s="725"/>
    </row>
    <row r="239" spans="2:10">
      <c r="B239" s="723">
        <v>234</v>
      </c>
      <c r="C239" s="921" t="s">
        <v>2150</v>
      </c>
      <c r="D239" s="919" t="s">
        <v>1002</v>
      </c>
      <c r="E239" s="919" t="s">
        <v>1006</v>
      </c>
      <c r="F239" s="921">
        <v>1</v>
      </c>
      <c r="G239" s="921">
        <v>132</v>
      </c>
      <c r="H239" s="1002">
        <v>77</v>
      </c>
      <c r="I239" s="725"/>
      <c r="J239" s="725"/>
    </row>
    <row r="240" spans="2:10">
      <c r="B240" s="723">
        <v>235</v>
      </c>
      <c r="C240" s="723" t="s">
        <v>1612</v>
      </c>
      <c r="D240" s="919" t="s">
        <v>1002</v>
      </c>
      <c r="E240" s="919" t="s">
        <v>1006</v>
      </c>
      <c r="F240" s="921">
        <v>1</v>
      </c>
      <c r="G240" s="921">
        <v>132</v>
      </c>
      <c r="H240" s="1002">
        <v>12</v>
      </c>
      <c r="I240" s="725"/>
      <c r="J240" s="725"/>
    </row>
    <row r="241" spans="2:10">
      <c r="B241" s="723">
        <v>236</v>
      </c>
      <c r="C241" s="921" t="s">
        <v>1613</v>
      </c>
      <c r="D241" s="919" t="s">
        <v>1002</v>
      </c>
      <c r="E241" s="919" t="s">
        <v>1006</v>
      </c>
      <c r="F241" s="921">
        <v>1</v>
      </c>
      <c r="G241" s="921">
        <v>132</v>
      </c>
      <c r="H241" s="1002">
        <v>24.91</v>
      </c>
      <c r="I241" s="725"/>
      <c r="J241" s="725"/>
    </row>
    <row r="242" spans="2:10">
      <c r="B242" s="723">
        <v>237</v>
      </c>
      <c r="C242" s="921" t="s">
        <v>1617</v>
      </c>
      <c r="D242" s="919" t="s">
        <v>1002</v>
      </c>
      <c r="E242" s="919" t="s">
        <v>1006</v>
      </c>
      <c r="F242" s="921">
        <v>1</v>
      </c>
      <c r="G242" s="921">
        <v>132</v>
      </c>
      <c r="H242" s="1002">
        <v>33</v>
      </c>
      <c r="I242" s="725"/>
      <c r="J242" s="725"/>
    </row>
    <row r="243" spans="2:10">
      <c r="B243" s="723">
        <v>238</v>
      </c>
      <c r="C243" s="921" t="s">
        <v>1586</v>
      </c>
      <c r="D243" s="919" t="s">
        <v>1002</v>
      </c>
      <c r="E243" s="919" t="s">
        <v>1006</v>
      </c>
      <c r="F243" s="921">
        <v>1</v>
      </c>
      <c r="G243" s="921">
        <v>132</v>
      </c>
      <c r="H243" s="1002">
        <v>14</v>
      </c>
      <c r="I243" s="727"/>
      <c r="J243" s="727"/>
    </row>
    <row r="244" spans="2:10">
      <c r="B244" s="723">
        <v>239</v>
      </c>
      <c r="C244" s="723" t="s">
        <v>1614</v>
      </c>
      <c r="D244" s="919" t="s">
        <v>1002</v>
      </c>
      <c r="E244" s="919" t="s">
        <v>1006</v>
      </c>
      <c r="F244" s="921">
        <v>1</v>
      </c>
      <c r="G244" s="921">
        <v>132</v>
      </c>
      <c r="H244" s="1001">
        <v>43.91</v>
      </c>
      <c r="I244" s="725"/>
      <c r="J244" s="725"/>
    </row>
    <row r="245" spans="2:10" ht="30">
      <c r="B245" s="723">
        <v>240</v>
      </c>
      <c r="C245" s="723" t="s">
        <v>1590</v>
      </c>
      <c r="D245" s="919" t="s">
        <v>1002</v>
      </c>
      <c r="E245" s="919" t="s">
        <v>1006</v>
      </c>
      <c r="F245" s="921">
        <v>1</v>
      </c>
      <c r="G245" s="921">
        <v>132</v>
      </c>
      <c r="H245" s="1002">
        <v>42.4</v>
      </c>
      <c r="I245" s="725"/>
      <c r="J245" s="725"/>
    </row>
    <row r="246" spans="2:10">
      <c r="B246" s="723">
        <v>241</v>
      </c>
      <c r="C246" s="921" t="s">
        <v>1588</v>
      </c>
      <c r="D246" s="919" t="s">
        <v>1002</v>
      </c>
      <c r="E246" s="919" t="s">
        <v>1006</v>
      </c>
      <c r="F246" s="921">
        <v>1</v>
      </c>
      <c r="G246" s="921">
        <v>132</v>
      </c>
      <c r="H246" s="922">
        <v>20.32</v>
      </c>
      <c r="I246" s="725"/>
      <c r="J246" s="725"/>
    </row>
    <row r="247" spans="2:10">
      <c r="B247" s="723">
        <v>242</v>
      </c>
      <c r="C247" s="921" t="s">
        <v>1589</v>
      </c>
      <c r="D247" s="919" t="s">
        <v>1002</v>
      </c>
      <c r="E247" s="919" t="s">
        <v>1003</v>
      </c>
      <c r="F247" s="921">
        <v>1</v>
      </c>
      <c r="G247" s="921">
        <v>132</v>
      </c>
      <c r="H247" s="1001">
        <v>42.24</v>
      </c>
      <c r="I247" s="727"/>
      <c r="J247" s="727"/>
    </row>
    <row r="248" spans="2:10">
      <c r="B248" s="723">
        <v>243</v>
      </c>
      <c r="C248" s="923" t="s">
        <v>1434</v>
      </c>
      <c r="D248" s="919" t="s">
        <v>1002</v>
      </c>
      <c r="E248" s="919" t="s">
        <v>1003</v>
      </c>
      <c r="F248" s="921">
        <v>1</v>
      </c>
      <c r="G248" s="921">
        <v>132</v>
      </c>
      <c r="H248" s="921">
        <v>30</v>
      </c>
      <c r="I248" s="727"/>
      <c r="J248" s="727"/>
    </row>
    <row r="249" spans="2:10">
      <c r="B249" s="723">
        <v>244</v>
      </c>
      <c r="C249" s="921" t="s">
        <v>2151</v>
      </c>
      <c r="D249" s="919" t="s">
        <v>1002</v>
      </c>
      <c r="E249" s="919" t="s">
        <v>1003</v>
      </c>
      <c r="F249" s="921">
        <v>1</v>
      </c>
      <c r="G249" s="921">
        <v>132</v>
      </c>
      <c r="H249" s="1002">
        <v>121</v>
      </c>
      <c r="I249" s="727"/>
      <c r="J249" s="727"/>
    </row>
    <row r="250" spans="2:10">
      <c r="B250" s="723">
        <v>245</v>
      </c>
      <c r="C250" s="920" t="s">
        <v>1561</v>
      </c>
      <c r="D250" s="919" t="s">
        <v>1002</v>
      </c>
      <c r="E250" s="919" t="s">
        <v>1006</v>
      </c>
      <c r="F250" s="921">
        <v>1</v>
      </c>
      <c r="G250" s="921">
        <v>132</v>
      </c>
      <c r="H250" s="921">
        <v>34.665999999999997</v>
      </c>
      <c r="I250" s="727"/>
      <c r="J250" s="727"/>
    </row>
    <row r="251" spans="2:10">
      <c r="B251" s="723">
        <v>246</v>
      </c>
      <c r="C251" s="921" t="s">
        <v>1591</v>
      </c>
      <c r="D251" s="919" t="s">
        <v>1002</v>
      </c>
      <c r="E251" s="919" t="s">
        <v>1006</v>
      </c>
      <c r="F251" s="921">
        <v>1</v>
      </c>
      <c r="G251" s="921">
        <v>132</v>
      </c>
      <c r="H251" s="1002">
        <v>16.5</v>
      </c>
      <c r="I251" s="725"/>
      <c r="J251" s="725"/>
    </row>
    <row r="252" spans="2:10">
      <c r="B252" s="723">
        <v>247</v>
      </c>
      <c r="C252" s="923" t="s">
        <v>1433</v>
      </c>
      <c r="D252" s="919" t="s">
        <v>1002</v>
      </c>
      <c r="E252" s="919" t="s">
        <v>1003</v>
      </c>
      <c r="F252" s="921">
        <v>1</v>
      </c>
      <c r="G252" s="921">
        <v>132</v>
      </c>
      <c r="H252" s="921">
        <v>36</v>
      </c>
      <c r="I252" s="727"/>
      <c r="J252" s="727"/>
    </row>
    <row r="253" spans="2:10">
      <c r="B253" s="723">
        <v>248</v>
      </c>
      <c r="C253" s="921" t="s">
        <v>1592</v>
      </c>
      <c r="D253" s="919" t="s">
        <v>1002</v>
      </c>
      <c r="E253" s="919" t="s">
        <v>1006</v>
      </c>
      <c r="F253" s="921">
        <v>1</v>
      </c>
      <c r="G253" s="921">
        <v>132</v>
      </c>
      <c r="H253" s="1002">
        <v>22</v>
      </c>
      <c r="I253" s="727"/>
      <c r="J253" s="727"/>
    </row>
    <row r="254" spans="2:10">
      <c r="B254" s="723">
        <v>249</v>
      </c>
      <c r="C254" s="921" t="s">
        <v>1593</v>
      </c>
      <c r="D254" s="919" t="s">
        <v>1002</v>
      </c>
      <c r="E254" s="919" t="s">
        <v>1006</v>
      </c>
      <c r="F254" s="921">
        <v>1</v>
      </c>
      <c r="G254" s="921">
        <v>132</v>
      </c>
      <c r="H254" s="1002">
        <v>32</v>
      </c>
      <c r="I254" s="727"/>
      <c r="J254" s="727"/>
    </row>
    <row r="255" spans="2:10">
      <c r="B255" s="723">
        <v>250</v>
      </c>
      <c r="C255" s="921" t="s">
        <v>1597</v>
      </c>
      <c r="D255" s="919" t="s">
        <v>1002</v>
      </c>
      <c r="E255" s="919" t="s">
        <v>1006</v>
      </c>
      <c r="F255" s="921">
        <v>1</v>
      </c>
      <c r="G255" s="921">
        <v>132</v>
      </c>
      <c r="H255" s="1002">
        <v>50</v>
      </c>
      <c r="I255" s="727"/>
      <c r="J255" s="727"/>
    </row>
    <row r="256" spans="2:10">
      <c r="B256" s="723">
        <v>251</v>
      </c>
      <c r="C256" s="923" t="s">
        <v>1435</v>
      </c>
      <c r="D256" s="919" t="s">
        <v>1002</v>
      </c>
      <c r="E256" s="919" t="s">
        <v>1006</v>
      </c>
      <c r="F256" s="921">
        <v>1</v>
      </c>
      <c r="G256" s="921">
        <v>132</v>
      </c>
      <c r="H256" s="921">
        <v>51</v>
      </c>
      <c r="I256" s="726"/>
      <c r="J256" s="726"/>
    </row>
    <row r="257" spans="2:10">
      <c r="B257" s="723">
        <v>252</v>
      </c>
      <c r="C257" s="924" t="s">
        <v>2152</v>
      </c>
      <c r="D257" s="919" t="s">
        <v>1002</v>
      </c>
      <c r="E257" s="919" t="s">
        <v>1006</v>
      </c>
      <c r="F257" s="921">
        <v>1</v>
      </c>
      <c r="G257" s="921">
        <v>132</v>
      </c>
      <c r="H257" s="319">
        <v>1.55</v>
      </c>
      <c r="I257" s="726"/>
      <c r="J257" s="726"/>
    </row>
    <row r="258" spans="2:10">
      <c r="B258" s="723">
        <v>253</v>
      </c>
      <c r="C258" s="921" t="s">
        <v>1446</v>
      </c>
      <c r="D258" s="919" t="s">
        <v>1002</v>
      </c>
      <c r="E258" s="919" t="s">
        <v>1006</v>
      </c>
      <c r="F258" s="921">
        <v>1</v>
      </c>
      <c r="G258" s="921">
        <v>132</v>
      </c>
      <c r="H258" s="1001">
        <v>15.6</v>
      </c>
      <c r="I258" s="726"/>
      <c r="J258" s="726"/>
    </row>
    <row r="259" spans="2:10">
      <c r="B259" s="723">
        <v>254</v>
      </c>
      <c r="C259" s="921" t="s">
        <v>1448</v>
      </c>
      <c r="D259" s="919" t="s">
        <v>1002</v>
      </c>
      <c r="E259" s="919" t="s">
        <v>1006</v>
      </c>
      <c r="F259" s="921">
        <v>1</v>
      </c>
      <c r="G259" s="921">
        <v>132</v>
      </c>
      <c r="H259" s="1001">
        <v>22.2</v>
      </c>
      <c r="I259" s="726"/>
      <c r="J259" s="726"/>
    </row>
    <row r="260" spans="2:10">
      <c r="B260" s="723">
        <v>255</v>
      </c>
      <c r="C260" s="921" t="s">
        <v>1447</v>
      </c>
      <c r="D260" s="919" t="s">
        <v>1002</v>
      </c>
      <c r="E260" s="919" t="s">
        <v>1006</v>
      </c>
      <c r="F260" s="921">
        <v>1</v>
      </c>
      <c r="G260" s="921">
        <v>132</v>
      </c>
      <c r="H260" s="1001">
        <v>23</v>
      </c>
      <c r="I260" s="725"/>
      <c r="J260" s="725"/>
    </row>
    <row r="261" spans="2:10">
      <c r="B261" s="723">
        <v>256</v>
      </c>
      <c r="C261" s="921" t="s">
        <v>1498</v>
      </c>
      <c r="D261" s="919" t="s">
        <v>1002</v>
      </c>
      <c r="E261" s="919" t="s">
        <v>1006</v>
      </c>
      <c r="F261" s="921">
        <v>1</v>
      </c>
      <c r="G261" s="921">
        <v>132</v>
      </c>
      <c r="H261" s="1001">
        <v>58</v>
      </c>
      <c r="I261" s="725"/>
      <c r="J261" s="725"/>
    </row>
    <row r="262" spans="2:10">
      <c r="B262" s="723">
        <v>257</v>
      </c>
      <c r="C262" s="921" t="s">
        <v>1499</v>
      </c>
      <c r="D262" s="919" t="s">
        <v>1002</v>
      </c>
      <c r="E262" s="919" t="s">
        <v>1006</v>
      </c>
      <c r="F262" s="921">
        <v>1</v>
      </c>
      <c r="G262" s="921">
        <v>132</v>
      </c>
      <c r="H262" s="1001">
        <v>54</v>
      </c>
      <c r="I262" s="725"/>
      <c r="J262" s="725"/>
    </row>
    <row r="263" spans="2:10">
      <c r="B263" s="723">
        <v>258</v>
      </c>
      <c r="C263" s="1011" t="s">
        <v>2153</v>
      </c>
      <c r="D263" s="919" t="s">
        <v>1002</v>
      </c>
      <c r="E263" s="919" t="s">
        <v>1006</v>
      </c>
      <c r="F263" s="921">
        <v>1</v>
      </c>
      <c r="G263" s="921">
        <v>132</v>
      </c>
      <c r="H263" s="319">
        <v>7.2</v>
      </c>
      <c r="I263" s="725"/>
      <c r="J263" s="725"/>
    </row>
    <row r="264" spans="2:10">
      <c r="B264" s="723">
        <v>259</v>
      </c>
      <c r="C264" s="921" t="s">
        <v>2154</v>
      </c>
      <c r="D264" s="919" t="s">
        <v>1002</v>
      </c>
      <c r="E264" s="919" t="s">
        <v>1006</v>
      </c>
      <c r="F264" s="921">
        <v>1</v>
      </c>
      <c r="G264" s="921">
        <v>132</v>
      </c>
      <c r="H264" s="1004">
        <v>30</v>
      </c>
      <c r="I264" s="725"/>
      <c r="J264" s="725"/>
    </row>
    <row r="265" spans="2:10">
      <c r="B265" s="723">
        <v>260</v>
      </c>
      <c r="C265" s="919" t="s">
        <v>2155</v>
      </c>
      <c r="D265" s="919" t="s">
        <v>1002</v>
      </c>
      <c r="E265" s="919" t="s">
        <v>1006</v>
      </c>
      <c r="F265" s="921">
        <v>1</v>
      </c>
      <c r="G265" s="921">
        <v>132</v>
      </c>
      <c r="H265" s="1001">
        <v>17.2</v>
      </c>
      <c r="I265" s="725"/>
      <c r="J265" s="725"/>
    </row>
    <row r="266" spans="2:10">
      <c r="B266" s="723">
        <v>261</v>
      </c>
      <c r="C266" s="919" t="s">
        <v>2156</v>
      </c>
      <c r="D266" s="919" t="s">
        <v>1002</v>
      </c>
      <c r="E266" s="919" t="s">
        <v>1006</v>
      </c>
      <c r="F266" s="921">
        <v>1</v>
      </c>
      <c r="G266" s="921">
        <v>132</v>
      </c>
      <c r="H266" s="1001">
        <v>33.200000000000003</v>
      </c>
      <c r="I266" s="725"/>
      <c r="J266" s="725"/>
    </row>
    <row r="267" spans="2:10">
      <c r="B267" s="723">
        <v>262</v>
      </c>
      <c r="C267" s="921" t="s">
        <v>2157</v>
      </c>
      <c r="D267" s="919" t="s">
        <v>1002</v>
      </c>
      <c r="E267" s="919" t="s">
        <v>1006</v>
      </c>
      <c r="F267" s="921">
        <v>1</v>
      </c>
      <c r="G267" s="921">
        <v>132</v>
      </c>
      <c r="H267" s="1004">
        <v>16</v>
      </c>
      <c r="I267" s="725"/>
      <c r="J267" s="725"/>
    </row>
    <row r="268" spans="2:10">
      <c r="B268" s="723">
        <v>263</v>
      </c>
      <c r="C268" s="921" t="s">
        <v>1510</v>
      </c>
      <c r="D268" s="919" t="s">
        <v>1002</v>
      </c>
      <c r="E268" s="919" t="s">
        <v>1006</v>
      </c>
      <c r="F268" s="921">
        <v>1</v>
      </c>
      <c r="G268" s="921">
        <v>132</v>
      </c>
      <c r="H268" s="1001">
        <v>27</v>
      </c>
      <c r="I268" s="725"/>
      <c r="J268" s="725"/>
    </row>
    <row r="269" spans="2:10">
      <c r="B269" s="723">
        <v>264</v>
      </c>
      <c r="C269" s="921" t="s">
        <v>1509</v>
      </c>
      <c r="D269" s="919" t="s">
        <v>1002</v>
      </c>
      <c r="E269" s="919" t="s">
        <v>1006</v>
      </c>
      <c r="F269" s="921">
        <v>1</v>
      </c>
      <c r="G269" s="921">
        <v>132</v>
      </c>
      <c r="H269" s="1001">
        <v>15</v>
      </c>
      <c r="I269" s="725"/>
      <c r="J269" s="725"/>
    </row>
    <row r="270" spans="2:10">
      <c r="B270" s="723">
        <v>265</v>
      </c>
      <c r="C270" s="923" t="s">
        <v>1439</v>
      </c>
      <c r="D270" s="919" t="s">
        <v>1002</v>
      </c>
      <c r="E270" s="919" t="s">
        <v>1006</v>
      </c>
      <c r="F270" s="921">
        <v>1</v>
      </c>
      <c r="G270" s="921">
        <v>132</v>
      </c>
      <c r="H270" s="1004">
        <v>62</v>
      </c>
      <c r="I270" s="725"/>
      <c r="J270" s="725"/>
    </row>
    <row r="271" spans="2:10">
      <c r="B271" s="723">
        <v>266</v>
      </c>
      <c r="C271" s="921" t="s">
        <v>1497</v>
      </c>
      <c r="D271" s="919" t="s">
        <v>1002</v>
      </c>
      <c r="E271" s="919" t="s">
        <v>1006</v>
      </c>
      <c r="F271" s="921">
        <v>1</v>
      </c>
      <c r="G271" s="921">
        <v>132</v>
      </c>
      <c r="H271" s="1001">
        <v>37.729999999999997</v>
      </c>
      <c r="I271" s="725"/>
      <c r="J271" s="725"/>
    </row>
    <row r="272" spans="2:10">
      <c r="B272" s="723">
        <v>267</v>
      </c>
      <c r="C272" s="921" t="s">
        <v>1505</v>
      </c>
      <c r="D272" s="919" t="s">
        <v>1002</v>
      </c>
      <c r="E272" s="919" t="s">
        <v>1003</v>
      </c>
      <c r="F272" s="921">
        <v>1</v>
      </c>
      <c r="G272" s="921">
        <v>132</v>
      </c>
      <c r="H272" s="1001">
        <v>10</v>
      </c>
      <c r="I272" s="725"/>
      <c r="J272" s="725"/>
    </row>
    <row r="273" spans="2:10">
      <c r="B273" s="723">
        <v>268</v>
      </c>
      <c r="C273" s="921" t="s">
        <v>1507</v>
      </c>
      <c r="D273" s="919" t="s">
        <v>1002</v>
      </c>
      <c r="E273" s="919" t="s">
        <v>1003</v>
      </c>
      <c r="F273" s="921">
        <v>1</v>
      </c>
      <c r="G273" s="921">
        <v>132</v>
      </c>
      <c r="H273" s="1001">
        <v>80</v>
      </c>
      <c r="I273" s="725"/>
      <c r="J273" s="725"/>
    </row>
    <row r="274" spans="2:10">
      <c r="B274" s="723">
        <v>269</v>
      </c>
      <c r="C274" s="1001" t="s">
        <v>2158</v>
      </c>
      <c r="D274" s="919" t="s">
        <v>1002</v>
      </c>
      <c r="E274" s="919" t="s">
        <v>1006</v>
      </c>
      <c r="F274" s="921">
        <v>1</v>
      </c>
      <c r="G274" s="921">
        <v>132</v>
      </c>
      <c r="H274" s="1001">
        <v>43</v>
      </c>
      <c r="I274" s="725"/>
      <c r="J274" s="725"/>
    </row>
    <row r="275" spans="2:10">
      <c r="B275" s="723">
        <v>270</v>
      </c>
      <c r="C275" s="921" t="s">
        <v>1506</v>
      </c>
      <c r="D275" s="919" t="s">
        <v>1002</v>
      </c>
      <c r="E275" s="919" t="s">
        <v>1006</v>
      </c>
      <c r="F275" s="921">
        <v>1</v>
      </c>
      <c r="G275" s="921">
        <v>132</v>
      </c>
      <c r="H275" s="1001">
        <v>48.89</v>
      </c>
      <c r="I275" s="727"/>
      <c r="J275" s="727"/>
    </row>
    <row r="276" spans="2:10">
      <c r="B276" s="723">
        <v>271</v>
      </c>
      <c r="C276" s="921" t="s">
        <v>1508</v>
      </c>
      <c r="D276" s="919" t="s">
        <v>1002</v>
      </c>
      <c r="E276" s="919" t="s">
        <v>1006</v>
      </c>
      <c r="F276" s="921">
        <v>1</v>
      </c>
      <c r="G276" s="921">
        <v>132</v>
      </c>
      <c r="H276" s="1001">
        <v>27</v>
      </c>
      <c r="I276" s="726"/>
      <c r="J276" s="726"/>
    </row>
    <row r="277" spans="2:10">
      <c r="B277" s="723">
        <v>272</v>
      </c>
      <c r="C277" s="923" t="s">
        <v>1438</v>
      </c>
      <c r="D277" s="919" t="s">
        <v>1002</v>
      </c>
      <c r="E277" s="919" t="s">
        <v>1006</v>
      </c>
      <c r="F277" s="921">
        <v>1</v>
      </c>
      <c r="G277" s="921">
        <v>132</v>
      </c>
      <c r="H277" s="1001">
        <v>49</v>
      </c>
      <c r="I277" s="726"/>
      <c r="J277" s="726"/>
    </row>
    <row r="278" spans="2:10">
      <c r="B278" s="723">
        <v>273</v>
      </c>
      <c r="C278" s="921" t="s">
        <v>2159</v>
      </c>
      <c r="D278" s="919" t="s">
        <v>1002</v>
      </c>
      <c r="E278" s="919" t="s">
        <v>1006</v>
      </c>
      <c r="F278" s="921">
        <v>1</v>
      </c>
      <c r="G278" s="921">
        <v>132</v>
      </c>
      <c r="H278" s="1001">
        <v>7</v>
      </c>
      <c r="I278" s="725"/>
      <c r="J278" s="725"/>
    </row>
    <row r="279" spans="2:10">
      <c r="B279" s="723">
        <v>274</v>
      </c>
      <c r="C279" s="1001" t="s">
        <v>1500</v>
      </c>
      <c r="D279" s="919" t="s">
        <v>1002</v>
      </c>
      <c r="E279" s="919" t="s">
        <v>1006</v>
      </c>
      <c r="F279" s="921">
        <v>1</v>
      </c>
      <c r="G279" s="921">
        <v>132</v>
      </c>
      <c r="H279" s="1001">
        <v>58</v>
      </c>
      <c r="I279" s="725"/>
      <c r="J279" s="725"/>
    </row>
    <row r="280" spans="2:10">
      <c r="B280" s="723">
        <v>275</v>
      </c>
      <c r="C280" s="724" t="s">
        <v>1503</v>
      </c>
      <c r="D280" s="919" t="s">
        <v>1002</v>
      </c>
      <c r="E280" s="919" t="s">
        <v>1006</v>
      </c>
      <c r="F280" s="921">
        <v>1</v>
      </c>
      <c r="G280" s="921">
        <v>132</v>
      </c>
      <c r="H280" s="1001">
        <v>41.2</v>
      </c>
      <c r="I280" s="726"/>
      <c r="J280" s="726"/>
    </row>
    <row r="281" spans="2:10">
      <c r="B281" s="723">
        <v>276</v>
      </c>
      <c r="C281" s="724" t="s">
        <v>1504</v>
      </c>
      <c r="D281" s="919" t="s">
        <v>1002</v>
      </c>
      <c r="E281" s="919" t="s">
        <v>1006</v>
      </c>
      <c r="F281" s="921">
        <v>1</v>
      </c>
      <c r="G281" s="921">
        <v>132</v>
      </c>
      <c r="H281" s="1002">
        <v>32</v>
      </c>
      <c r="I281" s="726"/>
      <c r="J281" s="726"/>
    </row>
    <row r="282" spans="2:10">
      <c r="B282" s="723">
        <v>277</v>
      </c>
      <c r="C282" s="918" t="s">
        <v>2160</v>
      </c>
      <c r="D282" s="919" t="s">
        <v>1002</v>
      </c>
      <c r="E282" s="919" t="s">
        <v>1006</v>
      </c>
      <c r="F282" s="921">
        <v>1</v>
      </c>
      <c r="G282" s="921">
        <v>132</v>
      </c>
      <c r="H282" s="922">
        <v>18</v>
      </c>
      <c r="I282" s="725"/>
      <c r="J282" s="725"/>
    </row>
    <row r="283" spans="2:10">
      <c r="B283" s="723">
        <v>278</v>
      </c>
      <c r="C283" s="918" t="s">
        <v>2161</v>
      </c>
      <c r="D283" s="919" t="s">
        <v>1002</v>
      </c>
      <c r="E283" s="919" t="s">
        <v>1003</v>
      </c>
      <c r="F283" s="921">
        <v>1</v>
      </c>
      <c r="G283" s="921">
        <v>132</v>
      </c>
      <c r="H283" s="922">
        <v>49</v>
      </c>
      <c r="I283" s="726"/>
      <c r="J283" s="726"/>
    </row>
    <row r="284" spans="2:10">
      <c r="B284" s="723">
        <v>279</v>
      </c>
      <c r="C284" s="921" t="s">
        <v>2162</v>
      </c>
      <c r="D284" s="919" t="s">
        <v>1002</v>
      </c>
      <c r="E284" s="919" t="s">
        <v>1006</v>
      </c>
      <c r="F284" s="921">
        <v>1</v>
      </c>
      <c r="G284" s="921">
        <v>132</v>
      </c>
      <c r="H284" s="1002">
        <v>55</v>
      </c>
      <c r="I284" s="725"/>
      <c r="J284" s="725"/>
    </row>
    <row r="285" spans="2:10">
      <c r="B285" s="723">
        <v>280</v>
      </c>
      <c r="C285" s="723" t="s">
        <v>2163</v>
      </c>
      <c r="D285" s="919" t="s">
        <v>1002</v>
      </c>
      <c r="E285" s="919" t="s">
        <v>1006</v>
      </c>
      <c r="F285" s="921">
        <v>1</v>
      </c>
      <c r="G285" s="921">
        <v>132</v>
      </c>
      <c r="H285" s="1004">
        <v>34</v>
      </c>
      <c r="I285" s="725"/>
      <c r="J285" s="725"/>
    </row>
    <row r="286" spans="2:10">
      <c r="B286" s="723">
        <v>281</v>
      </c>
      <c r="C286" s="918" t="s">
        <v>1615</v>
      </c>
      <c r="D286" s="919" t="s">
        <v>1002</v>
      </c>
      <c r="E286" s="919" t="s">
        <v>1006</v>
      </c>
      <c r="F286" s="921">
        <v>1</v>
      </c>
      <c r="G286" s="921">
        <v>132</v>
      </c>
      <c r="H286" s="1009">
        <v>10</v>
      </c>
      <c r="I286" s="726"/>
      <c r="J286" s="726"/>
    </row>
    <row r="287" spans="2:10">
      <c r="B287" s="723">
        <v>282</v>
      </c>
      <c r="C287" s="1001" t="s">
        <v>2164</v>
      </c>
      <c r="D287" s="919" t="s">
        <v>1002</v>
      </c>
      <c r="E287" s="919" t="s">
        <v>1003</v>
      </c>
      <c r="F287" s="921">
        <v>1</v>
      </c>
      <c r="G287" s="921">
        <v>132</v>
      </c>
      <c r="H287" s="319">
        <v>140</v>
      </c>
      <c r="I287" s="726"/>
      <c r="J287" s="726"/>
    </row>
    <row r="288" spans="2:10">
      <c r="B288" s="723">
        <v>283</v>
      </c>
      <c r="C288" s="921" t="s">
        <v>2165</v>
      </c>
      <c r="D288" s="919" t="s">
        <v>1002</v>
      </c>
      <c r="E288" s="919" t="s">
        <v>1006</v>
      </c>
      <c r="F288" s="921">
        <v>1</v>
      </c>
      <c r="G288" s="921">
        <v>132</v>
      </c>
      <c r="H288" s="1006">
        <v>82</v>
      </c>
      <c r="I288" s="726"/>
      <c r="J288" s="726"/>
    </row>
    <row r="289" spans="2:10" ht="30">
      <c r="B289" s="723">
        <v>284</v>
      </c>
      <c r="C289" s="1012" t="s">
        <v>1616</v>
      </c>
      <c r="D289" s="919" t="s">
        <v>1002</v>
      </c>
      <c r="E289" s="919" t="s">
        <v>1006</v>
      </c>
      <c r="F289" s="921">
        <v>1</v>
      </c>
      <c r="G289" s="921">
        <v>132</v>
      </c>
      <c r="H289" s="1006">
        <v>0.8</v>
      </c>
      <c r="I289" s="726"/>
      <c r="J289" s="726"/>
    </row>
    <row r="290" spans="2:10">
      <c r="B290" s="723">
        <v>285</v>
      </c>
      <c r="C290" s="921" t="s">
        <v>1618</v>
      </c>
      <c r="D290" s="919" t="s">
        <v>1002</v>
      </c>
      <c r="E290" s="919" t="s">
        <v>1006</v>
      </c>
      <c r="F290" s="921">
        <v>1</v>
      </c>
      <c r="G290" s="921">
        <v>132</v>
      </c>
      <c r="H290" s="1002">
        <v>1</v>
      </c>
      <c r="I290" s="726"/>
      <c r="J290" s="726"/>
    </row>
    <row r="291" spans="2:10">
      <c r="B291" s="723">
        <v>286</v>
      </c>
      <c r="C291" s="1001" t="s">
        <v>2166</v>
      </c>
      <c r="D291" s="919" t="s">
        <v>1002</v>
      </c>
      <c r="E291" s="919" t="s">
        <v>1003</v>
      </c>
      <c r="F291" s="921">
        <v>1</v>
      </c>
      <c r="G291" s="921">
        <v>132</v>
      </c>
      <c r="H291" s="1001">
        <v>52</v>
      </c>
      <c r="I291" s="726"/>
      <c r="J291" s="726"/>
    </row>
    <row r="292" spans="2:10">
      <c r="B292" s="723">
        <v>287</v>
      </c>
      <c r="C292" s="921" t="s">
        <v>1502</v>
      </c>
      <c r="D292" s="919" t="s">
        <v>1002</v>
      </c>
      <c r="E292" s="919" t="s">
        <v>1006</v>
      </c>
      <c r="F292" s="921">
        <v>1</v>
      </c>
      <c r="G292" s="921">
        <v>132</v>
      </c>
      <c r="H292" s="1001">
        <v>30</v>
      </c>
      <c r="I292" s="726"/>
      <c r="J292" s="726"/>
    </row>
    <row r="293" spans="2:10" ht="30">
      <c r="B293" s="723">
        <v>288</v>
      </c>
      <c r="C293" s="918" t="s">
        <v>2167</v>
      </c>
      <c r="D293" s="919" t="s">
        <v>1002</v>
      </c>
      <c r="E293" s="919" t="s">
        <v>1006</v>
      </c>
      <c r="F293" s="921">
        <v>1</v>
      </c>
      <c r="G293" s="921">
        <v>132</v>
      </c>
      <c r="H293" s="922">
        <v>8</v>
      </c>
      <c r="I293" s="726"/>
      <c r="J293" s="726"/>
    </row>
    <row r="294" spans="2:10">
      <c r="B294" s="723">
        <v>289</v>
      </c>
      <c r="C294" s="1001" t="s">
        <v>2168</v>
      </c>
      <c r="D294" s="919" t="s">
        <v>1002</v>
      </c>
      <c r="E294" s="919" t="s">
        <v>1003</v>
      </c>
      <c r="F294" s="921">
        <v>1</v>
      </c>
      <c r="G294" s="921">
        <v>132</v>
      </c>
      <c r="H294" s="319">
        <v>35</v>
      </c>
      <c r="I294" s="726"/>
      <c r="J294" s="726"/>
    </row>
    <row r="295" spans="2:10">
      <c r="B295" s="723">
        <v>290</v>
      </c>
      <c r="C295" s="1013" t="s">
        <v>2169</v>
      </c>
      <c r="D295" s="919" t="s">
        <v>1002</v>
      </c>
      <c r="E295" s="919" t="s">
        <v>1003</v>
      </c>
      <c r="F295" s="921">
        <v>1</v>
      </c>
      <c r="G295" s="921">
        <v>132</v>
      </c>
      <c r="H295" s="1014">
        <v>61</v>
      </c>
      <c r="I295" s="725"/>
      <c r="J295" s="725"/>
    </row>
    <row r="296" spans="2:10">
      <c r="B296" s="723">
        <v>291</v>
      </c>
      <c r="C296" s="1015" t="s">
        <v>2170</v>
      </c>
      <c r="D296" s="919" t="s">
        <v>1002</v>
      </c>
      <c r="E296" s="919" t="s">
        <v>1006</v>
      </c>
      <c r="F296" s="921">
        <v>1</v>
      </c>
      <c r="G296" s="921">
        <v>132</v>
      </c>
      <c r="H296" s="319">
        <v>36.29</v>
      </c>
      <c r="I296" s="726"/>
      <c r="J296" s="726"/>
    </row>
    <row r="297" spans="2:10">
      <c r="B297" s="723">
        <v>292</v>
      </c>
      <c r="C297" s="1015" t="s">
        <v>2171</v>
      </c>
      <c r="D297" s="919" t="s">
        <v>1002</v>
      </c>
      <c r="E297" s="919" t="s">
        <v>1006</v>
      </c>
      <c r="F297" s="921">
        <v>1</v>
      </c>
      <c r="G297" s="921">
        <v>132</v>
      </c>
      <c r="H297" s="319">
        <v>5.37</v>
      </c>
      <c r="I297" s="726"/>
      <c r="J297" s="726"/>
    </row>
    <row r="298" spans="2:10">
      <c r="B298" s="723">
        <v>293</v>
      </c>
      <c r="C298" s="1015" t="s">
        <v>2172</v>
      </c>
      <c r="D298" s="919" t="s">
        <v>1002</v>
      </c>
      <c r="E298" s="919" t="s">
        <v>1003</v>
      </c>
      <c r="F298" s="921">
        <v>1</v>
      </c>
      <c r="G298" s="921">
        <v>132</v>
      </c>
      <c r="H298" s="319">
        <v>16</v>
      </c>
      <c r="I298" s="726"/>
      <c r="J298" s="726"/>
    </row>
    <row r="299" spans="2:10">
      <c r="B299" s="723">
        <v>294</v>
      </c>
      <c r="C299" s="1001" t="s">
        <v>2173</v>
      </c>
      <c r="D299" s="921" t="s">
        <v>1002</v>
      </c>
      <c r="E299" s="921" t="s">
        <v>1006</v>
      </c>
      <c r="F299" s="921">
        <v>1</v>
      </c>
      <c r="G299" s="921">
        <v>132</v>
      </c>
      <c r="H299" s="319">
        <v>8.5299999999999994</v>
      </c>
      <c r="I299" s="725"/>
      <c r="J299" s="725"/>
    </row>
    <row r="300" spans="2:10">
      <c r="B300" s="723">
        <v>295</v>
      </c>
      <c r="C300" s="1018" t="s">
        <v>2175</v>
      </c>
      <c r="D300" s="1015" t="s">
        <v>1002</v>
      </c>
      <c r="E300" s="1019" t="s">
        <v>1003</v>
      </c>
      <c r="F300" s="1001">
        <v>1</v>
      </c>
      <c r="G300" s="921">
        <v>220</v>
      </c>
      <c r="H300" s="1020">
        <v>3.34</v>
      </c>
      <c r="I300" s="725"/>
      <c r="J300" s="725"/>
    </row>
    <row r="301" spans="2:10">
      <c r="B301" s="723">
        <v>296</v>
      </c>
      <c r="C301" s="1018" t="s">
        <v>2176</v>
      </c>
      <c r="D301" s="1015" t="s">
        <v>1002</v>
      </c>
      <c r="E301" s="1019" t="s">
        <v>1003</v>
      </c>
      <c r="F301" s="1001">
        <v>1</v>
      </c>
      <c r="G301" s="921">
        <v>220</v>
      </c>
      <c r="H301" s="1020">
        <v>3.34</v>
      </c>
      <c r="I301" s="725"/>
      <c r="J301" s="725"/>
    </row>
    <row r="302" spans="2:10">
      <c r="B302" s="723">
        <v>297</v>
      </c>
      <c r="C302" s="1018" t="s">
        <v>2177</v>
      </c>
      <c r="D302" s="1015" t="s">
        <v>1002</v>
      </c>
      <c r="E302" s="1019" t="s">
        <v>1003</v>
      </c>
      <c r="F302" s="1001">
        <v>1</v>
      </c>
      <c r="G302" s="921">
        <v>220</v>
      </c>
      <c r="H302" s="1020">
        <v>0.9</v>
      </c>
      <c r="I302" s="725"/>
      <c r="J302" s="725"/>
    </row>
    <row r="303" spans="2:10">
      <c r="B303" s="723">
        <v>298</v>
      </c>
      <c r="C303" s="1018" t="s">
        <v>1413</v>
      </c>
      <c r="D303" s="1015" t="s">
        <v>1002</v>
      </c>
      <c r="E303" s="1019" t="s">
        <v>1006</v>
      </c>
      <c r="F303" s="1001">
        <v>1</v>
      </c>
      <c r="G303" s="921">
        <v>220</v>
      </c>
      <c r="H303" s="1001">
        <v>0.3</v>
      </c>
      <c r="I303" s="725"/>
      <c r="J303" s="725"/>
    </row>
    <row r="304" spans="2:10">
      <c r="B304" s="723">
        <v>299</v>
      </c>
      <c r="C304" s="1018" t="s">
        <v>1414</v>
      </c>
      <c r="D304" s="1015" t="s">
        <v>1002</v>
      </c>
      <c r="E304" s="1019" t="s">
        <v>1006</v>
      </c>
      <c r="F304" s="1001">
        <v>1</v>
      </c>
      <c r="G304" s="921">
        <v>220</v>
      </c>
      <c r="H304" s="1001">
        <v>30</v>
      </c>
      <c r="I304" s="725"/>
      <c r="J304" s="725"/>
    </row>
    <row r="305" spans="2:10">
      <c r="B305" s="723">
        <v>300</v>
      </c>
      <c r="C305" s="1018" t="s">
        <v>1415</v>
      </c>
      <c r="D305" s="1015" t="s">
        <v>1002</v>
      </c>
      <c r="E305" s="1019" t="s">
        <v>1006</v>
      </c>
      <c r="F305" s="1001">
        <v>1</v>
      </c>
      <c r="G305" s="921">
        <v>220</v>
      </c>
      <c r="H305" s="1001">
        <v>30</v>
      </c>
      <c r="I305" s="725"/>
      <c r="J305" s="725"/>
    </row>
    <row r="306" spans="2:10">
      <c r="B306" s="723">
        <v>301</v>
      </c>
      <c r="C306" s="1018" t="s">
        <v>1416</v>
      </c>
      <c r="D306" s="1015" t="s">
        <v>1002</v>
      </c>
      <c r="E306" s="1019" t="s">
        <v>1006</v>
      </c>
      <c r="F306" s="1001">
        <v>1</v>
      </c>
      <c r="G306" s="921">
        <v>220</v>
      </c>
      <c r="H306" s="1001">
        <v>60</v>
      </c>
      <c r="I306" s="725"/>
      <c r="J306" s="725"/>
    </row>
    <row r="307" spans="2:10">
      <c r="B307" s="723">
        <v>302</v>
      </c>
      <c r="C307" s="1018" t="s">
        <v>2178</v>
      </c>
      <c r="D307" s="1015" t="s">
        <v>1002</v>
      </c>
      <c r="E307" s="1019" t="s">
        <v>1006</v>
      </c>
      <c r="F307" s="1001">
        <v>1</v>
      </c>
      <c r="G307" s="921">
        <v>220</v>
      </c>
      <c r="H307" s="1020">
        <v>4.75</v>
      </c>
      <c r="I307" s="725"/>
      <c r="J307" s="725"/>
    </row>
    <row r="308" spans="2:10">
      <c r="B308" s="723">
        <v>303</v>
      </c>
      <c r="C308" s="1018" t="s">
        <v>2179</v>
      </c>
      <c r="D308" s="1015" t="s">
        <v>1002</v>
      </c>
      <c r="E308" s="1019" t="s">
        <v>1006</v>
      </c>
      <c r="F308" s="1001">
        <v>1</v>
      </c>
      <c r="G308" s="921">
        <v>220</v>
      </c>
      <c r="H308" s="1020">
        <v>4.2</v>
      </c>
      <c r="I308" s="725"/>
      <c r="J308" s="725"/>
    </row>
    <row r="309" spans="2:10">
      <c r="B309" s="723">
        <v>304</v>
      </c>
      <c r="C309" s="1018" t="s">
        <v>2180</v>
      </c>
      <c r="D309" s="1015" t="s">
        <v>1002</v>
      </c>
      <c r="E309" s="1019" t="s">
        <v>1006</v>
      </c>
      <c r="F309" s="1001">
        <v>1</v>
      </c>
      <c r="G309" s="921">
        <v>220</v>
      </c>
      <c r="H309" s="1020">
        <v>4.75</v>
      </c>
      <c r="I309" s="725"/>
      <c r="J309" s="725"/>
    </row>
    <row r="310" spans="2:10">
      <c r="B310" s="723">
        <v>305</v>
      </c>
      <c r="C310" s="1018" t="s">
        <v>2180</v>
      </c>
      <c r="D310" s="1015" t="s">
        <v>1002</v>
      </c>
      <c r="E310" s="1019" t="s">
        <v>1006</v>
      </c>
      <c r="F310" s="1001">
        <v>1</v>
      </c>
      <c r="G310" s="921">
        <v>220</v>
      </c>
      <c r="H310" s="1020">
        <v>4.2</v>
      </c>
      <c r="I310" s="725"/>
      <c r="J310" s="725"/>
    </row>
    <row r="311" spans="2:10">
      <c r="B311" s="723">
        <v>306</v>
      </c>
      <c r="C311" s="1018" t="s">
        <v>2181</v>
      </c>
      <c r="D311" s="1015" t="s">
        <v>1002</v>
      </c>
      <c r="E311" s="1019" t="s">
        <v>1003</v>
      </c>
      <c r="F311" s="1001">
        <v>1</v>
      </c>
      <c r="G311" s="921">
        <v>220</v>
      </c>
      <c r="H311" s="1020">
        <v>34</v>
      </c>
      <c r="I311" s="725"/>
      <c r="J311" s="725"/>
    </row>
    <row r="312" spans="2:10">
      <c r="B312" s="723">
        <v>307</v>
      </c>
      <c r="C312" s="1018" t="s">
        <v>2182</v>
      </c>
      <c r="D312" s="1015" t="s">
        <v>1002</v>
      </c>
      <c r="E312" s="1019" t="s">
        <v>1003</v>
      </c>
      <c r="F312" s="1001">
        <v>1</v>
      </c>
      <c r="G312" s="921">
        <v>220</v>
      </c>
      <c r="H312" s="1020">
        <v>184</v>
      </c>
      <c r="I312" s="725"/>
      <c r="J312" s="725"/>
    </row>
    <row r="313" spans="2:10">
      <c r="B313" s="723">
        <v>308</v>
      </c>
      <c r="C313" s="1018" t="s">
        <v>2183</v>
      </c>
      <c r="D313" s="1015" t="s">
        <v>1002</v>
      </c>
      <c r="E313" s="1019" t="s">
        <v>1003</v>
      </c>
      <c r="F313" s="1001">
        <v>1</v>
      </c>
      <c r="G313" s="921">
        <v>220</v>
      </c>
      <c r="H313" s="1020">
        <v>100</v>
      </c>
      <c r="I313" s="725"/>
      <c r="J313" s="725"/>
    </row>
    <row r="314" spans="2:10">
      <c r="B314" s="723">
        <v>309</v>
      </c>
      <c r="C314" s="1015" t="s">
        <v>2184</v>
      </c>
      <c r="D314" s="1015" t="s">
        <v>1002</v>
      </c>
      <c r="E314" s="1019" t="s">
        <v>1006</v>
      </c>
      <c r="F314" s="1001">
        <v>1</v>
      </c>
      <c r="G314" s="921">
        <v>220</v>
      </c>
      <c r="H314" s="1001">
        <v>29</v>
      </c>
      <c r="I314" s="725"/>
      <c r="J314" s="725"/>
    </row>
    <row r="315" spans="2:10">
      <c r="B315" s="723">
        <v>310</v>
      </c>
      <c r="C315" s="1015" t="s">
        <v>2185</v>
      </c>
      <c r="D315" s="1015" t="s">
        <v>1002</v>
      </c>
      <c r="E315" s="1019" t="s">
        <v>1006</v>
      </c>
      <c r="F315" s="1001">
        <v>1</v>
      </c>
      <c r="G315" s="921">
        <v>220</v>
      </c>
      <c r="H315" s="1001">
        <v>39</v>
      </c>
      <c r="I315" s="725"/>
      <c r="J315" s="725"/>
    </row>
    <row r="316" spans="2:10">
      <c r="B316" s="723">
        <v>311</v>
      </c>
      <c r="C316" s="1015" t="s">
        <v>2186</v>
      </c>
      <c r="D316" s="1015" t="s">
        <v>1002</v>
      </c>
      <c r="E316" s="1019" t="s">
        <v>1003</v>
      </c>
      <c r="F316" s="1001">
        <v>1</v>
      </c>
      <c r="G316" s="921">
        <v>220</v>
      </c>
      <c r="H316" s="1020">
        <v>83.2</v>
      </c>
      <c r="I316" s="725"/>
      <c r="J316" s="725"/>
    </row>
    <row r="317" spans="2:10">
      <c r="B317" s="723">
        <v>312</v>
      </c>
      <c r="C317" s="1015" t="s">
        <v>2187</v>
      </c>
      <c r="D317" s="1015" t="s">
        <v>1002</v>
      </c>
      <c r="E317" s="1019" t="s">
        <v>1003</v>
      </c>
      <c r="F317" s="1001">
        <v>1</v>
      </c>
      <c r="G317" s="921">
        <v>220</v>
      </c>
      <c r="H317" s="1020">
        <v>83.6</v>
      </c>
      <c r="I317" s="725"/>
      <c r="J317" s="725"/>
    </row>
    <row r="318" spans="2:10">
      <c r="B318" s="723">
        <v>313</v>
      </c>
      <c r="C318" s="1015" t="s">
        <v>2188</v>
      </c>
      <c r="D318" s="1015" t="s">
        <v>1002</v>
      </c>
      <c r="E318" s="1019" t="s">
        <v>1003</v>
      </c>
      <c r="F318" s="1001">
        <v>1</v>
      </c>
      <c r="G318" s="921">
        <v>220</v>
      </c>
      <c r="H318" s="1020">
        <v>116.44</v>
      </c>
      <c r="I318" s="725"/>
      <c r="J318" s="725"/>
    </row>
    <row r="319" spans="2:10">
      <c r="B319" s="723">
        <v>314</v>
      </c>
      <c r="C319" s="1015" t="s">
        <v>2189</v>
      </c>
      <c r="D319" s="1015" t="s">
        <v>1002</v>
      </c>
      <c r="E319" s="1019" t="s">
        <v>1003</v>
      </c>
      <c r="F319" s="1001">
        <v>1</v>
      </c>
      <c r="G319" s="921">
        <v>220</v>
      </c>
      <c r="H319" s="1020">
        <v>94</v>
      </c>
      <c r="I319" s="725"/>
      <c r="J319" s="725"/>
    </row>
    <row r="320" spans="2:10">
      <c r="B320" s="723">
        <v>315</v>
      </c>
      <c r="C320" s="1018" t="s">
        <v>2190</v>
      </c>
      <c r="D320" s="1015" t="s">
        <v>1002</v>
      </c>
      <c r="E320" s="1019" t="s">
        <v>1003</v>
      </c>
      <c r="F320" s="1001">
        <v>1</v>
      </c>
      <c r="G320" s="921">
        <v>220</v>
      </c>
      <c r="H320" s="1020">
        <v>104</v>
      </c>
      <c r="I320" s="725"/>
      <c r="J320" s="725"/>
    </row>
    <row r="321" spans="2:10">
      <c r="B321" s="723">
        <v>316</v>
      </c>
      <c r="C321" s="1018" t="s">
        <v>2191</v>
      </c>
      <c r="D321" s="1015" t="s">
        <v>1002</v>
      </c>
      <c r="E321" s="1019" t="s">
        <v>1003</v>
      </c>
      <c r="F321" s="1001">
        <v>1</v>
      </c>
      <c r="G321" s="921">
        <v>220</v>
      </c>
      <c r="H321" s="1020">
        <v>200.18</v>
      </c>
      <c r="I321" s="725"/>
      <c r="J321" s="725"/>
    </row>
    <row r="322" spans="2:10">
      <c r="B322" s="723">
        <v>317</v>
      </c>
      <c r="C322" s="1018" t="s">
        <v>2192</v>
      </c>
      <c r="D322" s="1015" t="s">
        <v>1002</v>
      </c>
      <c r="E322" s="1019" t="s">
        <v>1003</v>
      </c>
      <c r="F322" s="1001">
        <v>1</v>
      </c>
      <c r="G322" s="921">
        <v>220</v>
      </c>
      <c r="H322" s="1020">
        <v>204</v>
      </c>
      <c r="I322" s="725"/>
      <c r="J322" s="725"/>
    </row>
    <row r="323" spans="2:10">
      <c r="B323" s="723">
        <v>318</v>
      </c>
      <c r="C323" s="1018" t="s">
        <v>2193</v>
      </c>
      <c r="D323" s="1015" t="s">
        <v>1002</v>
      </c>
      <c r="E323" s="1019" t="s">
        <v>1003</v>
      </c>
      <c r="F323" s="1001">
        <v>1</v>
      </c>
      <c r="G323" s="921">
        <v>220</v>
      </c>
      <c r="H323" s="1020">
        <v>196</v>
      </c>
      <c r="I323" s="725"/>
      <c r="J323" s="725"/>
    </row>
    <row r="324" spans="2:10">
      <c r="B324" s="723">
        <v>319</v>
      </c>
      <c r="C324" s="1018" t="s">
        <v>2194</v>
      </c>
      <c r="D324" s="1015" t="s">
        <v>1002</v>
      </c>
      <c r="E324" s="1019" t="s">
        <v>1003</v>
      </c>
      <c r="F324" s="1001">
        <v>1</v>
      </c>
      <c r="G324" s="921">
        <v>220</v>
      </c>
      <c r="H324" s="1020">
        <v>8.52</v>
      </c>
      <c r="I324" s="725"/>
      <c r="J324" s="725"/>
    </row>
    <row r="325" spans="2:10">
      <c r="B325" s="723">
        <v>320</v>
      </c>
      <c r="C325" s="1018" t="s">
        <v>2194</v>
      </c>
      <c r="D325" s="1015" t="s">
        <v>1002</v>
      </c>
      <c r="E325" s="1019" t="s">
        <v>1003</v>
      </c>
      <c r="F325" s="1001">
        <v>1</v>
      </c>
      <c r="G325" s="921">
        <v>220</v>
      </c>
      <c r="H325" s="1020">
        <v>9</v>
      </c>
      <c r="I325" s="725"/>
      <c r="J325" s="725"/>
    </row>
    <row r="326" spans="2:10">
      <c r="B326" s="723">
        <v>321</v>
      </c>
      <c r="C326" s="1018" t="s">
        <v>2195</v>
      </c>
      <c r="D326" s="1015" t="s">
        <v>1002</v>
      </c>
      <c r="E326" s="1019" t="s">
        <v>1003</v>
      </c>
      <c r="F326" s="1001">
        <v>1</v>
      </c>
      <c r="G326" s="921">
        <v>220</v>
      </c>
      <c r="H326" s="1020">
        <v>218</v>
      </c>
      <c r="I326" s="725"/>
      <c r="J326" s="725"/>
    </row>
    <row r="327" spans="2:10">
      <c r="B327" s="723">
        <v>322</v>
      </c>
      <c r="C327" s="1018" t="s">
        <v>2196</v>
      </c>
      <c r="D327" s="1015" t="s">
        <v>1002</v>
      </c>
      <c r="E327" s="1019" t="s">
        <v>1003</v>
      </c>
      <c r="F327" s="1001">
        <v>1</v>
      </c>
      <c r="G327" s="921">
        <v>220</v>
      </c>
      <c r="H327" s="1020">
        <v>5.86</v>
      </c>
      <c r="I327" s="725"/>
      <c r="J327" s="725"/>
    </row>
    <row r="328" spans="2:10">
      <c r="B328" s="723">
        <v>323</v>
      </c>
      <c r="C328" s="1018" t="s">
        <v>2197</v>
      </c>
      <c r="D328" s="1015" t="s">
        <v>1002</v>
      </c>
      <c r="E328" s="1019" t="s">
        <v>1003</v>
      </c>
      <c r="F328" s="1001">
        <v>1</v>
      </c>
      <c r="G328" s="921">
        <v>220</v>
      </c>
      <c r="H328" s="1020">
        <v>178</v>
      </c>
      <c r="I328" s="725"/>
      <c r="J328" s="725"/>
    </row>
    <row r="329" spans="2:10">
      <c r="B329" s="723">
        <v>324</v>
      </c>
      <c r="C329" s="1018" t="s">
        <v>1417</v>
      </c>
      <c r="D329" s="1015" t="s">
        <v>1002</v>
      </c>
      <c r="E329" s="1019" t="s">
        <v>1006</v>
      </c>
      <c r="F329" s="1001">
        <v>1</v>
      </c>
      <c r="G329" s="921">
        <v>220</v>
      </c>
      <c r="H329" s="1001">
        <v>48</v>
      </c>
      <c r="I329" s="725"/>
      <c r="J329" s="725"/>
    </row>
    <row r="330" spans="2:10">
      <c r="B330" s="723">
        <v>325</v>
      </c>
      <c r="C330" s="1018" t="s">
        <v>1418</v>
      </c>
      <c r="D330" s="1015" t="s">
        <v>1002</v>
      </c>
      <c r="E330" s="1019" t="s">
        <v>1006</v>
      </c>
      <c r="F330" s="1001">
        <v>1</v>
      </c>
      <c r="G330" s="921">
        <v>220</v>
      </c>
      <c r="H330" s="1001">
        <v>73</v>
      </c>
      <c r="I330" s="725"/>
      <c r="J330" s="725"/>
    </row>
    <row r="331" spans="2:10">
      <c r="B331" s="723">
        <v>326</v>
      </c>
      <c r="C331" s="1018" t="s">
        <v>2198</v>
      </c>
      <c r="D331" s="1015" t="s">
        <v>1002</v>
      </c>
      <c r="E331" s="1019" t="s">
        <v>1003</v>
      </c>
      <c r="F331" s="1001">
        <v>1</v>
      </c>
      <c r="G331" s="921">
        <v>220</v>
      </c>
      <c r="H331" s="1020">
        <v>202.7</v>
      </c>
      <c r="I331" s="725"/>
      <c r="J331" s="725"/>
    </row>
    <row r="332" spans="2:10">
      <c r="B332" s="723">
        <v>327</v>
      </c>
      <c r="C332" s="1018" t="s">
        <v>2199</v>
      </c>
      <c r="D332" s="1015" t="s">
        <v>1002</v>
      </c>
      <c r="E332" s="1019" t="s">
        <v>1003</v>
      </c>
      <c r="F332" s="1001">
        <v>1</v>
      </c>
      <c r="G332" s="921">
        <v>220</v>
      </c>
      <c r="H332" s="1020">
        <v>75.599999999999994</v>
      </c>
      <c r="I332" s="725"/>
      <c r="J332" s="725"/>
    </row>
    <row r="333" spans="2:10">
      <c r="B333" s="723">
        <v>328</v>
      </c>
      <c r="C333" s="1018" t="s">
        <v>2200</v>
      </c>
      <c r="D333" s="1015" t="s">
        <v>1002</v>
      </c>
      <c r="E333" s="1019" t="s">
        <v>1003</v>
      </c>
      <c r="F333" s="1001">
        <v>1</v>
      </c>
      <c r="G333" s="921">
        <v>220</v>
      </c>
      <c r="H333" s="1020">
        <v>170</v>
      </c>
      <c r="I333" s="725"/>
      <c r="J333" s="725"/>
    </row>
    <row r="334" spans="2:10">
      <c r="B334" s="723">
        <v>329</v>
      </c>
      <c r="C334" s="1011" t="s">
        <v>2201</v>
      </c>
      <c r="D334" s="1015" t="s">
        <v>1002</v>
      </c>
      <c r="E334" s="1019" t="s">
        <v>1003</v>
      </c>
      <c r="F334" s="1001">
        <v>1</v>
      </c>
      <c r="G334" s="921">
        <v>220</v>
      </c>
      <c r="H334" s="1020">
        <v>30</v>
      </c>
      <c r="I334" s="725"/>
      <c r="J334" s="725"/>
    </row>
    <row r="335" spans="2:10">
      <c r="B335" s="723">
        <v>330</v>
      </c>
      <c r="C335" s="1018" t="s">
        <v>2202</v>
      </c>
      <c r="D335" s="1015" t="s">
        <v>1002</v>
      </c>
      <c r="E335" s="1019" t="s">
        <v>1003</v>
      </c>
      <c r="F335" s="1001">
        <v>1</v>
      </c>
      <c r="G335" s="921">
        <v>220</v>
      </c>
      <c r="H335" s="1020">
        <v>31</v>
      </c>
      <c r="I335" s="725"/>
      <c r="J335" s="725"/>
    </row>
    <row r="336" spans="2:10">
      <c r="B336" s="723">
        <v>331</v>
      </c>
      <c r="C336" s="1018" t="s">
        <v>2203</v>
      </c>
      <c r="D336" s="1015" t="s">
        <v>1002</v>
      </c>
      <c r="E336" s="1019" t="s">
        <v>1003</v>
      </c>
      <c r="F336" s="1001">
        <v>1</v>
      </c>
      <c r="G336" s="921">
        <v>220</v>
      </c>
      <c r="H336" s="1020">
        <v>99</v>
      </c>
      <c r="I336" s="725"/>
      <c r="J336" s="725"/>
    </row>
    <row r="337" spans="2:10">
      <c r="B337" s="723">
        <v>332</v>
      </c>
      <c r="C337" s="1018" t="s">
        <v>2204</v>
      </c>
      <c r="D337" s="1015" t="s">
        <v>1002</v>
      </c>
      <c r="E337" s="1019" t="s">
        <v>1003</v>
      </c>
      <c r="F337" s="1001">
        <v>1</v>
      </c>
      <c r="G337" s="921">
        <v>220</v>
      </c>
      <c r="H337" s="1020">
        <v>216</v>
      </c>
      <c r="I337" s="725"/>
      <c r="J337" s="725"/>
    </row>
    <row r="338" spans="2:10">
      <c r="B338" s="723">
        <v>333</v>
      </c>
      <c r="C338" s="1018" t="s">
        <v>2205</v>
      </c>
      <c r="D338" s="1015" t="s">
        <v>1002</v>
      </c>
      <c r="E338" s="1019" t="s">
        <v>1003</v>
      </c>
      <c r="F338" s="1001">
        <v>1</v>
      </c>
      <c r="G338" s="921">
        <v>220</v>
      </c>
      <c r="H338" s="1020">
        <v>110</v>
      </c>
      <c r="I338" s="725"/>
      <c r="J338" s="725"/>
    </row>
    <row r="339" spans="2:10">
      <c r="B339" s="723">
        <v>334</v>
      </c>
      <c r="C339" s="1015" t="s">
        <v>2206</v>
      </c>
      <c r="D339" s="1015" t="s">
        <v>1002</v>
      </c>
      <c r="E339" s="1019" t="s">
        <v>1003</v>
      </c>
      <c r="F339" s="1001">
        <v>1</v>
      </c>
      <c r="G339" s="921">
        <v>220</v>
      </c>
      <c r="H339" s="1020">
        <v>292</v>
      </c>
      <c r="I339" s="725"/>
      <c r="J339" s="725"/>
    </row>
    <row r="340" spans="2:10">
      <c r="B340" s="723">
        <v>335</v>
      </c>
      <c r="C340" s="1015" t="s">
        <v>2207</v>
      </c>
      <c r="D340" s="1015" t="s">
        <v>1002</v>
      </c>
      <c r="E340" s="1019" t="s">
        <v>1006</v>
      </c>
      <c r="F340" s="1001">
        <v>1</v>
      </c>
      <c r="G340" s="921">
        <v>220</v>
      </c>
      <c r="H340" s="1020">
        <v>96.2</v>
      </c>
      <c r="I340" s="725"/>
      <c r="J340" s="725"/>
    </row>
    <row r="341" spans="2:10">
      <c r="B341" s="723">
        <v>336</v>
      </c>
      <c r="C341" s="1015" t="s">
        <v>2208</v>
      </c>
      <c r="D341" s="1015" t="s">
        <v>1002</v>
      </c>
      <c r="E341" s="1019" t="s">
        <v>1006</v>
      </c>
      <c r="F341" s="1001">
        <v>1</v>
      </c>
      <c r="G341" s="921">
        <v>220</v>
      </c>
      <c r="H341" s="1020">
        <v>90</v>
      </c>
      <c r="I341" s="725"/>
      <c r="J341" s="725"/>
    </row>
    <row r="342" spans="2:10">
      <c r="B342" s="723">
        <v>337</v>
      </c>
      <c r="C342" s="1015" t="s">
        <v>2209</v>
      </c>
      <c r="D342" s="1015" t="s">
        <v>1002</v>
      </c>
      <c r="E342" s="1019" t="s">
        <v>1006</v>
      </c>
      <c r="F342" s="1001">
        <v>1</v>
      </c>
      <c r="G342" s="921">
        <v>220</v>
      </c>
      <c r="H342" s="1020">
        <v>58</v>
      </c>
      <c r="I342" s="725"/>
      <c r="J342" s="725"/>
    </row>
    <row r="343" spans="2:10">
      <c r="B343" s="723">
        <v>338</v>
      </c>
      <c r="C343" s="1015" t="s">
        <v>2210</v>
      </c>
      <c r="D343" s="1015" t="s">
        <v>1002</v>
      </c>
      <c r="E343" s="1019" t="s">
        <v>1006</v>
      </c>
      <c r="F343" s="1001">
        <v>1</v>
      </c>
      <c r="G343" s="921">
        <v>220</v>
      </c>
      <c r="H343" s="1020">
        <v>55</v>
      </c>
      <c r="I343" s="725"/>
      <c r="J343" s="725"/>
    </row>
    <row r="344" spans="2:10">
      <c r="B344" s="723">
        <v>339</v>
      </c>
      <c r="C344" s="1015" t="s">
        <v>2211</v>
      </c>
      <c r="D344" s="1015" t="s">
        <v>1002</v>
      </c>
      <c r="E344" s="1019" t="s">
        <v>1003</v>
      </c>
      <c r="F344" s="1001">
        <v>1</v>
      </c>
      <c r="G344" s="921">
        <v>220</v>
      </c>
      <c r="H344" s="1020">
        <v>132</v>
      </c>
      <c r="I344" s="725"/>
      <c r="J344" s="725"/>
    </row>
    <row r="345" spans="2:10">
      <c r="B345" s="723">
        <v>340</v>
      </c>
      <c r="C345" s="1001" t="s">
        <v>2212</v>
      </c>
      <c r="D345" s="1015" t="s">
        <v>1002</v>
      </c>
      <c r="E345" s="1019" t="s">
        <v>1006</v>
      </c>
      <c r="F345" s="1001">
        <v>1</v>
      </c>
      <c r="G345" s="921">
        <v>220</v>
      </c>
      <c r="H345" s="1001">
        <v>31</v>
      </c>
      <c r="I345" s="725"/>
      <c r="J345" s="725"/>
    </row>
    <row r="346" spans="2:10">
      <c r="B346" s="723">
        <v>341</v>
      </c>
      <c r="C346" s="1015" t="s">
        <v>2213</v>
      </c>
      <c r="D346" s="1015" t="s">
        <v>1002</v>
      </c>
      <c r="E346" s="1019" t="s">
        <v>1003</v>
      </c>
      <c r="F346" s="1001">
        <v>1</v>
      </c>
      <c r="G346" s="921">
        <v>220</v>
      </c>
      <c r="H346" s="1020">
        <v>120</v>
      </c>
      <c r="I346" s="725"/>
      <c r="J346" s="725"/>
    </row>
    <row r="347" spans="2:10">
      <c r="B347" s="723">
        <v>342</v>
      </c>
      <c r="C347" s="1015" t="s">
        <v>2214</v>
      </c>
      <c r="D347" s="1015" t="s">
        <v>1002</v>
      </c>
      <c r="E347" s="1019" t="s">
        <v>1003</v>
      </c>
      <c r="F347" s="1001">
        <v>1</v>
      </c>
      <c r="G347" s="921">
        <v>220</v>
      </c>
      <c r="H347" s="1020">
        <v>66</v>
      </c>
      <c r="I347" s="725"/>
      <c r="J347" s="725"/>
    </row>
    <row r="348" spans="2:10">
      <c r="B348" s="723">
        <v>343</v>
      </c>
      <c r="C348" s="1015" t="s">
        <v>2215</v>
      </c>
      <c r="D348" s="1015" t="s">
        <v>1002</v>
      </c>
      <c r="E348" s="1019" t="s">
        <v>1003</v>
      </c>
      <c r="F348" s="1001">
        <v>1</v>
      </c>
      <c r="G348" s="921">
        <v>220</v>
      </c>
      <c r="H348" s="1020">
        <v>112.4</v>
      </c>
      <c r="I348" s="725"/>
      <c r="J348" s="725"/>
    </row>
    <row r="349" spans="2:10">
      <c r="B349" s="723">
        <v>344</v>
      </c>
      <c r="C349" s="1015" t="s">
        <v>2216</v>
      </c>
      <c r="D349" s="1015" t="s">
        <v>1002</v>
      </c>
      <c r="E349" s="1019" t="s">
        <v>1003</v>
      </c>
      <c r="F349" s="1001">
        <v>1</v>
      </c>
      <c r="G349" s="921">
        <v>220</v>
      </c>
      <c r="H349" s="1020">
        <v>110</v>
      </c>
      <c r="I349" s="725"/>
      <c r="J349" s="725"/>
    </row>
    <row r="350" spans="2:10">
      <c r="B350" s="723">
        <v>345</v>
      </c>
      <c r="C350" s="1015" t="s">
        <v>2217</v>
      </c>
      <c r="D350" s="1015" t="s">
        <v>1002</v>
      </c>
      <c r="E350" s="1019" t="s">
        <v>1003</v>
      </c>
      <c r="F350" s="1001">
        <v>1</v>
      </c>
      <c r="G350" s="921">
        <v>220</v>
      </c>
      <c r="H350" s="1020">
        <v>250</v>
      </c>
      <c r="I350" s="725"/>
      <c r="J350" s="725"/>
    </row>
    <row r="351" spans="2:10">
      <c r="B351" s="723">
        <v>346</v>
      </c>
      <c r="C351" s="1015" t="s">
        <v>2218</v>
      </c>
      <c r="D351" s="1015" t="s">
        <v>1002</v>
      </c>
      <c r="E351" s="1019" t="s">
        <v>1003</v>
      </c>
      <c r="F351" s="1001">
        <v>1</v>
      </c>
      <c r="G351" s="921">
        <v>220</v>
      </c>
      <c r="H351" s="1020">
        <v>101.6</v>
      </c>
      <c r="I351" s="725"/>
      <c r="J351" s="725"/>
    </row>
    <row r="352" spans="2:10">
      <c r="B352" s="723">
        <v>347</v>
      </c>
      <c r="C352" s="1013" t="s">
        <v>2219</v>
      </c>
      <c r="D352" s="1013" t="s">
        <v>1002</v>
      </c>
      <c r="E352" s="1021" t="s">
        <v>1003</v>
      </c>
      <c r="F352" s="1016">
        <v>1</v>
      </c>
      <c r="G352" s="745">
        <v>220</v>
      </c>
      <c r="H352" s="1022">
        <v>120.6</v>
      </c>
      <c r="I352" s="725"/>
      <c r="J352" s="725"/>
    </row>
    <row r="353" spans="2:10">
      <c r="B353" s="1436" t="s">
        <v>2174</v>
      </c>
      <c r="C353" s="1436"/>
      <c r="D353" s="1436"/>
      <c r="E353" s="1436"/>
      <c r="F353" s="1436"/>
      <c r="G353" s="1436"/>
      <c r="H353" s="1017">
        <f>SUM(H6:H352)</f>
        <v>16856.660000000003</v>
      </c>
      <c r="I353" s="725"/>
      <c r="J353" s="725"/>
    </row>
    <row r="354" spans="2:10">
      <c r="B354" s="887"/>
      <c r="C354" s="534"/>
      <c r="D354" s="533"/>
      <c r="E354" s="533"/>
      <c r="F354" s="533"/>
      <c r="G354" s="533"/>
      <c r="H354" s="533"/>
      <c r="I354" s="533"/>
      <c r="J354" s="513"/>
    </row>
    <row r="355" spans="2:10">
      <c r="B355" s="1439" t="s">
        <v>1248</v>
      </c>
      <c r="C355" s="1439"/>
      <c r="D355" s="1439"/>
      <c r="E355" s="1439"/>
      <c r="F355" s="1439"/>
      <c r="G355" s="1439"/>
      <c r="H355" s="1439"/>
      <c r="I355" s="1440"/>
      <c r="J355" s="894"/>
    </row>
    <row r="356" spans="2:10" ht="94.5" customHeight="1">
      <c r="B356" s="1441" t="s">
        <v>174</v>
      </c>
      <c r="C356" s="1444" t="s">
        <v>1803</v>
      </c>
      <c r="D356" s="1447" t="s">
        <v>1804</v>
      </c>
      <c r="E356" s="1375" t="s">
        <v>2220</v>
      </c>
      <c r="F356" s="1376"/>
      <c r="G356" s="1376"/>
      <c r="H356" s="1377"/>
      <c r="I356" s="1375" t="s">
        <v>1010</v>
      </c>
      <c r="J356" s="1377"/>
    </row>
    <row r="357" spans="2:10">
      <c r="B357" s="1442"/>
      <c r="C357" s="1445"/>
      <c r="D357" s="1448"/>
      <c r="E357" s="1375">
        <v>220</v>
      </c>
      <c r="F357" s="1377"/>
      <c r="G357" s="1375">
        <v>132</v>
      </c>
      <c r="H357" s="1377"/>
      <c r="I357" s="925" t="s">
        <v>389</v>
      </c>
      <c r="J357" s="518" t="s">
        <v>1805</v>
      </c>
    </row>
    <row r="358" spans="2:10" s="165" customFormat="1">
      <c r="B358" s="1443"/>
      <c r="C358" s="1446"/>
      <c r="D358" s="1449"/>
      <c r="E358" s="776" t="s">
        <v>1122</v>
      </c>
      <c r="F358" s="776" t="s">
        <v>2221</v>
      </c>
      <c r="G358" s="925" t="s">
        <v>1122</v>
      </c>
      <c r="H358" s="925" t="s">
        <v>2221</v>
      </c>
      <c r="I358" s="925" t="s">
        <v>1122</v>
      </c>
      <c r="J358" s="925" t="s">
        <v>1122</v>
      </c>
    </row>
    <row r="359" spans="2:10">
      <c r="B359" s="518">
        <v>1</v>
      </c>
      <c r="C359" s="1023" t="s">
        <v>1833</v>
      </c>
      <c r="D359" s="1023" t="s">
        <v>2222</v>
      </c>
      <c r="E359" s="1023"/>
      <c r="F359" s="1024"/>
      <c r="G359" s="1023">
        <v>4</v>
      </c>
      <c r="H359" s="1024" t="s">
        <v>1815</v>
      </c>
      <c r="I359" s="1008"/>
      <c r="J359" s="1008">
        <v>9</v>
      </c>
    </row>
    <row r="360" spans="2:10">
      <c r="B360" s="518">
        <v>2</v>
      </c>
      <c r="C360" s="1023" t="s">
        <v>1880</v>
      </c>
      <c r="D360" s="1023" t="s">
        <v>2222</v>
      </c>
      <c r="E360" s="1023"/>
      <c r="F360" s="1024"/>
      <c r="G360" s="1023">
        <v>2</v>
      </c>
      <c r="H360" s="1024" t="s">
        <v>1768</v>
      </c>
      <c r="I360" s="1008"/>
      <c r="J360" s="1008">
        <v>5</v>
      </c>
    </row>
    <row r="361" spans="2:10">
      <c r="B361" s="518">
        <v>3</v>
      </c>
      <c r="C361" s="1023" t="s">
        <v>1902</v>
      </c>
      <c r="D361" s="1023" t="s">
        <v>2222</v>
      </c>
      <c r="E361" s="1023"/>
      <c r="F361" s="1024"/>
      <c r="G361" s="1023">
        <v>2</v>
      </c>
      <c r="H361" s="1024" t="s">
        <v>1825</v>
      </c>
      <c r="I361" s="1008"/>
      <c r="J361" s="1008">
        <v>5</v>
      </c>
    </row>
    <row r="362" spans="2:10">
      <c r="B362" s="518">
        <v>4</v>
      </c>
      <c r="C362" s="1023" t="s">
        <v>1847</v>
      </c>
      <c r="D362" s="1023" t="s">
        <v>2222</v>
      </c>
      <c r="E362" s="1023"/>
      <c r="F362" s="1024"/>
      <c r="G362" s="1023">
        <v>2</v>
      </c>
      <c r="H362" s="1024" t="s">
        <v>1768</v>
      </c>
      <c r="I362" s="1008"/>
      <c r="J362" s="1008">
        <v>7</v>
      </c>
    </row>
    <row r="363" spans="2:10">
      <c r="B363" s="518">
        <v>5</v>
      </c>
      <c r="C363" s="1023" t="s">
        <v>1796</v>
      </c>
      <c r="D363" s="1023" t="s">
        <v>2222</v>
      </c>
      <c r="E363" s="1023"/>
      <c r="F363" s="1024"/>
      <c r="G363" s="1023">
        <v>3</v>
      </c>
      <c r="H363" s="1024" t="s">
        <v>1836</v>
      </c>
      <c r="I363" s="1008"/>
      <c r="J363" s="1008">
        <v>9</v>
      </c>
    </row>
    <row r="364" spans="2:10">
      <c r="B364" s="518">
        <v>6</v>
      </c>
      <c r="C364" s="1023" t="s">
        <v>1878</v>
      </c>
      <c r="D364" s="1023" t="s">
        <v>2222</v>
      </c>
      <c r="E364" s="1023"/>
      <c r="F364" s="1024"/>
      <c r="G364" s="1023">
        <v>1</v>
      </c>
      <c r="H364" s="1024" t="s">
        <v>1139</v>
      </c>
      <c r="I364" s="1008"/>
      <c r="J364" s="1008">
        <v>5</v>
      </c>
    </row>
    <row r="365" spans="2:10">
      <c r="B365" s="518">
        <v>7</v>
      </c>
      <c r="C365" s="1023" t="s">
        <v>1879</v>
      </c>
      <c r="D365" s="1023" t="s">
        <v>2222</v>
      </c>
      <c r="E365" s="1023"/>
      <c r="F365" s="1024"/>
      <c r="G365" s="1023">
        <v>2</v>
      </c>
      <c r="H365" s="1024" t="s">
        <v>1825</v>
      </c>
      <c r="I365" s="1008"/>
      <c r="J365" s="1008">
        <v>5</v>
      </c>
    </row>
    <row r="366" spans="2:10">
      <c r="B366" s="518">
        <v>8</v>
      </c>
      <c r="C366" s="1023" t="s">
        <v>1867</v>
      </c>
      <c r="D366" s="1023" t="s">
        <v>2222</v>
      </c>
      <c r="E366" s="1023"/>
      <c r="F366" s="1024"/>
      <c r="G366" s="1023">
        <v>2</v>
      </c>
      <c r="H366" s="1024" t="s">
        <v>2223</v>
      </c>
      <c r="I366" s="1008"/>
      <c r="J366" s="1008">
        <v>5</v>
      </c>
    </row>
    <row r="367" spans="2:10">
      <c r="B367" s="518">
        <v>9</v>
      </c>
      <c r="C367" s="1023" t="s">
        <v>1823</v>
      </c>
      <c r="D367" s="1023" t="s">
        <v>2222</v>
      </c>
      <c r="E367" s="1023"/>
      <c r="F367" s="1024"/>
      <c r="G367" s="1023">
        <v>2</v>
      </c>
      <c r="H367" s="1024" t="s">
        <v>1825</v>
      </c>
      <c r="I367" s="1008"/>
      <c r="J367" s="1008">
        <v>8</v>
      </c>
    </row>
    <row r="368" spans="2:10">
      <c r="B368" s="518">
        <v>10</v>
      </c>
      <c r="C368" s="1023" t="s">
        <v>1859</v>
      </c>
      <c r="D368" s="1023" t="s">
        <v>2222</v>
      </c>
      <c r="E368" s="1023"/>
      <c r="F368" s="1024"/>
      <c r="G368" s="1023">
        <v>3</v>
      </c>
      <c r="H368" s="1024" t="s">
        <v>1810</v>
      </c>
      <c r="I368" s="43"/>
      <c r="J368" s="1008">
        <v>8</v>
      </c>
    </row>
    <row r="369" spans="2:10">
      <c r="B369" s="518">
        <v>11</v>
      </c>
      <c r="C369" s="1023" t="s">
        <v>2224</v>
      </c>
      <c r="D369" s="1023" t="s">
        <v>2222</v>
      </c>
      <c r="E369" s="1023"/>
      <c r="F369" s="1024"/>
      <c r="G369" s="1023">
        <v>2</v>
      </c>
      <c r="H369" s="1024" t="s">
        <v>1768</v>
      </c>
      <c r="I369" s="1008"/>
      <c r="J369" s="1008">
        <v>8</v>
      </c>
    </row>
    <row r="370" spans="2:10">
      <c r="B370" s="518">
        <v>12</v>
      </c>
      <c r="C370" s="1023" t="s">
        <v>1874</v>
      </c>
      <c r="D370" s="1023" t="s">
        <v>2222</v>
      </c>
      <c r="E370" s="1023"/>
      <c r="F370" s="1024"/>
      <c r="G370" s="1023">
        <v>2</v>
      </c>
      <c r="H370" s="1024" t="s">
        <v>1832</v>
      </c>
      <c r="I370" s="1008"/>
      <c r="J370" s="1008">
        <v>5</v>
      </c>
    </row>
    <row r="371" spans="2:10">
      <c r="B371" s="518">
        <v>13</v>
      </c>
      <c r="C371" s="1023" t="s">
        <v>1813</v>
      </c>
      <c r="D371" s="1023" t="s">
        <v>2222</v>
      </c>
      <c r="E371" s="1023"/>
      <c r="F371" s="1024"/>
      <c r="G371" s="1023">
        <v>2</v>
      </c>
      <c r="H371" s="1024" t="s">
        <v>1768</v>
      </c>
      <c r="I371" s="1008"/>
      <c r="J371" s="1008">
        <v>5</v>
      </c>
    </row>
    <row r="372" spans="2:10">
      <c r="B372" s="518">
        <v>14</v>
      </c>
      <c r="C372" s="1023" t="s">
        <v>1855</v>
      </c>
      <c r="D372" s="1023" t="s">
        <v>2222</v>
      </c>
      <c r="E372" s="1023"/>
      <c r="F372" s="1024"/>
      <c r="G372" s="1023">
        <v>4</v>
      </c>
      <c r="H372" s="1024" t="s">
        <v>1815</v>
      </c>
      <c r="I372" s="1008"/>
      <c r="J372" s="1008">
        <v>8</v>
      </c>
    </row>
    <row r="373" spans="2:10">
      <c r="B373" s="518">
        <v>15</v>
      </c>
      <c r="C373" s="1023" t="s">
        <v>1876</v>
      </c>
      <c r="D373" s="1023" t="s">
        <v>2222</v>
      </c>
      <c r="E373" s="1023"/>
      <c r="F373" s="1024"/>
      <c r="G373" s="1023">
        <v>2</v>
      </c>
      <c r="H373" s="1024" t="s">
        <v>1768</v>
      </c>
      <c r="I373" s="1008"/>
      <c r="J373" s="1008">
        <v>5</v>
      </c>
    </row>
    <row r="374" spans="2:10">
      <c r="B374" s="518">
        <v>16</v>
      </c>
      <c r="C374" s="1023" t="s">
        <v>1197</v>
      </c>
      <c r="D374" s="1023" t="s">
        <v>2225</v>
      </c>
      <c r="E374" s="1023">
        <v>4</v>
      </c>
      <c r="F374" s="1024" t="s">
        <v>1820</v>
      </c>
      <c r="G374" s="1023">
        <v>3</v>
      </c>
      <c r="H374" s="1024" t="s">
        <v>1822</v>
      </c>
      <c r="I374" s="1008">
        <v>12</v>
      </c>
      <c r="J374" s="1008">
        <v>18</v>
      </c>
    </row>
    <row r="375" spans="2:10">
      <c r="B375" s="518">
        <v>17</v>
      </c>
      <c r="C375" s="1023" t="s">
        <v>1845</v>
      </c>
      <c r="D375" s="1023" t="s">
        <v>2222</v>
      </c>
      <c r="E375" s="1023"/>
      <c r="F375" s="1024"/>
      <c r="G375" s="1023">
        <v>2</v>
      </c>
      <c r="H375" s="1024" t="s">
        <v>1825</v>
      </c>
      <c r="I375" s="1008"/>
      <c r="J375" s="1008">
        <v>4</v>
      </c>
    </row>
    <row r="376" spans="2:10">
      <c r="B376" s="518">
        <v>18</v>
      </c>
      <c r="C376" s="1023" t="s">
        <v>1884</v>
      </c>
      <c r="D376" s="1023" t="s">
        <v>2222</v>
      </c>
      <c r="E376" s="1023"/>
      <c r="F376" s="1024"/>
      <c r="G376" s="1023">
        <v>2</v>
      </c>
      <c r="H376" s="1024" t="s">
        <v>2226</v>
      </c>
      <c r="I376" s="1008"/>
      <c r="J376" s="1008">
        <v>5</v>
      </c>
    </row>
    <row r="377" spans="2:10">
      <c r="B377" s="518">
        <v>19</v>
      </c>
      <c r="C377" s="1023" t="s">
        <v>1894</v>
      </c>
      <c r="D377" s="1023" t="s">
        <v>2222</v>
      </c>
      <c r="E377" s="1023"/>
      <c r="F377" s="1024"/>
      <c r="G377" s="1023">
        <v>2</v>
      </c>
      <c r="H377" s="1024" t="s">
        <v>1832</v>
      </c>
      <c r="I377" s="1008"/>
      <c r="J377" s="1008">
        <v>6</v>
      </c>
    </row>
    <row r="378" spans="2:10">
      <c r="B378" s="518">
        <v>20</v>
      </c>
      <c r="C378" s="1023" t="s">
        <v>2227</v>
      </c>
      <c r="D378" s="1023" t="s">
        <v>2222</v>
      </c>
      <c r="E378" s="1023"/>
      <c r="F378" s="1024"/>
      <c r="G378" s="1023">
        <v>2</v>
      </c>
      <c r="H378" s="1024" t="s">
        <v>1825</v>
      </c>
      <c r="I378" s="1008"/>
      <c r="J378" s="1008">
        <v>4</v>
      </c>
    </row>
    <row r="379" spans="2:10">
      <c r="B379" s="518">
        <v>21</v>
      </c>
      <c r="C379" s="1023" t="s">
        <v>1206</v>
      </c>
      <c r="D379" s="1023" t="s">
        <v>2222</v>
      </c>
      <c r="E379" s="1023"/>
      <c r="F379" s="1024"/>
      <c r="G379" s="1023">
        <v>3</v>
      </c>
      <c r="H379" s="1024" t="s">
        <v>1836</v>
      </c>
      <c r="I379" s="1008"/>
      <c r="J379" s="1008">
        <v>16</v>
      </c>
    </row>
    <row r="380" spans="2:10">
      <c r="B380" s="518">
        <v>22</v>
      </c>
      <c r="C380" s="1023" t="s">
        <v>2228</v>
      </c>
      <c r="D380" s="1023" t="s">
        <v>2222</v>
      </c>
      <c r="E380" s="1023"/>
      <c r="F380" s="1024"/>
      <c r="G380" s="1023">
        <v>2</v>
      </c>
      <c r="H380" s="1024" t="s">
        <v>1768</v>
      </c>
      <c r="I380" s="1008"/>
      <c r="J380" s="1008">
        <v>5</v>
      </c>
    </row>
    <row r="381" spans="2:10">
      <c r="B381" s="518">
        <v>23</v>
      </c>
      <c r="C381" s="1023" t="s">
        <v>2229</v>
      </c>
      <c r="D381" s="1023" t="s">
        <v>2225</v>
      </c>
      <c r="E381" s="1023">
        <v>3</v>
      </c>
      <c r="F381" s="1024" t="s">
        <v>1850</v>
      </c>
      <c r="G381" s="1023">
        <v>1</v>
      </c>
      <c r="H381" s="1024" t="s">
        <v>1851</v>
      </c>
      <c r="I381" s="1008">
        <v>16</v>
      </c>
      <c r="J381" s="1008">
        <v>18</v>
      </c>
    </row>
    <row r="382" spans="2:10">
      <c r="B382" s="518">
        <v>24</v>
      </c>
      <c r="C382" s="1023" t="s">
        <v>2230</v>
      </c>
      <c r="D382" s="1023" t="s">
        <v>2225</v>
      </c>
      <c r="E382" s="1023">
        <v>2</v>
      </c>
      <c r="F382" s="1024" t="s">
        <v>1137</v>
      </c>
      <c r="G382" s="1023">
        <v>2</v>
      </c>
      <c r="H382" s="1024" t="s">
        <v>1768</v>
      </c>
      <c r="I382" s="1023">
        <v>5</v>
      </c>
      <c r="J382" s="1008">
        <v>8</v>
      </c>
    </row>
    <row r="383" spans="2:10">
      <c r="B383" s="518">
        <v>25</v>
      </c>
      <c r="C383" s="1023" t="s">
        <v>1819</v>
      </c>
      <c r="D383" s="1023" t="s">
        <v>2222</v>
      </c>
      <c r="E383" s="1023"/>
      <c r="F383" s="43"/>
      <c r="G383" s="1023">
        <v>4</v>
      </c>
      <c r="H383" s="1024" t="s">
        <v>1815</v>
      </c>
      <c r="I383" s="43"/>
      <c r="J383" s="1008">
        <v>9</v>
      </c>
    </row>
    <row r="384" spans="2:10">
      <c r="B384" s="518">
        <v>26</v>
      </c>
      <c r="C384" s="1023" t="s">
        <v>1827</v>
      </c>
      <c r="D384" s="1023" t="s">
        <v>2222</v>
      </c>
      <c r="E384" s="1023"/>
      <c r="F384" s="1024"/>
      <c r="G384" s="1023">
        <v>3</v>
      </c>
      <c r="H384" s="1024" t="s">
        <v>1836</v>
      </c>
      <c r="I384" s="1008"/>
      <c r="J384" s="1008">
        <v>7</v>
      </c>
    </row>
    <row r="385" spans="2:10">
      <c r="B385" s="518">
        <v>27</v>
      </c>
      <c r="C385" s="1023" t="s">
        <v>1194</v>
      </c>
      <c r="D385" s="1023" t="s">
        <v>2225</v>
      </c>
      <c r="E385" s="1023">
        <v>5</v>
      </c>
      <c r="F385" s="1024" t="s">
        <v>2231</v>
      </c>
      <c r="G385" s="1023">
        <v>3</v>
      </c>
      <c r="H385" s="1024" t="s">
        <v>1822</v>
      </c>
      <c r="I385" s="1008">
        <v>12</v>
      </c>
      <c r="J385" s="1008">
        <v>18</v>
      </c>
    </row>
    <row r="386" spans="2:10">
      <c r="B386" s="518">
        <v>28</v>
      </c>
      <c r="C386" s="1023" t="s">
        <v>1202</v>
      </c>
      <c r="D386" s="1023" t="s">
        <v>2222</v>
      </c>
      <c r="E386" s="1023"/>
      <c r="F386" s="1024"/>
      <c r="G386" s="1023">
        <v>3</v>
      </c>
      <c r="H386" s="1024" t="s">
        <v>1836</v>
      </c>
      <c r="I386" s="1008"/>
      <c r="J386" s="1008">
        <v>6</v>
      </c>
    </row>
    <row r="387" spans="2:10">
      <c r="B387" s="518">
        <v>29</v>
      </c>
      <c r="C387" s="1023" t="s">
        <v>1901</v>
      </c>
      <c r="D387" s="1023" t="s">
        <v>2222</v>
      </c>
      <c r="E387" s="1023"/>
      <c r="F387" s="1024"/>
      <c r="G387" s="1023">
        <v>2</v>
      </c>
      <c r="H387" s="1024" t="s">
        <v>1825</v>
      </c>
      <c r="I387" s="1008"/>
      <c r="J387" s="1008">
        <v>5</v>
      </c>
    </row>
    <row r="388" spans="2:10">
      <c r="B388" s="518">
        <v>30</v>
      </c>
      <c r="C388" s="1023" t="s">
        <v>2232</v>
      </c>
      <c r="D388" s="1023" t="s">
        <v>2222</v>
      </c>
      <c r="E388" s="1023"/>
      <c r="F388" s="1024"/>
      <c r="G388" s="1023">
        <v>3</v>
      </c>
      <c r="H388" s="1024" t="s">
        <v>1822</v>
      </c>
      <c r="I388" s="1008"/>
      <c r="J388" s="1008">
        <v>15</v>
      </c>
    </row>
    <row r="389" spans="2:10">
      <c r="B389" s="518">
        <v>31</v>
      </c>
      <c r="C389" s="1023" t="s">
        <v>1904</v>
      </c>
      <c r="D389" s="1023" t="s">
        <v>2222</v>
      </c>
      <c r="E389" s="1023"/>
      <c r="F389" s="1024"/>
      <c r="G389" s="1023">
        <v>3</v>
      </c>
      <c r="H389" s="1024" t="s">
        <v>1828</v>
      </c>
      <c r="I389" s="1008"/>
      <c r="J389" s="1008">
        <v>10</v>
      </c>
    </row>
    <row r="390" spans="2:10">
      <c r="B390" s="518">
        <v>32</v>
      </c>
      <c r="C390" s="1023" t="s">
        <v>2233</v>
      </c>
      <c r="D390" s="1023" t="s">
        <v>2222</v>
      </c>
      <c r="E390" s="1023"/>
      <c r="F390" s="1024"/>
      <c r="G390" s="1023">
        <v>3</v>
      </c>
      <c r="H390" s="1024" t="s">
        <v>1810</v>
      </c>
      <c r="I390" s="1008"/>
      <c r="J390" s="1008">
        <v>9</v>
      </c>
    </row>
    <row r="391" spans="2:10">
      <c r="B391" s="518">
        <v>33</v>
      </c>
      <c r="C391" s="1023" t="s">
        <v>2234</v>
      </c>
      <c r="D391" s="1023" t="s">
        <v>2235</v>
      </c>
      <c r="E391" s="1023">
        <v>2</v>
      </c>
      <c r="F391" s="1024" t="s">
        <v>1137</v>
      </c>
      <c r="G391" s="1023">
        <v>0</v>
      </c>
      <c r="H391" s="1023"/>
      <c r="I391" s="1008">
        <v>8</v>
      </c>
      <c r="J391" s="1008">
        <v>2</v>
      </c>
    </row>
    <row r="392" spans="2:10">
      <c r="B392" s="518">
        <v>34</v>
      </c>
      <c r="C392" s="1023" t="s">
        <v>2236</v>
      </c>
      <c r="D392" s="1023" t="s">
        <v>2222</v>
      </c>
      <c r="E392" s="1023"/>
      <c r="F392" s="43"/>
      <c r="G392" s="1023">
        <v>2</v>
      </c>
      <c r="H392" s="1024" t="s">
        <v>1768</v>
      </c>
      <c r="I392" s="1008"/>
      <c r="J392" s="1008">
        <v>9</v>
      </c>
    </row>
    <row r="393" spans="2:10">
      <c r="B393" s="518">
        <v>35</v>
      </c>
      <c r="C393" s="1023" t="s">
        <v>2237</v>
      </c>
      <c r="D393" s="1023" t="s">
        <v>2225</v>
      </c>
      <c r="E393" s="1023">
        <v>4</v>
      </c>
      <c r="F393" s="1024" t="s">
        <v>1820</v>
      </c>
      <c r="G393" s="1023">
        <v>3</v>
      </c>
      <c r="H393" s="1024" t="s">
        <v>1822</v>
      </c>
      <c r="I393" s="1008">
        <v>10</v>
      </c>
      <c r="J393" s="1008">
        <v>17</v>
      </c>
    </row>
    <row r="394" spans="2:10">
      <c r="B394" s="518">
        <v>36</v>
      </c>
      <c r="C394" s="1023" t="s">
        <v>1899</v>
      </c>
      <c r="D394" s="1023" t="s">
        <v>2222</v>
      </c>
      <c r="E394" s="1023"/>
      <c r="F394" s="1024"/>
      <c r="G394" s="1023">
        <v>3</v>
      </c>
      <c r="H394" s="1024" t="s">
        <v>1829</v>
      </c>
      <c r="I394" s="1008"/>
      <c r="J394" s="1008">
        <v>9</v>
      </c>
    </row>
    <row r="395" spans="2:10">
      <c r="B395" s="518">
        <v>37</v>
      </c>
      <c r="C395" s="1023" t="s">
        <v>1873</v>
      </c>
      <c r="D395" s="1023" t="s">
        <v>2222</v>
      </c>
      <c r="E395" s="1023"/>
      <c r="F395" s="1024"/>
      <c r="G395" s="1023">
        <v>2</v>
      </c>
      <c r="H395" s="1024" t="s">
        <v>1768</v>
      </c>
      <c r="I395" s="1008"/>
      <c r="J395" s="1008">
        <v>5</v>
      </c>
    </row>
    <row r="396" spans="2:10">
      <c r="B396" s="518">
        <v>38</v>
      </c>
      <c r="C396" s="1023" t="s">
        <v>2238</v>
      </c>
      <c r="D396" s="1023" t="s">
        <v>2222</v>
      </c>
      <c r="E396" s="1023"/>
      <c r="F396" s="1024"/>
      <c r="G396" s="1023">
        <v>2</v>
      </c>
      <c r="H396" s="1024" t="s">
        <v>1768</v>
      </c>
      <c r="I396" s="1008"/>
      <c r="J396" s="1008">
        <v>5</v>
      </c>
    </row>
    <row r="397" spans="2:10">
      <c r="B397" s="518">
        <v>39</v>
      </c>
      <c r="C397" s="1023" t="s">
        <v>2239</v>
      </c>
      <c r="D397" s="1023" t="s">
        <v>2222</v>
      </c>
      <c r="E397" s="1023"/>
      <c r="F397" s="1024"/>
      <c r="G397" s="1023">
        <v>3</v>
      </c>
      <c r="H397" s="1024" t="s">
        <v>1809</v>
      </c>
      <c r="I397" s="1008"/>
      <c r="J397" s="1008">
        <v>6</v>
      </c>
    </row>
    <row r="398" spans="2:10">
      <c r="B398" s="518">
        <v>40</v>
      </c>
      <c r="C398" s="1023" t="s">
        <v>1835</v>
      </c>
      <c r="D398" s="1023" t="s">
        <v>2222</v>
      </c>
      <c r="E398" s="1023"/>
      <c r="F398" s="1024"/>
      <c r="G398" s="1023">
        <v>2</v>
      </c>
      <c r="H398" s="1024" t="s">
        <v>1768</v>
      </c>
      <c r="I398" s="1008"/>
      <c r="J398" s="1008">
        <v>9</v>
      </c>
    </row>
    <row r="399" spans="2:10">
      <c r="B399" s="518">
        <v>41</v>
      </c>
      <c r="C399" s="1023" t="s">
        <v>1853</v>
      </c>
      <c r="D399" s="1023" t="s">
        <v>2222</v>
      </c>
      <c r="E399" s="1023"/>
      <c r="F399" s="1024"/>
      <c r="G399" s="1023">
        <v>4</v>
      </c>
      <c r="H399" s="1024" t="s">
        <v>2240</v>
      </c>
      <c r="I399" s="1008"/>
      <c r="J399" s="1008">
        <v>6</v>
      </c>
    </row>
    <row r="400" spans="2:10">
      <c r="B400" s="518">
        <v>42</v>
      </c>
      <c r="C400" s="1023" t="s">
        <v>1201</v>
      </c>
      <c r="D400" s="1023" t="s">
        <v>2222</v>
      </c>
      <c r="E400" s="1023"/>
      <c r="F400" s="43"/>
      <c r="G400" s="1023">
        <v>2</v>
      </c>
      <c r="H400" s="1024" t="s">
        <v>2241</v>
      </c>
      <c r="I400" s="1008"/>
      <c r="J400" s="1008">
        <v>3</v>
      </c>
    </row>
    <row r="401" spans="2:10">
      <c r="B401" s="518">
        <v>43</v>
      </c>
      <c r="C401" s="1023" t="s">
        <v>1812</v>
      </c>
      <c r="D401" s="1023" t="s">
        <v>2225</v>
      </c>
      <c r="E401" s="1023">
        <v>5</v>
      </c>
      <c r="F401" s="1024" t="s">
        <v>2242</v>
      </c>
      <c r="G401" s="1023">
        <v>3</v>
      </c>
      <c r="H401" s="1024" t="s">
        <v>1822</v>
      </c>
      <c r="I401" s="1008">
        <v>9</v>
      </c>
      <c r="J401" s="1008">
        <v>13</v>
      </c>
    </row>
    <row r="402" spans="2:10">
      <c r="B402" s="518">
        <v>44</v>
      </c>
      <c r="C402" s="1023" t="s">
        <v>2004</v>
      </c>
      <c r="D402" s="1023" t="s">
        <v>2222</v>
      </c>
      <c r="E402" s="1023"/>
      <c r="F402" s="1024"/>
      <c r="G402" s="1023">
        <v>3</v>
      </c>
      <c r="H402" s="1024" t="s">
        <v>1810</v>
      </c>
      <c r="I402" s="1008"/>
      <c r="J402" s="1008">
        <v>12</v>
      </c>
    </row>
    <row r="403" spans="2:10">
      <c r="B403" s="518">
        <v>45</v>
      </c>
      <c r="C403" s="1023" t="s">
        <v>1811</v>
      </c>
      <c r="D403" s="1023" t="s">
        <v>2222</v>
      </c>
      <c r="E403" s="1023"/>
      <c r="F403" s="1024"/>
      <c r="G403" s="1023">
        <v>3</v>
      </c>
      <c r="H403" s="1024" t="s">
        <v>1809</v>
      </c>
      <c r="I403" s="1008"/>
      <c r="J403" s="1008">
        <v>5</v>
      </c>
    </row>
    <row r="404" spans="2:10">
      <c r="B404" s="518">
        <v>46</v>
      </c>
      <c r="C404" s="1023" t="s">
        <v>1996</v>
      </c>
      <c r="D404" s="1023" t="s">
        <v>2222</v>
      </c>
      <c r="E404" s="1023"/>
      <c r="F404" s="43"/>
      <c r="G404" s="1023">
        <v>3</v>
      </c>
      <c r="H404" s="1024" t="s">
        <v>1822</v>
      </c>
      <c r="I404" s="1008"/>
      <c r="J404" s="1008">
        <v>8</v>
      </c>
    </row>
    <row r="405" spans="2:10">
      <c r="B405" s="518">
        <v>47</v>
      </c>
      <c r="C405" s="1023" t="s">
        <v>1969</v>
      </c>
      <c r="D405" s="1023" t="s">
        <v>2225</v>
      </c>
      <c r="E405" s="1023">
        <v>3</v>
      </c>
      <c r="F405" s="1024" t="s">
        <v>2243</v>
      </c>
      <c r="G405" s="1023">
        <v>3</v>
      </c>
      <c r="H405" s="1024" t="s">
        <v>2244</v>
      </c>
      <c r="I405" s="1008">
        <v>12</v>
      </c>
      <c r="J405" s="1008">
        <v>13</v>
      </c>
    </row>
    <row r="406" spans="2:10">
      <c r="B406" s="518">
        <v>48</v>
      </c>
      <c r="C406" s="1023" t="s">
        <v>1830</v>
      </c>
      <c r="D406" s="1023" t="s">
        <v>2222</v>
      </c>
      <c r="E406" s="1023"/>
      <c r="F406" s="43"/>
      <c r="G406" s="1023">
        <v>2</v>
      </c>
      <c r="H406" s="1024" t="s">
        <v>1825</v>
      </c>
      <c r="I406" s="1008"/>
      <c r="J406" s="1008">
        <v>7</v>
      </c>
    </row>
    <row r="407" spans="2:10">
      <c r="B407" s="518">
        <v>49</v>
      </c>
      <c r="C407" s="1023" t="s">
        <v>1195</v>
      </c>
      <c r="D407" s="1023" t="s">
        <v>2225</v>
      </c>
      <c r="E407" s="1023">
        <v>3</v>
      </c>
      <c r="F407" s="1024" t="s">
        <v>1890</v>
      </c>
      <c r="G407" s="1023">
        <v>3</v>
      </c>
      <c r="H407" s="1024" t="s">
        <v>1822</v>
      </c>
      <c r="I407" s="1008">
        <v>6</v>
      </c>
      <c r="J407" s="1008">
        <v>11</v>
      </c>
    </row>
    <row r="408" spans="2:10">
      <c r="B408" s="518">
        <v>50</v>
      </c>
      <c r="C408" s="1023" t="s">
        <v>2245</v>
      </c>
      <c r="D408" s="1023" t="s">
        <v>2246</v>
      </c>
      <c r="E408" s="1023">
        <v>3</v>
      </c>
      <c r="F408" s="1024" t="s">
        <v>1890</v>
      </c>
      <c r="G408" s="1023">
        <v>0</v>
      </c>
      <c r="H408" s="1023"/>
      <c r="I408" s="1023">
        <v>9</v>
      </c>
      <c r="J408" s="1008">
        <v>8</v>
      </c>
    </row>
    <row r="409" spans="2:10">
      <c r="B409" s="518">
        <v>51</v>
      </c>
      <c r="C409" s="1023" t="s">
        <v>2247</v>
      </c>
      <c r="D409" s="1023" t="s">
        <v>2222</v>
      </c>
      <c r="E409" s="1023"/>
      <c r="F409" s="1024"/>
      <c r="G409" s="1023">
        <v>3</v>
      </c>
      <c r="H409" s="1024" t="s">
        <v>1822</v>
      </c>
      <c r="I409" s="1008"/>
      <c r="J409" s="1008">
        <v>8</v>
      </c>
    </row>
    <row r="410" spans="2:10">
      <c r="B410" s="518">
        <v>52</v>
      </c>
      <c r="C410" s="1023" t="s">
        <v>1854</v>
      </c>
      <c r="D410" s="1023" t="s">
        <v>2222</v>
      </c>
      <c r="E410" s="1023"/>
      <c r="F410" s="1024"/>
      <c r="G410" s="1023">
        <v>2</v>
      </c>
      <c r="H410" s="1024" t="s">
        <v>1848</v>
      </c>
      <c r="I410" s="1008"/>
      <c r="J410" s="1008">
        <v>5</v>
      </c>
    </row>
    <row r="411" spans="2:10">
      <c r="B411" s="518">
        <v>53</v>
      </c>
      <c r="C411" s="1023" t="s">
        <v>1814</v>
      </c>
      <c r="D411" s="1023" t="s">
        <v>2222</v>
      </c>
      <c r="E411" s="1023"/>
      <c r="F411" s="43"/>
      <c r="G411" s="1023">
        <v>3</v>
      </c>
      <c r="H411" s="1024" t="s">
        <v>1824</v>
      </c>
      <c r="I411" s="1008"/>
      <c r="J411" s="1008">
        <v>9</v>
      </c>
    </row>
    <row r="412" spans="2:10">
      <c r="B412" s="518">
        <v>54</v>
      </c>
      <c r="C412" s="1023" t="s">
        <v>2248</v>
      </c>
      <c r="D412" s="1023" t="s">
        <v>2222</v>
      </c>
      <c r="E412" s="1023"/>
      <c r="F412" s="1024"/>
      <c r="G412" s="1023">
        <v>3</v>
      </c>
      <c r="H412" s="1024" t="s">
        <v>1829</v>
      </c>
      <c r="I412" s="1008"/>
      <c r="J412" s="1008">
        <v>5</v>
      </c>
    </row>
    <row r="413" spans="2:10">
      <c r="B413" s="518">
        <v>55</v>
      </c>
      <c r="C413" s="1023" t="s">
        <v>1849</v>
      </c>
      <c r="D413" s="1023" t="s">
        <v>2222</v>
      </c>
      <c r="E413" s="1023"/>
      <c r="F413" s="1024"/>
      <c r="G413" s="1023">
        <v>3</v>
      </c>
      <c r="H413" s="1024" t="s">
        <v>1824</v>
      </c>
      <c r="I413" s="1008"/>
      <c r="J413" s="1008">
        <v>6</v>
      </c>
    </row>
    <row r="414" spans="2:10">
      <c r="B414" s="518">
        <v>56</v>
      </c>
      <c r="C414" s="1023" t="s">
        <v>1843</v>
      </c>
      <c r="D414" s="1023" t="s">
        <v>2222</v>
      </c>
      <c r="E414" s="1023"/>
      <c r="F414" s="1024"/>
      <c r="G414" s="1023">
        <v>2</v>
      </c>
      <c r="H414" s="1024" t="s">
        <v>1825</v>
      </c>
      <c r="I414" s="1008"/>
      <c r="J414" s="1008">
        <v>5</v>
      </c>
    </row>
    <row r="415" spans="2:10">
      <c r="B415" s="518">
        <v>57</v>
      </c>
      <c r="C415" s="1023" t="s">
        <v>1834</v>
      </c>
      <c r="D415" s="1023" t="s">
        <v>2222</v>
      </c>
      <c r="E415" s="1023"/>
      <c r="F415" s="1024"/>
      <c r="G415" s="1023">
        <v>2</v>
      </c>
      <c r="H415" s="1024" t="s">
        <v>1768</v>
      </c>
      <c r="I415" s="1008"/>
      <c r="J415" s="1008">
        <v>7</v>
      </c>
    </row>
    <row r="416" spans="2:10">
      <c r="B416" s="518">
        <v>58</v>
      </c>
      <c r="C416" s="1023" t="s">
        <v>2249</v>
      </c>
      <c r="D416" s="1023" t="s">
        <v>2222</v>
      </c>
      <c r="E416" s="1023"/>
      <c r="F416" s="1024"/>
      <c r="G416" s="1023">
        <v>2</v>
      </c>
      <c r="H416" s="1024" t="s">
        <v>1768</v>
      </c>
      <c r="I416" s="1008"/>
      <c r="J416" s="1008">
        <v>5</v>
      </c>
    </row>
    <row r="417" spans="2:10">
      <c r="B417" s="518">
        <v>59</v>
      </c>
      <c r="C417" s="1023" t="s">
        <v>2250</v>
      </c>
      <c r="D417" s="1023" t="s">
        <v>2222</v>
      </c>
      <c r="E417" s="1023"/>
      <c r="F417" s="1024"/>
      <c r="G417" s="1023">
        <v>3</v>
      </c>
      <c r="H417" s="1024" t="s">
        <v>1824</v>
      </c>
      <c r="I417" s="1008"/>
      <c r="J417" s="1008">
        <v>8</v>
      </c>
    </row>
    <row r="418" spans="2:10">
      <c r="B418" s="518">
        <v>60</v>
      </c>
      <c r="C418" s="1023" t="s">
        <v>1816</v>
      </c>
      <c r="D418" s="1023" t="s">
        <v>2222</v>
      </c>
      <c r="E418" s="1023"/>
      <c r="F418" s="1024"/>
      <c r="G418" s="1023">
        <v>5</v>
      </c>
      <c r="H418" s="1024" t="s">
        <v>2251</v>
      </c>
      <c r="I418" s="1008"/>
      <c r="J418" s="1008">
        <v>9</v>
      </c>
    </row>
    <row r="419" spans="2:10">
      <c r="B419" s="518">
        <v>61</v>
      </c>
      <c r="C419" s="1023" t="s">
        <v>1860</v>
      </c>
      <c r="D419" s="1023" t="s">
        <v>2222</v>
      </c>
      <c r="E419" s="1023"/>
      <c r="F419" s="1024"/>
      <c r="G419" s="1023">
        <v>2</v>
      </c>
      <c r="H419" s="1024" t="s">
        <v>1768</v>
      </c>
      <c r="I419" s="1008"/>
      <c r="J419" s="1008">
        <v>7</v>
      </c>
    </row>
    <row r="420" spans="2:10">
      <c r="B420" s="518">
        <v>62</v>
      </c>
      <c r="C420" s="1023" t="s">
        <v>1866</v>
      </c>
      <c r="D420" s="1023" t="s">
        <v>2222</v>
      </c>
      <c r="E420" s="1023"/>
      <c r="F420" s="1024"/>
      <c r="G420" s="1023">
        <v>3</v>
      </c>
      <c r="H420" s="1024" t="s">
        <v>1836</v>
      </c>
      <c r="I420" s="1008"/>
      <c r="J420" s="1008">
        <v>13</v>
      </c>
    </row>
    <row r="421" spans="2:10">
      <c r="B421" s="518">
        <v>63</v>
      </c>
      <c r="C421" s="1023" t="s">
        <v>2252</v>
      </c>
      <c r="D421" s="1023" t="s">
        <v>2222</v>
      </c>
      <c r="E421" s="1023"/>
      <c r="F421" s="1024"/>
      <c r="G421" s="1023">
        <v>2</v>
      </c>
      <c r="H421" s="1024" t="s">
        <v>1768</v>
      </c>
      <c r="I421" s="1008"/>
      <c r="J421" s="1008">
        <v>7</v>
      </c>
    </row>
    <row r="422" spans="2:10">
      <c r="B422" s="518">
        <v>64</v>
      </c>
      <c r="C422" s="1023" t="s">
        <v>1888</v>
      </c>
      <c r="D422" s="1023" t="s">
        <v>2222</v>
      </c>
      <c r="E422" s="1023"/>
      <c r="F422" s="1024"/>
      <c r="G422" s="1023">
        <v>3</v>
      </c>
      <c r="H422" s="1024" t="s">
        <v>1836</v>
      </c>
      <c r="I422" s="1008"/>
      <c r="J422" s="1008">
        <v>7</v>
      </c>
    </row>
    <row r="423" spans="2:10">
      <c r="B423" s="518">
        <v>65</v>
      </c>
      <c r="C423" s="1023" t="s">
        <v>2253</v>
      </c>
      <c r="D423" s="1023" t="s">
        <v>2222</v>
      </c>
      <c r="E423" s="1023"/>
      <c r="F423" s="1024"/>
      <c r="G423" s="1023">
        <v>2</v>
      </c>
      <c r="H423" s="1024" t="s">
        <v>2254</v>
      </c>
      <c r="I423" s="1008"/>
      <c r="J423" s="1008">
        <v>9</v>
      </c>
    </row>
    <row r="424" spans="2:10">
      <c r="B424" s="518">
        <v>66</v>
      </c>
      <c r="C424" s="1023" t="s">
        <v>1203</v>
      </c>
      <c r="D424" s="1023" t="s">
        <v>2222</v>
      </c>
      <c r="E424" s="1023"/>
      <c r="F424" s="1024"/>
      <c r="G424" s="1023">
        <v>3</v>
      </c>
      <c r="H424" s="1024" t="s">
        <v>1836</v>
      </c>
      <c r="I424" s="1008"/>
      <c r="J424" s="1008">
        <v>5</v>
      </c>
    </row>
    <row r="425" spans="2:10">
      <c r="B425" s="518">
        <v>67</v>
      </c>
      <c r="C425" s="1023" t="s">
        <v>1862</v>
      </c>
      <c r="D425" s="1023" t="s">
        <v>2222</v>
      </c>
      <c r="E425" s="1023"/>
      <c r="F425" s="1024"/>
      <c r="G425" s="1023">
        <v>4</v>
      </c>
      <c r="H425" s="1024" t="s">
        <v>2255</v>
      </c>
      <c r="I425" s="1008"/>
      <c r="J425" s="1008">
        <v>10</v>
      </c>
    </row>
    <row r="426" spans="2:10">
      <c r="B426" s="518">
        <v>68</v>
      </c>
      <c r="C426" s="1023" t="s">
        <v>2256</v>
      </c>
      <c r="D426" s="1023" t="s">
        <v>2222</v>
      </c>
      <c r="E426" s="1023"/>
      <c r="F426" s="1024"/>
      <c r="G426" s="1023">
        <v>4</v>
      </c>
      <c r="H426" s="1024" t="s">
        <v>1828</v>
      </c>
      <c r="I426" s="1008"/>
      <c r="J426" s="1008">
        <v>7</v>
      </c>
    </row>
    <row r="427" spans="2:10">
      <c r="B427" s="518">
        <v>69</v>
      </c>
      <c r="C427" s="1023" t="s">
        <v>2257</v>
      </c>
      <c r="D427" s="1023" t="s">
        <v>2222</v>
      </c>
      <c r="E427" s="1023"/>
      <c r="F427" s="1024"/>
      <c r="G427" s="1023">
        <v>3</v>
      </c>
      <c r="H427" s="1024" t="s">
        <v>1815</v>
      </c>
      <c r="I427" s="1008"/>
      <c r="J427" s="1008">
        <v>10</v>
      </c>
    </row>
    <row r="428" spans="2:10">
      <c r="B428" s="518">
        <v>70</v>
      </c>
      <c r="C428" s="1023" t="s">
        <v>1911</v>
      </c>
      <c r="D428" s="1023" t="s">
        <v>2222</v>
      </c>
      <c r="E428" s="1023"/>
      <c r="F428" s="1024"/>
      <c r="G428" s="1023">
        <v>4</v>
      </c>
      <c r="H428" s="1024" t="s">
        <v>2258</v>
      </c>
      <c r="I428" s="1008"/>
      <c r="J428" s="1008">
        <v>12</v>
      </c>
    </row>
    <row r="429" spans="2:10">
      <c r="B429" s="518">
        <v>71</v>
      </c>
      <c r="C429" s="1023" t="s">
        <v>1877</v>
      </c>
      <c r="D429" s="1023" t="s">
        <v>2222</v>
      </c>
      <c r="E429" s="1023"/>
      <c r="F429" s="1024"/>
      <c r="G429" s="1023">
        <v>4</v>
      </c>
      <c r="H429" s="1024" t="s">
        <v>2258</v>
      </c>
      <c r="I429" s="1008"/>
      <c r="J429" s="1008">
        <v>6</v>
      </c>
    </row>
    <row r="430" spans="2:10">
      <c r="B430" s="518">
        <v>72</v>
      </c>
      <c r="C430" s="1023" t="s">
        <v>1808</v>
      </c>
      <c r="D430" s="1023" t="s">
        <v>2222</v>
      </c>
      <c r="E430" s="1023"/>
      <c r="F430" s="1024"/>
      <c r="G430" s="1023">
        <v>4</v>
      </c>
      <c r="H430" s="1024" t="s">
        <v>1821</v>
      </c>
      <c r="I430" s="1008"/>
      <c r="J430" s="1008">
        <v>6</v>
      </c>
    </row>
    <row r="431" spans="2:10">
      <c r="B431" s="518">
        <v>73</v>
      </c>
      <c r="C431" s="1023" t="s">
        <v>2259</v>
      </c>
      <c r="D431" s="1023" t="s">
        <v>2222</v>
      </c>
      <c r="E431" s="1023"/>
      <c r="F431" s="1024"/>
      <c r="G431" s="1023">
        <v>2</v>
      </c>
      <c r="H431" s="1024" t="s">
        <v>1768</v>
      </c>
      <c r="I431" s="1008"/>
      <c r="J431" s="1008"/>
    </row>
    <row r="432" spans="2:10">
      <c r="B432" s="518">
        <v>74</v>
      </c>
      <c r="C432" s="1023" t="s">
        <v>1870</v>
      </c>
      <c r="D432" s="1023" t="s">
        <v>2222</v>
      </c>
      <c r="E432" s="1023"/>
      <c r="F432" s="43"/>
      <c r="G432" s="1023">
        <v>3</v>
      </c>
      <c r="H432" s="1024" t="s">
        <v>1828</v>
      </c>
      <c r="I432" s="1008"/>
      <c r="J432" s="1008">
        <v>6</v>
      </c>
    </row>
    <row r="433" spans="2:10">
      <c r="B433" s="518">
        <v>75</v>
      </c>
      <c r="C433" s="1023" t="s">
        <v>2260</v>
      </c>
      <c r="D433" s="1023" t="s">
        <v>2261</v>
      </c>
      <c r="E433" s="1023">
        <v>1</v>
      </c>
      <c r="F433" s="1024" t="s">
        <v>1818</v>
      </c>
      <c r="G433" s="1023">
        <v>2</v>
      </c>
      <c r="H433" s="1024" t="s">
        <v>1768</v>
      </c>
      <c r="I433" s="1008">
        <v>8</v>
      </c>
      <c r="J433" s="1008">
        <v>9</v>
      </c>
    </row>
    <row r="434" spans="2:10">
      <c r="B434" s="518">
        <v>76</v>
      </c>
      <c r="C434" s="1025" t="s">
        <v>1193</v>
      </c>
      <c r="D434" s="1023" t="s">
        <v>2225</v>
      </c>
      <c r="E434" s="1023">
        <v>5</v>
      </c>
      <c r="F434" s="1024" t="s">
        <v>2262</v>
      </c>
      <c r="G434" s="1023">
        <v>5</v>
      </c>
      <c r="H434" s="1024" t="s">
        <v>2251</v>
      </c>
      <c r="I434" s="1008">
        <v>9</v>
      </c>
      <c r="J434" s="1008">
        <v>15</v>
      </c>
    </row>
    <row r="435" spans="2:10">
      <c r="B435" s="518">
        <v>77</v>
      </c>
      <c r="C435" s="1023" t="s">
        <v>2263</v>
      </c>
      <c r="D435" s="1023" t="s">
        <v>2225</v>
      </c>
      <c r="E435" s="1023">
        <v>2</v>
      </c>
      <c r="F435" s="1024" t="s">
        <v>1137</v>
      </c>
      <c r="G435" s="1023">
        <v>2</v>
      </c>
      <c r="H435" s="1024" t="s">
        <v>1768</v>
      </c>
      <c r="I435" s="1008">
        <v>9</v>
      </c>
      <c r="J435" s="1008">
        <v>10</v>
      </c>
    </row>
    <row r="436" spans="2:10">
      <c r="B436" s="518">
        <v>78</v>
      </c>
      <c r="C436" s="1023" t="s">
        <v>2264</v>
      </c>
      <c r="D436" s="1023" t="s">
        <v>2222</v>
      </c>
      <c r="E436" s="1023"/>
      <c r="F436" s="1024"/>
      <c r="G436" s="1023">
        <v>2</v>
      </c>
      <c r="H436" s="1024" t="s">
        <v>1768</v>
      </c>
      <c r="I436" s="1008"/>
      <c r="J436" s="1008">
        <v>9</v>
      </c>
    </row>
    <row r="437" spans="2:10">
      <c r="B437" s="518">
        <v>79</v>
      </c>
      <c r="C437" s="1023" t="s">
        <v>1204</v>
      </c>
      <c r="D437" s="1023" t="s">
        <v>2222</v>
      </c>
      <c r="E437" s="1023"/>
      <c r="F437" s="1024"/>
      <c r="G437" s="1023">
        <v>2</v>
      </c>
      <c r="H437" s="1024" t="s">
        <v>1832</v>
      </c>
      <c r="I437" s="1008"/>
      <c r="J437" s="1008">
        <v>7</v>
      </c>
    </row>
    <row r="438" spans="2:10">
      <c r="B438" s="518">
        <v>80</v>
      </c>
      <c r="C438" s="1023" t="s">
        <v>1838</v>
      </c>
      <c r="D438" s="1023" t="s">
        <v>2222</v>
      </c>
      <c r="E438" s="1023"/>
      <c r="F438" s="1024"/>
      <c r="G438" s="1023">
        <v>3</v>
      </c>
      <c r="H438" s="1024" t="s">
        <v>1824</v>
      </c>
      <c r="I438" s="1008"/>
      <c r="J438" s="1008">
        <v>6</v>
      </c>
    </row>
    <row r="439" spans="2:10">
      <c r="B439" s="518">
        <v>81</v>
      </c>
      <c r="C439" s="1023" t="s">
        <v>2265</v>
      </c>
      <c r="D439" s="1023" t="s">
        <v>2222</v>
      </c>
      <c r="E439" s="1023"/>
      <c r="F439" s="1024"/>
      <c r="G439" s="1023">
        <v>2</v>
      </c>
      <c r="H439" s="1024" t="s">
        <v>1825</v>
      </c>
      <c r="I439" s="1008"/>
      <c r="J439" s="1008">
        <v>12</v>
      </c>
    </row>
    <row r="440" spans="2:10">
      <c r="B440" s="518">
        <v>82</v>
      </c>
      <c r="C440" s="1023" t="s">
        <v>1871</v>
      </c>
      <c r="D440" s="1023" t="s">
        <v>2222</v>
      </c>
      <c r="E440" s="1023"/>
      <c r="F440" s="43"/>
      <c r="G440" s="1023">
        <v>3</v>
      </c>
      <c r="H440" s="1024" t="s">
        <v>1836</v>
      </c>
      <c r="I440" s="1008"/>
      <c r="J440" s="1008">
        <v>13</v>
      </c>
    </row>
    <row r="441" spans="2:10">
      <c r="B441" s="518">
        <v>83</v>
      </c>
      <c r="C441" s="1023" t="s">
        <v>2266</v>
      </c>
      <c r="D441" s="1023" t="s">
        <v>2225</v>
      </c>
      <c r="E441" s="1023">
        <v>2</v>
      </c>
      <c r="F441" s="1024" t="s">
        <v>1137</v>
      </c>
      <c r="G441" s="1023">
        <v>2</v>
      </c>
      <c r="H441" s="1024" t="s">
        <v>1768</v>
      </c>
      <c r="I441" s="1008">
        <v>7</v>
      </c>
      <c r="J441" s="1008">
        <v>7</v>
      </c>
    </row>
    <row r="442" spans="2:10">
      <c r="B442" s="518">
        <v>84</v>
      </c>
      <c r="C442" s="1023" t="s">
        <v>1198</v>
      </c>
      <c r="D442" s="1023" t="s">
        <v>2225</v>
      </c>
      <c r="E442" s="1023">
        <v>4</v>
      </c>
      <c r="F442" s="1024" t="s">
        <v>1820</v>
      </c>
      <c r="G442" s="1023">
        <v>3</v>
      </c>
      <c r="H442" s="1024" t="s">
        <v>1810</v>
      </c>
      <c r="I442" s="1008">
        <v>11</v>
      </c>
      <c r="J442" s="1008">
        <v>15</v>
      </c>
    </row>
    <row r="443" spans="2:10">
      <c r="B443" s="518">
        <v>85</v>
      </c>
      <c r="C443" s="1023" t="s">
        <v>1896</v>
      </c>
      <c r="D443" s="1023" t="s">
        <v>2222</v>
      </c>
      <c r="E443" s="1023"/>
      <c r="F443" s="1024"/>
      <c r="G443" s="1023">
        <v>3</v>
      </c>
      <c r="H443" s="1024" t="s">
        <v>1810</v>
      </c>
      <c r="I443" s="1008"/>
      <c r="J443" s="1008">
        <v>10</v>
      </c>
    </row>
    <row r="444" spans="2:10">
      <c r="B444" s="518">
        <v>86</v>
      </c>
      <c r="C444" s="1023" t="s">
        <v>1908</v>
      </c>
      <c r="D444" s="1023" t="s">
        <v>2222</v>
      </c>
      <c r="E444" s="1023"/>
      <c r="F444" s="1024"/>
      <c r="G444" s="1023">
        <v>2</v>
      </c>
      <c r="H444" s="1024" t="s">
        <v>1825</v>
      </c>
      <c r="I444" s="1008"/>
      <c r="J444" s="1008">
        <v>5</v>
      </c>
    </row>
    <row r="445" spans="2:10">
      <c r="B445" s="518">
        <v>87</v>
      </c>
      <c r="C445" s="1023" t="s">
        <v>1889</v>
      </c>
      <c r="D445" s="1023" t="s">
        <v>2222</v>
      </c>
      <c r="E445" s="1023"/>
      <c r="F445" s="1024"/>
      <c r="G445" s="1023">
        <v>2</v>
      </c>
      <c r="H445" s="1024" t="s">
        <v>1825</v>
      </c>
      <c r="I445" s="1008"/>
      <c r="J445" s="1008">
        <v>5</v>
      </c>
    </row>
    <row r="446" spans="2:10">
      <c r="B446" s="518">
        <v>88</v>
      </c>
      <c r="C446" s="1023" t="s">
        <v>1875</v>
      </c>
      <c r="D446" s="1023" t="s">
        <v>2222</v>
      </c>
      <c r="E446" s="1023"/>
      <c r="F446" s="1024"/>
      <c r="G446" s="1023">
        <v>2</v>
      </c>
      <c r="H446" s="1024" t="s">
        <v>1825</v>
      </c>
      <c r="I446" s="1008"/>
      <c r="J446" s="1008">
        <v>5</v>
      </c>
    </row>
    <row r="447" spans="2:10">
      <c r="B447" s="518">
        <v>89</v>
      </c>
      <c r="C447" s="1023" t="s">
        <v>1868</v>
      </c>
      <c r="D447" s="1023" t="s">
        <v>2222</v>
      </c>
      <c r="E447" s="1023"/>
      <c r="F447" s="1024"/>
      <c r="G447" s="1023">
        <v>2</v>
      </c>
      <c r="H447" s="1024" t="s">
        <v>2223</v>
      </c>
      <c r="I447" s="1008"/>
      <c r="J447" s="1008">
        <v>5</v>
      </c>
    </row>
    <row r="448" spans="2:10">
      <c r="B448" s="518">
        <v>90</v>
      </c>
      <c r="C448" s="1023" t="s">
        <v>2015</v>
      </c>
      <c r="D448" s="1023" t="s">
        <v>2222</v>
      </c>
      <c r="E448" s="1023"/>
      <c r="F448" s="1024"/>
      <c r="G448" s="1023">
        <v>3</v>
      </c>
      <c r="H448" s="1024" t="s">
        <v>1828</v>
      </c>
      <c r="I448" s="1008"/>
      <c r="J448" s="1008">
        <v>6</v>
      </c>
    </row>
    <row r="449" spans="2:10">
      <c r="B449" s="518">
        <v>91</v>
      </c>
      <c r="C449" s="1023" t="s">
        <v>2267</v>
      </c>
      <c r="D449" s="1023" t="s">
        <v>2222</v>
      </c>
      <c r="E449" s="1023"/>
      <c r="F449" s="1024"/>
      <c r="G449" s="1023">
        <v>2</v>
      </c>
      <c r="H449" s="1024" t="s">
        <v>1825</v>
      </c>
      <c r="I449" s="1008"/>
      <c r="J449" s="1008">
        <v>8</v>
      </c>
    </row>
    <row r="450" spans="2:10">
      <c r="B450" s="518">
        <v>92</v>
      </c>
      <c r="C450" s="1023" t="s">
        <v>1806</v>
      </c>
      <c r="D450" s="1023" t="s">
        <v>2222</v>
      </c>
      <c r="E450" s="1023"/>
      <c r="F450" s="1024"/>
      <c r="G450" s="1023">
        <v>2</v>
      </c>
      <c r="H450" s="1024" t="s">
        <v>1807</v>
      </c>
      <c r="I450" s="1008"/>
      <c r="J450" s="1008">
        <v>4</v>
      </c>
    </row>
    <row r="451" spans="2:10">
      <c r="B451" s="518">
        <v>93</v>
      </c>
      <c r="C451" s="1023" t="s">
        <v>1795</v>
      </c>
      <c r="D451" s="1023" t="s">
        <v>2222</v>
      </c>
      <c r="E451" s="1023"/>
      <c r="F451" s="1008"/>
      <c r="G451" s="1023">
        <v>2</v>
      </c>
      <c r="H451" s="1024" t="s">
        <v>1832</v>
      </c>
      <c r="I451" s="1008"/>
      <c r="J451" s="1008">
        <v>6</v>
      </c>
    </row>
    <row r="452" spans="2:10">
      <c r="B452" s="518">
        <v>94</v>
      </c>
      <c r="C452" s="1023" t="s">
        <v>1898</v>
      </c>
      <c r="D452" s="1023" t="s">
        <v>2268</v>
      </c>
      <c r="E452" s="1023"/>
      <c r="F452" s="1008"/>
      <c r="G452" s="1023">
        <v>3</v>
      </c>
      <c r="H452" s="1024" t="s">
        <v>1822</v>
      </c>
      <c r="I452" s="1008"/>
      <c r="J452" s="1008">
        <v>12</v>
      </c>
    </row>
    <row r="453" spans="2:10">
      <c r="B453" s="518">
        <v>95</v>
      </c>
      <c r="C453" s="1023" t="s">
        <v>1199</v>
      </c>
      <c r="D453" s="1023" t="s">
        <v>2225</v>
      </c>
      <c r="E453" s="1023">
        <v>2</v>
      </c>
      <c r="F453" s="1024" t="s">
        <v>1137</v>
      </c>
      <c r="G453" s="1023">
        <v>3</v>
      </c>
      <c r="H453" s="1024" t="s">
        <v>1822</v>
      </c>
      <c r="I453" s="1008">
        <v>9</v>
      </c>
      <c r="J453" s="1008">
        <v>12</v>
      </c>
    </row>
    <row r="454" spans="2:10">
      <c r="B454" s="518">
        <v>96</v>
      </c>
      <c r="C454" s="1023" t="s">
        <v>1882</v>
      </c>
      <c r="D454" s="1023" t="s">
        <v>2225</v>
      </c>
      <c r="E454" s="1023">
        <v>2</v>
      </c>
      <c r="F454" s="1024" t="s">
        <v>1137</v>
      </c>
      <c r="G454" s="1023">
        <v>3</v>
      </c>
      <c r="H454" s="1024" t="s">
        <v>1822</v>
      </c>
      <c r="I454" s="1008">
        <v>10</v>
      </c>
      <c r="J454" s="1008">
        <v>10</v>
      </c>
    </row>
    <row r="455" spans="2:10">
      <c r="B455" s="518">
        <v>97</v>
      </c>
      <c r="C455" s="1023" t="s">
        <v>1794</v>
      </c>
      <c r="D455" s="1023" t="s">
        <v>2222</v>
      </c>
      <c r="E455" s="1023"/>
      <c r="F455" s="1024"/>
      <c r="G455" s="1023">
        <v>3</v>
      </c>
      <c r="H455" s="1024" t="s">
        <v>1822</v>
      </c>
      <c r="I455" s="1008"/>
      <c r="J455" s="1008">
        <v>9</v>
      </c>
    </row>
    <row r="456" spans="2:10">
      <c r="B456" s="518">
        <v>98</v>
      </c>
      <c r="C456" s="1023" t="s">
        <v>1852</v>
      </c>
      <c r="D456" s="1023" t="s">
        <v>2222</v>
      </c>
      <c r="E456" s="1023"/>
      <c r="F456" s="1024"/>
      <c r="G456" s="1023">
        <v>3</v>
      </c>
      <c r="H456" s="1024" t="s">
        <v>2269</v>
      </c>
      <c r="I456" s="1008"/>
      <c r="J456" s="1008">
        <v>9</v>
      </c>
    </row>
    <row r="457" spans="2:10">
      <c r="B457" s="518">
        <v>99</v>
      </c>
      <c r="C457" s="1023" t="s">
        <v>1903</v>
      </c>
      <c r="D457" s="1023" t="s">
        <v>2222</v>
      </c>
      <c r="E457" s="1023"/>
      <c r="F457" s="1024"/>
      <c r="G457" s="1023">
        <v>2</v>
      </c>
      <c r="H457" s="1024" t="s">
        <v>1825</v>
      </c>
      <c r="I457" s="1008"/>
      <c r="J457" s="1008">
        <v>5</v>
      </c>
    </row>
    <row r="458" spans="2:10">
      <c r="B458" s="518">
        <v>100</v>
      </c>
      <c r="C458" s="1023" t="s">
        <v>1861</v>
      </c>
      <c r="D458" s="1023" t="s">
        <v>2222</v>
      </c>
      <c r="E458" s="1023"/>
      <c r="F458" s="1024"/>
      <c r="G458" s="1023">
        <v>4</v>
      </c>
      <c r="H458" s="1024" t="s">
        <v>2258</v>
      </c>
      <c r="I458" s="1008"/>
      <c r="J458" s="1008">
        <v>6</v>
      </c>
    </row>
    <row r="459" spans="2:10">
      <c r="B459" s="518">
        <v>101</v>
      </c>
      <c r="C459" s="1023" t="s">
        <v>1207</v>
      </c>
      <c r="D459" s="1023" t="s">
        <v>2222</v>
      </c>
      <c r="E459" s="1023"/>
      <c r="F459" s="1024"/>
      <c r="G459" s="1023">
        <v>4</v>
      </c>
      <c r="H459" s="1024" t="s">
        <v>1856</v>
      </c>
      <c r="I459" s="1008"/>
      <c r="J459" s="1008">
        <v>10</v>
      </c>
    </row>
    <row r="460" spans="2:10">
      <c r="B460" s="518">
        <v>102</v>
      </c>
      <c r="C460" s="1023" t="s">
        <v>1912</v>
      </c>
      <c r="D460" s="1023" t="s">
        <v>2222</v>
      </c>
      <c r="E460" s="1023"/>
      <c r="F460" s="1024"/>
      <c r="G460" s="1023">
        <v>2</v>
      </c>
      <c r="H460" s="1024" t="s">
        <v>1825</v>
      </c>
      <c r="I460" s="1008"/>
      <c r="J460" s="1008">
        <v>5</v>
      </c>
    </row>
    <row r="461" spans="2:10">
      <c r="B461" s="518">
        <v>103</v>
      </c>
      <c r="C461" s="1023" t="s">
        <v>1900</v>
      </c>
      <c r="D461" s="1023" t="s">
        <v>2222</v>
      </c>
      <c r="E461" s="1023"/>
      <c r="F461" s="1024"/>
      <c r="G461" s="1023">
        <v>2</v>
      </c>
      <c r="H461" s="1024" t="s">
        <v>1825</v>
      </c>
      <c r="I461" s="1008"/>
      <c r="J461" s="1008">
        <v>5</v>
      </c>
    </row>
    <row r="462" spans="2:10">
      <c r="B462" s="518">
        <v>104</v>
      </c>
      <c r="C462" s="1023" t="s">
        <v>1893</v>
      </c>
      <c r="D462" s="1023" t="s">
        <v>2222</v>
      </c>
      <c r="E462" s="1023"/>
      <c r="F462" s="1024"/>
      <c r="G462" s="1023">
        <v>2</v>
      </c>
      <c r="H462" s="1024" t="s">
        <v>1768</v>
      </c>
      <c r="I462" s="1008"/>
      <c r="J462" s="1008">
        <v>9</v>
      </c>
    </row>
    <row r="463" spans="2:10">
      <c r="B463" s="518">
        <v>105</v>
      </c>
      <c r="C463" s="1023" t="s">
        <v>1895</v>
      </c>
      <c r="D463" s="1023" t="s">
        <v>2222</v>
      </c>
      <c r="E463" s="1023"/>
      <c r="F463" s="1024"/>
      <c r="G463" s="1023">
        <v>2</v>
      </c>
      <c r="H463" s="1024" t="s">
        <v>1825</v>
      </c>
      <c r="I463" s="1008"/>
      <c r="J463" s="1008">
        <v>8</v>
      </c>
    </row>
    <row r="464" spans="2:10">
      <c r="B464" s="518">
        <v>106</v>
      </c>
      <c r="C464" s="1023" t="s">
        <v>1837</v>
      </c>
      <c r="D464" s="1023" t="s">
        <v>2222</v>
      </c>
      <c r="E464" s="1023"/>
      <c r="F464" s="1024"/>
      <c r="G464" s="1023">
        <v>2</v>
      </c>
      <c r="H464" s="1024" t="s">
        <v>1825</v>
      </c>
      <c r="I464" s="1008"/>
      <c r="J464" s="1008">
        <v>5</v>
      </c>
    </row>
    <row r="465" spans="2:10">
      <c r="B465" s="518">
        <v>107</v>
      </c>
      <c r="C465" s="1023" t="s">
        <v>2270</v>
      </c>
      <c r="D465" s="1023" t="s">
        <v>2222</v>
      </c>
      <c r="E465" s="1023"/>
      <c r="F465" s="1024"/>
      <c r="G465" s="1023">
        <v>2</v>
      </c>
      <c r="H465" s="1024" t="s">
        <v>1832</v>
      </c>
      <c r="I465" s="1008"/>
      <c r="J465" s="1008">
        <v>5</v>
      </c>
    </row>
    <row r="466" spans="2:10">
      <c r="B466" s="518">
        <v>108</v>
      </c>
      <c r="C466" s="1023" t="s">
        <v>1872</v>
      </c>
      <c r="D466" s="1023" t="s">
        <v>2222</v>
      </c>
      <c r="E466" s="1023"/>
      <c r="F466" s="43"/>
      <c r="G466" s="1023">
        <v>3</v>
      </c>
      <c r="H466" s="1024" t="s">
        <v>1822</v>
      </c>
      <c r="I466" s="1008"/>
      <c r="J466" s="1008">
        <v>12</v>
      </c>
    </row>
    <row r="467" spans="2:10">
      <c r="B467" s="518">
        <v>109</v>
      </c>
      <c r="C467" s="1023" t="s">
        <v>2271</v>
      </c>
      <c r="D467" s="1023" t="s">
        <v>2225</v>
      </c>
      <c r="E467" s="1023">
        <v>2</v>
      </c>
      <c r="F467" s="1024" t="s">
        <v>2272</v>
      </c>
      <c r="G467" s="1023">
        <v>2</v>
      </c>
      <c r="H467" s="1024" t="s">
        <v>1768</v>
      </c>
      <c r="I467" s="1008">
        <v>9</v>
      </c>
      <c r="J467" s="1008">
        <v>10</v>
      </c>
    </row>
    <row r="468" spans="2:10">
      <c r="B468" s="518">
        <v>110</v>
      </c>
      <c r="C468" s="1023" t="s">
        <v>1831</v>
      </c>
      <c r="D468" s="1023" t="s">
        <v>2222</v>
      </c>
      <c r="E468" s="1023"/>
      <c r="F468" s="1024"/>
      <c r="G468" s="1023">
        <v>2</v>
      </c>
      <c r="H468" s="1024" t="s">
        <v>1768</v>
      </c>
      <c r="I468" s="1008"/>
      <c r="J468" s="1008">
        <v>9</v>
      </c>
    </row>
    <row r="469" spans="2:10">
      <c r="B469" s="518">
        <v>111</v>
      </c>
      <c r="C469" s="1023" t="s">
        <v>1914</v>
      </c>
      <c r="D469" s="1023" t="s">
        <v>2222</v>
      </c>
      <c r="E469" s="1023"/>
      <c r="F469" s="1024"/>
      <c r="G469" s="1023">
        <v>3</v>
      </c>
      <c r="H469" s="1024" t="s">
        <v>1822</v>
      </c>
      <c r="I469" s="1008"/>
      <c r="J469" s="1008">
        <v>6</v>
      </c>
    </row>
    <row r="470" spans="2:10">
      <c r="B470" s="518">
        <v>112</v>
      </c>
      <c r="C470" s="1023" t="s">
        <v>1857</v>
      </c>
      <c r="D470" s="1023" t="s">
        <v>2222</v>
      </c>
      <c r="E470" s="1023"/>
      <c r="F470" s="1024"/>
      <c r="G470" s="1023">
        <v>3</v>
      </c>
      <c r="H470" s="1024" t="s">
        <v>1810</v>
      </c>
      <c r="I470" s="1008"/>
      <c r="J470" s="1008">
        <v>9</v>
      </c>
    </row>
    <row r="471" spans="2:10">
      <c r="B471" s="518">
        <v>113</v>
      </c>
      <c r="C471" s="1023" t="s">
        <v>1839</v>
      </c>
      <c r="D471" s="1023" t="s">
        <v>2222</v>
      </c>
      <c r="E471" s="1023"/>
      <c r="F471" s="1024"/>
      <c r="G471" s="1023">
        <v>2</v>
      </c>
      <c r="H471" s="1024" t="s">
        <v>1768</v>
      </c>
      <c r="I471" s="1008"/>
      <c r="J471" s="1008">
        <v>8</v>
      </c>
    </row>
    <row r="472" spans="2:10">
      <c r="B472" s="518">
        <v>114</v>
      </c>
      <c r="C472" s="1023" t="s">
        <v>1205</v>
      </c>
      <c r="D472" s="1023" t="s">
        <v>2222</v>
      </c>
      <c r="E472" s="1023"/>
      <c r="F472" s="1024"/>
      <c r="G472" s="1023">
        <v>3</v>
      </c>
      <c r="H472" s="1024" t="s">
        <v>1810</v>
      </c>
      <c r="I472" s="1008"/>
      <c r="J472" s="1008">
        <v>13</v>
      </c>
    </row>
    <row r="473" spans="2:10">
      <c r="B473" s="518">
        <v>115</v>
      </c>
      <c r="C473" s="1023" t="s">
        <v>1224</v>
      </c>
      <c r="D473" s="1023" t="s">
        <v>2222</v>
      </c>
      <c r="E473" s="1023"/>
      <c r="F473" s="1024"/>
      <c r="G473" s="1023">
        <v>2</v>
      </c>
      <c r="H473" s="1024" t="s">
        <v>1768</v>
      </c>
      <c r="I473" s="1008"/>
      <c r="J473" s="1008">
        <v>8</v>
      </c>
    </row>
    <row r="474" spans="2:10">
      <c r="B474" s="518">
        <v>116</v>
      </c>
      <c r="C474" s="1023" t="s">
        <v>1892</v>
      </c>
      <c r="D474" s="1023" t="s">
        <v>2222</v>
      </c>
      <c r="E474" s="1023"/>
      <c r="F474" s="1024"/>
      <c r="G474" s="1023">
        <v>2</v>
      </c>
      <c r="H474" s="1024" t="s">
        <v>1825</v>
      </c>
      <c r="I474" s="1008"/>
      <c r="J474" s="1008">
        <v>7</v>
      </c>
    </row>
    <row r="475" spans="2:10">
      <c r="B475" s="518">
        <v>117</v>
      </c>
      <c r="C475" s="1023" t="s">
        <v>2273</v>
      </c>
      <c r="D475" s="1023" t="s">
        <v>2222</v>
      </c>
      <c r="E475" s="1023"/>
      <c r="F475" s="1024"/>
      <c r="G475" s="1023">
        <v>2</v>
      </c>
      <c r="H475" s="1024" t="s">
        <v>1832</v>
      </c>
      <c r="I475" s="1008"/>
      <c r="J475" s="1008">
        <v>5</v>
      </c>
    </row>
    <row r="476" spans="2:10">
      <c r="B476" s="518">
        <v>118</v>
      </c>
      <c r="C476" s="1023" t="s">
        <v>1864</v>
      </c>
      <c r="D476" s="1023" t="s">
        <v>2222</v>
      </c>
      <c r="E476" s="1023"/>
      <c r="F476" s="1024"/>
      <c r="G476" s="1023">
        <v>3</v>
      </c>
      <c r="H476" s="1024" t="s">
        <v>1822</v>
      </c>
      <c r="I476" s="1008"/>
      <c r="J476" s="1008">
        <v>12</v>
      </c>
    </row>
    <row r="477" spans="2:10">
      <c r="B477" s="518">
        <v>119</v>
      </c>
      <c r="C477" s="1023" t="s">
        <v>1910</v>
      </c>
      <c r="D477" s="1023" t="s">
        <v>2222</v>
      </c>
      <c r="E477" s="1023"/>
      <c r="F477" s="1024"/>
      <c r="G477" s="1023">
        <v>2</v>
      </c>
      <c r="H477" s="1024" t="s">
        <v>1768</v>
      </c>
      <c r="I477" s="1008"/>
      <c r="J477" s="1008">
        <v>8</v>
      </c>
    </row>
    <row r="478" spans="2:10">
      <c r="B478" s="518">
        <v>120</v>
      </c>
      <c r="C478" s="1023" t="s">
        <v>2274</v>
      </c>
      <c r="D478" s="1023" t="s">
        <v>2225</v>
      </c>
      <c r="E478" s="1023">
        <v>2</v>
      </c>
      <c r="F478" s="1024" t="s">
        <v>1137</v>
      </c>
      <c r="G478" s="1023">
        <v>2</v>
      </c>
      <c r="H478" s="1024" t="s">
        <v>1768</v>
      </c>
      <c r="I478" s="1023">
        <v>9</v>
      </c>
      <c r="J478" s="1008">
        <v>8</v>
      </c>
    </row>
    <row r="479" spans="2:10">
      <c r="B479" s="518">
        <v>121</v>
      </c>
      <c r="C479" s="1023" t="s">
        <v>2275</v>
      </c>
      <c r="D479" s="1023" t="s">
        <v>2222</v>
      </c>
      <c r="E479" s="1023"/>
      <c r="F479" s="1024"/>
      <c r="G479" s="1023">
        <v>3</v>
      </c>
      <c r="H479" s="1024" t="s">
        <v>1828</v>
      </c>
      <c r="I479" s="1008"/>
      <c r="J479" s="1008">
        <v>14</v>
      </c>
    </row>
    <row r="480" spans="2:10">
      <c r="B480" s="518">
        <v>122</v>
      </c>
      <c r="C480" s="1023" t="s">
        <v>1826</v>
      </c>
      <c r="D480" s="1023" t="s">
        <v>2222</v>
      </c>
      <c r="E480" s="1023"/>
      <c r="F480" s="1024"/>
      <c r="G480" s="1023">
        <v>3</v>
      </c>
      <c r="H480" s="1024" t="s">
        <v>1829</v>
      </c>
      <c r="I480" s="1008"/>
      <c r="J480" s="1008">
        <v>8</v>
      </c>
    </row>
    <row r="481" spans="2:10">
      <c r="B481" s="518">
        <v>123</v>
      </c>
      <c r="C481" s="1023" t="s">
        <v>1891</v>
      </c>
      <c r="D481" s="1023" t="s">
        <v>2222</v>
      </c>
      <c r="E481" s="1023"/>
      <c r="F481" s="1024"/>
      <c r="G481" s="1023">
        <v>2</v>
      </c>
      <c r="H481" s="1024" t="s">
        <v>1825</v>
      </c>
      <c r="I481" s="1008"/>
      <c r="J481" s="1008">
        <v>5</v>
      </c>
    </row>
    <row r="482" spans="2:10">
      <c r="B482" s="518">
        <v>124</v>
      </c>
      <c r="C482" s="1023" t="s">
        <v>1905</v>
      </c>
      <c r="D482" s="1023" t="s">
        <v>2222</v>
      </c>
      <c r="E482" s="1023"/>
      <c r="F482" s="1024"/>
      <c r="G482" s="1023">
        <v>3</v>
      </c>
      <c r="H482" s="1024" t="s">
        <v>1829</v>
      </c>
      <c r="I482" s="1008"/>
      <c r="J482" s="1008">
        <v>7</v>
      </c>
    </row>
    <row r="483" spans="2:10">
      <c r="B483" s="518">
        <v>125</v>
      </c>
      <c r="C483" s="1023" t="s">
        <v>1858</v>
      </c>
      <c r="D483" s="1023" t="s">
        <v>2222</v>
      </c>
      <c r="E483" s="1023"/>
      <c r="F483" s="1024"/>
      <c r="G483" s="1023">
        <v>3</v>
      </c>
      <c r="H483" s="1024" t="s">
        <v>1810</v>
      </c>
      <c r="I483" s="1008"/>
      <c r="J483" s="1008">
        <v>10</v>
      </c>
    </row>
    <row r="484" spans="2:10">
      <c r="B484" s="518">
        <v>126</v>
      </c>
      <c r="C484" s="1023" t="s">
        <v>1886</v>
      </c>
      <c r="D484" s="1023" t="s">
        <v>2222</v>
      </c>
      <c r="E484" s="1023"/>
      <c r="F484" s="1024"/>
      <c r="G484" s="1023">
        <v>2</v>
      </c>
      <c r="H484" s="1024" t="s">
        <v>1768</v>
      </c>
      <c r="I484" s="1008"/>
      <c r="J484" s="1008">
        <v>7</v>
      </c>
    </row>
    <row r="485" spans="2:10">
      <c r="B485" s="518">
        <v>127</v>
      </c>
      <c r="C485" s="1023" t="s">
        <v>1841</v>
      </c>
      <c r="D485" s="1023" t="s">
        <v>2222</v>
      </c>
      <c r="E485" s="1023"/>
      <c r="F485" s="1024"/>
      <c r="G485" s="1023">
        <v>3</v>
      </c>
      <c r="H485" s="1024" t="s">
        <v>1829</v>
      </c>
      <c r="I485" s="1008"/>
      <c r="J485" s="1008">
        <v>5</v>
      </c>
    </row>
    <row r="486" spans="2:10">
      <c r="B486" s="518">
        <v>128</v>
      </c>
      <c r="C486" s="1023" t="s">
        <v>2276</v>
      </c>
      <c r="D486" s="1023" t="s">
        <v>2222</v>
      </c>
      <c r="E486" s="1023"/>
      <c r="F486" s="1024"/>
      <c r="G486" s="1023">
        <v>2</v>
      </c>
      <c r="H486" s="1024" t="s">
        <v>1825</v>
      </c>
      <c r="I486" s="1008"/>
      <c r="J486" s="1008">
        <v>5</v>
      </c>
    </row>
    <row r="487" spans="2:10">
      <c r="B487" s="518">
        <v>129</v>
      </c>
      <c r="C487" s="1023" t="s">
        <v>1883</v>
      </c>
      <c r="D487" s="1023" t="s">
        <v>2222</v>
      </c>
      <c r="E487" s="1023"/>
      <c r="F487" s="1024"/>
      <c r="G487" s="1023">
        <v>3</v>
      </c>
      <c r="H487" s="1024" t="s">
        <v>1822</v>
      </c>
      <c r="I487" s="1008"/>
      <c r="J487" s="1008">
        <v>9</v>
      </c>
    </row>
    <row r="488" spans="2:10">
      <c r="B488" s="518">
        <v>130</v>
      </c>
      <c r="C488" s="1023" t="s">
        <v>1907</v>
      </c>
      <c r="D488" s="1023" t="s">
        <v>2222</v>
      </c>
      <c r="E488" s="1023"/>
      <c r="F488" s="1024"/>
      <c r="G488" s="1023">
        <v>3</v>
      </c>
      <c r="H488" s="1024" t="s">
        <v>1768</v>
      </c>
      <c r="I488" s="1008"/>
      <c r="J488" s="1008">
        <v>10</v>
      </c>
    </row>
    <row r="489" spans="2:10">
      <c r="B489" s="518">
        <v>131</v>
      </c>
      <c r="C489" s="1023" t="s">
        <v>2277</v>
      </c>
      <c r="D489" s="1023" t="s">
        <v>2222</v>
      </c>
      <c r="E489" s="1023"/>
      <c r="F489" s="1024"/>
      <c r="G489" s="1023">
        <v>2</v>
      </c>
      <c r="H489" s="1024" t="s">
        <v>1768</v>
      </c>
      <c r="I489" s="1008"/>
      <c r="J489" s="1008">
        <v>6</v>
      </c>
    </row>
    <row r="490" spans="2:10">
      <c r="B490" s="518">
        <v>132</v>
      </c>
      <c r="C490" s="1023" t="s">
        <v>1881</v>
      </c>
      <c r="D490" s="1023" t="s">
        <v>2222</v>
      </c>
      <c r="E490" s="1023"/>
      <c r="F490" s="1024"/>
      <c r="G490" s="1023">
        <v>2</v>
      </c>
      <c r="H490" s="1024" t="s">
        <v>1768</v>
      </c>
      <c r="I490" s="1008"/>
      <c r="J490" s="1008">
        <v>9</v>
      </c>
    </row>
    <row r="491" spans="2:10">
      <c r="B491" s="518">
        <v>133</v>
      </c>
      <c r="C491" s="1023" t="s">
        <v>2278</v>
      </c>
      <c r="D491" s="1023" t="s">
        <v>2222</v>
      </c>
      <c r="E491" s="1023"/>
      <c r="F491" s="43"/>
      <c r="G491" s="1023">
        <v>2</v>
      </c>
      <c r="H491" s="1024" t="s">
        <v>1825</v>
      </c>
      <c r="I491" s="1008"/>
      <c r="J491" s="1008">
        <v>10</v>
      </c>
    </row>
    <row r="492" spans="2:10">
      <c r="B492" s="518">
        <v>134</v>
      </c>
      <c r="C492" s="1023" t="s">
        <v>2279</v>
      </c>
      <c r="D492" s="1023" t="s">
        <v>2225</v>
      </c>
      <c r="E492" s="1023">
        <v>2</v>
      </c>
      <c r="F492" s="1024" t="s">
        <v>1137</v>
      </c>
      <c r="G492" s="1023">
        <v>2</v>
      </c>
      <c r="H492" s="1024" t="s">
        <v>1768</v>
      </c>
      <c r="I492" s="1023">
        <v>6</v>
      </c>
      <c r="J492" s="1008">
        <v>9</v>
      </c>
    </row>
    <row r="493" spans="2:10">
      <c r="B493" s="518">
        <v>135</v>
      </c>
      <c r="C493" s="1023" t="s">
        <v>2280</v>
      </c>
      <c r="D493" s="1023" t="s">
        <v>2222</v>
      </c>
      <c r="E493" s="1023"/>
      <c r="F493" s="1024"/>
      <c r="G493" s="1023">
        <v>2</v>
      </c>
      <c r="H493" s="1024" t="s">
        <v>1768</v>
      </c>
      <c r="I493" s="1008"/>
      <c r="J493" s="1008">
        <v>18</v>
      </c>
    </row>
    <row r="494" spans="2:10">
      <c r="B494" s="518">
        <v>136</v>
      </c>
      <c r="C494" s="1023" t="s">
        <v>1865</v>
      </c>
      <c r="D494" s="1023" t="s">
        <v>2222</v>
      </c>
      <c r="E494" s="1023"/>
      <c r="F494" s="1024"/>
      <c r="G494" s="1023">
        <v>3</v>
      </c>
      <c r="H494" s="1024" t="s">
        <v>1828</v>
      </c>
      <c r="I494" s="1008"/>
      <c r="J494" s="1008">
        <v>15</v>
      </c>
    </row>
    <row r="495" spans="2:10">
      <c r="B495" s="518">
        <v>137</v>
      </c>
      <c r="C495" s="1023" t="s">
        <v>2009</v>
      </c>
      <c r="D495" s="1023" t="s">
        <v>2222</v>
      </c>
      <c r="E495" s="1023"/>
      <c r="F495" s="1024"/>
      <c r="G495" s="1023">
        <v>3</v>
      </c>
      <c r="H495" s="1024" t="s">
        <v>1829</v>
      </c>
      <c r="I495" s="1008"/>
      <c r="J495" s="1008">
        <v>10</v>
      </c>
    </row>
    <row r="496" spans="2:10">
      <c r="B496" s="518">
        <v>138</v>
      </c>
      <c r="C496" s="1023" t="s">
        <v>1863</v>
      </c>
      <c r="D496" s="1023" t="s">
        <v>2222</v>
      </c>
      <c r="E496" s="1023"/>
      <c r="F496" s="1024"/>
      <c r="G496" s="1023">
        <v>2</v>
      </c>
      <c r="H496" s="1024" t="s">
        <v>1825</v>
      </c>
      <c r="I496" s="1008"/>
      <c r="J496" s="1008">
        <v>5</v>
      </c>
    </row>
    <row r="497" spans="2:10">
      <c r="B497" s="518">
        <v>139</v>
      </c>
      <c r="C497" s="1023" t="s">
        <v>1869</v>
      </c>
      <c r="D497" s="1023" t="s">
        <v>2222</v>
      </c>
      <c r="E497" s="1023"/>
      <c r="F497" s="1024"/>
      <c r="G497" s="1023">
        <v>2</v>
      </c>
      <c r="H497" s="1024" t="s">
        <v>1825</v>
      </c>
      <c r="I497" s="1008"/>
      <c r="J497" s="1008">
        <v>5</v>
      </c>
    </row>
    <row r="498" spans="2:10">
      <c r="B498" s="518">
        <v>140</v>
      </c>
      <c r="C498" s="1023" t="s">
        <v>1846</v>
      </c>
      <c r="D498" s="1023" t="s">
        <v>2222</v>
      </c>
      <c r="E498" s="1023"/>
      <c r="F498" s="1024"/>
      <c r="G498" s="1023">
        <v>2</v>
      </c>
      <c r="H498" s="1024" t="s">
        <v>1825</v>
      </c>
      <c r="I498" s="1008"/>
      <c r="J498" s="1008">
        <v>5</v>
      </c>
    </row>
    <row r="499" spans="2:10">
      <c r="B499" s="518">
        <v>141</v>
      </c>
      <c r="C499" s="1023" t="s">
        <v>1840</v>
      </c>
      <c r="D499" s="1023" t="s">
        <v>2222</v>
      </c>
      <c r="E499" s="1023"/>
      <c r="F499" s="1024"/>
      <c r="G499" s="1023">
        <v>2</v>
      </c>
      <c r="H499" s="1024" t="s">
        <v>1825</v>
      </c>
      <c r="I499" s="1008"/>
      <c r="J499" s="1008">
        <v>7</v>
      </c>
    </row>
    <row r="500" spans="2:10">
      <c r="B500" s="518">
        <v>142</v>
      </c>
      <c r="C500" s="1023" t="s">
        <v>1913</v>
      </c>
      <c r="D500" s="1023" t="s">
        <v>2222</v>
      </c>
      <c r="E500" s="1023"/>
      <c r="F500" s="1024"/>
      <c r="G500" s="1023">
        <v>2</v>
      </c>
      <c r="H500" s="1024" t="s">
        <v>1825</v>
      </c>
      <c r="I500" s="1008"/>
      <c r="J500" s="1008">
        <v>5</v>
      </c>
    </row>
    <row r="501" spans="2:10">
      <c r="B501" s="518">
        <v>143</v>
      </c>
      <c r="C501" s="1023" t="s">
        <v>1909</v>
      </c>
      <c r="D501" s="1023" t="s">
        <v>2222</v>
      </c>
      <c r="E501" s="1023"/>
      <c r="F501" s="1024"/>
      <c r="G501" s="1023">
        <v>3</v>
      </c>
      <c r="H501" s="1024" t="s">
        <v>1829</v>
      </c>
      <c r="I501" s="1008"/>
      <c r="J501" s="1008">
        <v>7</v>
      </c>
    </row>
    <row r="502" spans="2:10">
      <c r="B502" s="518">
        <v>144</v>
      </c>
      <c r="C502" s="1023" t="s">
        <v>1887</v>
      </c>
      <c r="D502" s="1023" t="s">
        <v>2222</v>
      </c>
      <c r="E502" s="1023"/>
      <c r="F502" s="1024"/>
      <c r="G502" s="1023">
        <v>3</v>
      </c>
      <c r="H502" s="1024" t="s">
        <v>2281</v>
      </c>
      <c r="I502" s="1008"/>
      <c r="J502" s="1008">
        <v>8</v>
      </c>
    </row>
    <row r="503" spans="2:10">
      <c r="B503" s="518">
        <v>145</v>
      </c>
      <c r="C503" s="1023" t="s">
        <v>2282</v>
      </c>
      <c r="D503" s="1023" t="s">
        <v>2222</v>
      </c>
      <c r="E503" s="1023"/>
      <c r="F503" s="1024"/>
      <c r="G503" s="1023">
        <v>2</v>
      </c>
      <c r="H503" s="1024" t="s">
        <v>1768</v>
      </c>
      <c r="I503" s="1008"/>
      <c r="J503" s="1008">
        <v>8</v>
      </c>
    </row>
    <row r="504" spans="2:10">
      <c r="B504" s="518">
        <v>146</v>
      </c>
      <c r="C504" s="1023" t="s">
        <v>1842</v>
      </c>
      <c r="D504" s="1023" t="s">
        <v>2222</v>
      </c>
      <c r="E504" s="1023"/>
      <c r="F504" s="1024"/>
      <c r="G504" s="1023">
        <v>3</v>
      </c>
      <c r="H504" s="1024" t="s">
        <v>1824</v>
      </c>
      <c r="I504" s="1008"/>
      <c r="J504" s="1008">
        <v>5</v>
      </c>
    </row>
    <row r="505" spans="2:10">
      <c r="B505" s="1414" t="s">
        <v>68</v>
      </c>
      <c r="C505" s="1414"/>
      <c r="D505" s="1414"/>
      <c r="E505" s="511">
        <f>SUM(E359:E504)</f>
        <v>58</v>
      </c>
      <c r="F505" s="511"/>
      <c r="G505" s="511">
        <f>SUM(G359:G504)</f>
        <v>370</v>
      </c>
      <c r="H505" s="511"/>
      <c r="I505" s="511">
        <f>SUM(I359:I504)</f>
        <v>186</v>
      </c>
      <c r="J505" s="511">
        <f>SUM(J359:J504)</f>
        <v>1174</v>
      </c>
    </row>
    <row r="506" spans="2:10">
      <c r="B506" s="887"/>
      <c r="C506" s="887"/>
      <c r="D506" s="887"/>
      <c r="E506" s="515"/>
      <c r="F506" s="515"/>
      <c r="G506" s="515"/>
      <c r="H506" s="515"/>
      <c r="I506" s="515"/>
      <c r="J506" s="515"/>
    </row>
    <row r="507" spans="2:10" ht="16.5">
      <c r="G507" s="1341" t="s">
        <v>427</v>
      </c>
      <c r="H507" s="1341"/>
      <c r="I507" s="1341"/>
    </row>
  </sheetData>
  <mergeCells count="14">
    <mergeCell ref="B353:G353"/>
    <mergeCell ref="B2:F2"/>
    <mergeCell ref="B3:H3"/>
    <mergeCell ref="B4:H4"/>
    <mergeCell ref="G507:I507"/>
    <mergeCell ref="B355:I355"/>
    <mergeCell ref="B356:B358"/>
    <mergeCell ref="C356:C358"/>
    <mergeCell ref="D356:D358"/>
    <mergeCell ref="I356:J356"/>
    <mergeCell ref="E356:H356"/>
    <mergeCell ref="E357:F357"/>
    <mergeCell ref="G357:H357"/>
    <mergeCell ref="B505:D505"/>
  </mergeCells>
  <pageMargins left="0.2" right="0.2" top="0.74803149606299202" bottom="0.74803149606299202" header="0.31496062992126" footer="0.31496062992126"/>
  <pageSetup paperSize="9" scale="57" fitToHeight="0" orientation="portrait" r:id="rId1"/>
  <rowBreaks count="1" manualBreakCount="1">
    <brk id="35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0"/>
  <sheetViews>
    <sheetView showGridLines="0" view="pageBreakPreview" topLeftCell="A13" zoomScale="70" zoomScaleNormal="100" zoomScaleSheetLayoutView="70" workbookViewId="0">
      <selection activeCell="A25" sqref="A25"/>
    </sheetView>
  </sheetViews>
  <sheetFormatPr defaultColWidth="9.140625" defaultRowHeight="15"/>
  <cols>
    <col min="1" max="1" width="12" style="174" customWidth="1"/>
    <col min="2" max="3" width="13.140625" style="174" customWidth="1"/>
    <col min="4" max="4" width="16.7109375" style="174" customWidth="1"/>
    <col min="5" max="5" width="16.28515625" style="174" bestFit="1" customWidth="1"/>
    <col min="6" max="6" width="18.5703125" style="174" customWidth="1"/>
    <col min="7" max="7" width="15.7109375" style="174" customWidth="1"/>
    <col min="8" max="8" width="14.7109375" style="174" customWidth="1"/>
    <col min="9" max="9" width="17.140625" style="174" customWidth="1"/>
    <col min="10" max="10" width="14.42578125" style="174" customWidth="1"/>
    <col min="11" max="11" width="16.140625" style="174" bestFit="1" customWidth="1"/>
    <col min="12" max="12" width="13.85546875" style="174" customWidth="1"/>
    <col min="13" max="13" width="16" style="174" customWidth="1"/>
    <col min="14" max="14" width="14.42578125" style="174" customWidth="1"/>
    <col min="15" max="15" width="15.42578125" style="174" customWidth="1"/>
    <col min="16" max="16" width="14" style="174" customWidth="1"/>
    <col min="17" max="17" width="9.140625" style="174"/>
    <col min="18" max="18" width="9.140625" style="174" customWidth="1"/>
    <col min="19" max="16384" width="9.140625" style="174"/>
  </cols>
  <sheetData>
    <row r="1" spans="1:17">
      <c r="A1" s="1469" t="s">
        <v>892</v>
      </c>
      <c r="B1" s="1469"/>
      <c r="C1" s="1469"/>
      <c r="D1" s="1469"/>
      <c r="E1" s="1469"/>
      <c r="F1" s="1469"/>
      <c r="G1" s="1469"/>
      <c r="H1" s="1469"/>
      <c r="I1" s="1469"/>
      <c r="J1" s="1469"/>
      <c r="K1" s="1469"/>
      <c r="L1" s="1469"/>
      <c r="M1" s="1469"/>
      <c r="N1" s="1469"/>
      <c r="O1" s="1469"/>
      <c r="P1" s="1469"/>
    </row>
    <row r="2" spans="1:17" ht="17.25" thickBot="1">
      <c r="A2" s="1470" t="s">
        <v>911</v>
      </c>
      <c r="B2" s="1470"/>
      <c r="C2" s="1470"/>
      <c r="D2" s="1470"/>
      <c r="E2" s="1470"/>
      <c r="F2" s="1470"/>
      <c r="G2" s="1470"/>
      <c r="H2" s="1470"/>
      <c r="I2" s="1470"/>
      <c r="J2" s="1470"/>
      <c r="O2" s="1471" t="s">
        <v>600</v>
      </c>
      <c r="P2" s="1471"/>
    </row>
    <row r="3" spans="1:17" ht="15" customHeight="1">
      <c r="A3" s="1451" t="s">
        <v>593</v>
      </c>
      <c r="B3" s="1451" t="s">
        <v>901</v>
      </c>
      <c r="C3" s="1458" t="s">
        <v>602</v>
      </c>
      <c r="D3" s="1455"/>
      <c r="E3" s="1458" t="s">
        <v>601</v>
      </c>
      <c r="F3" s="1455"/>
      <c r="G3" s="1458" t="s">
        <v>1249</v>
      </c>
      <c r="H3" s="1454"/>
      <c r="I3" s="1454"/>
      <c r="J3" s="1455"/>
      <c r="K3" s="1458" t="s">
        <v>595</v>
      </c>
      <c r="L3" s="1455"/>
      <c r="M3" s="1458" t="s">
        <v>603</v>
      </c>
      <c r="N3" s="1455"/>
      <c r="O3" s="1458" t="s">
        <v>604</v>
      </c>
      <c r="P3" s="1455"/>
      <c r="Q3" s="1450"/>
    </row>
    <row r="4" spans="1:17">
      <c r="A4" s="1452"/>
      <c r="B4" s="1452"/>
      <c r="C4" s="1460"/>
      <c r="D4" s="1462"/>
      <c r="E4" s="1460"/>
      <c r="F4" s="1462"/>
      <c r="G4" s="1460"/>
      <c r="H4" s="1461"/>
      <c r="I4" s="1461"/>
      <c r="J4" s="1462"/>
      <c r="K4" s="1460"/>
      <c r="L4" s="1462"/>
      <c r="M4" s="1460"/>
      <c r="N4" s="1462"/>
      <c r="O4" s="1460"/>
      <c r="P4" s="1462"/>
      <c r="Q4" s="1450"/>
    </row>
    <row r="5" spans="1:17" ht="15.75" thickBot="1">
      <c r="A5" s="1452"/>
      <c r="B5" s="1452"/>
      <c r="C5" s="1459"/>
      <c r="D5" s="1457"/>
      <c r="E5" s="1459"/>
      <c r="F5" s="1457"/>
      <c r="G5" s="1459"/>
      <c r="H5" s="1456"/>
      <c r="I5" s="1456"/>
      <c r="J5" s="1457"/>
      <c r="K5" s="1459"/>
      <c r="L5" s="1457"/>
      <c r="M5" s="1459"/>
      <c r="N5" s="1457"/>
      <c r="O5" s="1459"/>
      <c r="P5" s="1457"/>
      <c r="Q5" s="1450"/>
    </row>
    <row r="6" spans="1:17">
      <c r="A6" s="1452"/>
      <c r="B6" s="1452"/>
      <c r="C6" s="1451" t="s">
        <v>578</v>
      </c>
      <c r="D6" s="1451" t="s">
        <v>627</v>
      </c>
      <c r="E6" s="1455" t="s">
        <v>596</v>
      </c>
      <c r="F6" s="1455" t="s">
        <v>909</v>
      </c>
      <c r="G6" s="1454" t="s">
        <v>902</v>
      </c>
      <c r="H6" s="1455"/>
      <c r="I6" s="1458" t="s">
        <v>1236</v>
      </c>
      <c r="J6" s="1455"/>
      <c r="K6" s="1451" t="s">
        <v>596</v>
      </c>
      <c r="L6" s="1451" t="s">
        <v>910</v>
      </c>
      <c r="M6" s="1451" t="s">
        <v>598</v>
      </c>
      <c r="N6" s="1451" t="s">
        <v>907</v>
      </c>
      <c r="O6" s="1451" t="s">
        <v>596</v>
      </c>
      <c r="P6" s="1451" t="s">
        <v>908</v>
      </c>
      <c r="Q6" s="56"/>
    </row>
    <row r="7" spans="1:17" ht="15.75" thickBot="1">
      <c r="A7" s="1452"/>
      <c r="B7" s="1452"/>
      <c r="C7" s="1452"/>
      <c r="D7" s="1452"/>
      <c r="E7" s="1462"/>
      <c r="F7" s="1462"/>
      <c r="G7" s="1456"/>
      <c r="H7" s="1457"/>
      <c r="I7" s="1459"/>
      <c r="J7" s="1457"/>
      <c r="K7" s="1452"/>
      <c r="L7" s="1452"/>
      <c r="M7" s="1452"/>
      <c r="N7" s="1452"/>
      <c r="O7" s="1452"/>
      <c r="P7" s="1452"/>
      <c r="Q7" s="56"/>
    </row>
    <row r="8" spans="1:17" ht="45.75" thickBot="1">
      <c r="A8" s="1453"/>
      <c r="B8" s="1453"/>
      <c r="C8" s="1453"/>
      <c r="D8" s="1453"/>
      <c r="E8" s="1457"/>
      <c r="F8" s="1457"/>
      <c r="G8" s="176" t="s">
        <v>596</v>
      </c>
      <c r="H8" s="176" t="s">
        <v>907</v>
      </c>
      <c r="I8" s="176" t="s">
        <v>596</v>
      </c>
      <c r="J8" s="176" t="s">
        <v>597</v>
      </c>
      <c r="K8" s="1453"/>
      <c r="L8" s="1453"/>
      <c r="M8" s="1453"/>
      <c r="N8" s="1453"/>
      <c r="O8" s="1453"/>
      <c r="P8" s="1453"/>
      <c r="Q8" s="56"/>
    </row>
    <row r="9" spans="1:17">
      <c r="A9" s="1458" t="s">
        <v>2599</v>
      </c>
      <c r="B9" s="1454"/>
      <c r="C9" s="1454"/>
      <c r="D9" s="1454"/>
      <c r="E9" s="1454"/>
      <c r="F9" s="1454"/>
      <c r="G9" s="1454"/>
      <c r="H9" s="1454"/>
      <c r="I9" s="1454"/>
      <c r="J9" s="1454"/>
      <c r="K9" s="1454"/>
      <c r="L9" s="1454"/>
      <c r="M9" s="1454"/>
      <c r="N9" s="1454"/>
      <c r="O9" s="1454"/>
      <c r="P9" s="1455"/>
      <c r="Q9" s="56"/>
    </row>
    <row r="10" spans="1:17">
      <c r="A10" s="1460"/>
      <c r="B10" s="1461"/>
      <c r="C10" s="1461"/>
      <c r="D10" s="1461"/>
      <c r="E10" s="1461"/>
      <c r="F10" s="1461"/>
      <c r="G10" s="1461"/>
      <c r="H10" s="1461"/>
      <c r="I10" s="1461"/>
      <c r="J10" s="1461"/>
      <c r="K10" s="1461"/>
      <c r="L10" s="1461"/>
      <c r="M10" s="1461"/>
      <c r="N10" s="1461"/>
      <c r="O10" s="1461"/>
      <c r="P10" s="1462"/>
      <c r="Q10" s="56"/>
    </row>
    <row r="11" spans="1:17">
      <c r="A11" s="1460"/>
      <c r="B11" s="1461"/>
      <c r="C11" s="1461"/>
      <c r="D11" s="1461"/>
      <c r="E11" s="1461"/>
      <c r="F11" s="1461"/>
      <c r="G11" s="1461"/>
      <c r="H11" s="1461"/>
      <c r="I11" s="1461"/>
      <c r="J11" s="1461"/>
      <c r="K11" s="1461"/>
      <c r="L11" s="1461"/>
      <c r="M11" s="1461"/>
      <c r="N11" s="1461"/>
      <c r="O11" s="1461"/>
      <c r="P11" s="1462"/>
      <c r="Q11" s="56"/>
    </row>
    <row r="12" spans="1:17">
      <c r="A12" s="1460"/>
      <c r="B12" s="1461"/>
      <c r="C12" s="1461"/>
      <c r="D12" s="1461"/>
      <c r="E12" s="1461"/>
      <c r="F12" s="1461"/>
      <c r="G12" s="1461"/>
      <c r="H12" s="1461"/>
      <c r="I12" s="1461"/>
      <c r="J12" s="1461"/>
      <c r="K12" s="1461"/>
      <c r="L12" s="1461"/>
      <c r="M12" s="1461"/>
      <c r="N12" s="1461"/>
      <c r="O12" s="1461"/>
      <c r="P12" s="1462"/>
      <c r="Q12" s="56"/>
    </row>
    <row r="13" spans="1:17" ht="15.75" thickBot="1">
      <c r="A13" s="1459"/>
      <c r="B13" s="1456"/>
      <c r="C13" s="1456"/>
      <c r="D13" s="1456"/>
      <c r="E13" s="1456"/>
      <c r="F13" s="1456"/>
      <c r="G13" s="1456"/>
      <c r="H13" s="1456"/>
      <c r="I13" s="1456"/>
      <c r="J13" s="1456"/>
      <c r="K13" s="1456"/>
      <c r="L13" s="1456"/>
      <c r="M13" s="1456"/>
      <c r="N13" s="1456"/>
      <c r="O13" s="1456"/>
      <c r="P13" s="1457"/>
      <c r="Q13" s="56"/>
    </row>
    <row r="14" spans="1:17">
      <c r="A14" s="174" t="s">
        <v>606</v>
      </c>
    </row>
    <row r="15" spans="1:17" ht="38.25" customHeight="1">
      <c r="A15" s="1472" t="s">
        <v>628</v>
      </c>
      <c r="B15" s="1472"/>
      <c r="C15" s="1472"/>
      <c r="D15" s="1472"/>
      <c r="E15" s="1472"/>
      <c r="F15" s="1472"/>
      <c r="G15" s="1472"/>
      <c r="H15" s="1472"/>
      <c r="I15" s="1472"/>
      <c r="J15" s="1472"/>
      <c r="K15" s="1472"/>
      <c r="L15" s="1472"/>
      <c r="M15" s="1472"/>
      <c r="N15" s="1472"/>
      <c r="O15" s="1472"/>
      <c r="P15" s="1472"/>
    </row>
    <row r="16" spans="1:17">
      <c r="A16" s="174" t="s">
        <v>212</v>
      </c>
    </row>
    <row r="17" spans="1:16">
      <c r="A17" s="174" t="s">
        <v>903</v>
      </c>
    </row>
    <row r="18" spans="1:16">
      <c r="A18" s="174" t="s">
        <v>904</v>
      </c>
    </row>
    <row r="19" spans="1:16" ht="26.25" customHeight="1">
      <c r="A19" s="1472" t="s">
        <v>905</v>
      </c>
      <c r="B19" s="1472"/>
      <c r="C19" s="1472"/>
      <c r="D19" s="1472"/>
      <c r="E19" s="1472"/>
      <c r="F19" s="1472"/>
      <c r="G19" s="1472"/>
      <c r="H19" s="1472"/>
      <c r="I19" s="1472"/>
      <c r="J19" s="1472"/>
      <c r="K19" s="1472"/>
      <c r="L19" s="1472"/>
      <c r="M19" s="1472"/>
      <c r="N19" s="1472"/>
      <c r="O19" s="1472"/>
      <c r="P19" s="1472"/>
    </row>
    <row r="20" spans="1:16">
      <c r="A20" s="174" t="s">
        <v>906</v>
      </c>
    </row>
    <row r="21" spans="1:16" ht="16.5">
      <c r="A21" s="1473" t="s">
        <v>912</v>
      </c>
      <c r="B21" s="1473"/>
      <c r="C21" s="1473"/>
      <c r="D21" s="1473"/>
      <c r="E21" s="1473"/>
      <c r="F21" s="178"/>
      <c r="G21" s="178"/>
    </row>
    <row r="22" spans="1:16" ht="75">
      <c r="A22" s="177" t="s">
        <v>651</v>
      </c>
      <c r="B22" s="177" t="s">
        <v>214</v>
      </c>
      <c r="C22" s="173" t="s">
        <v>704</v>
      </c>
      <c r="D22" s="173" t="s">
        <v>708</v>
      </c>
      <c r="E22" s="173" t="s">
        <v>709</v>
      </c>
      <c r="F22" s="173" t="s">
        <v>711</v>
      </c>
      <c r="G22" s="173" t="s">
        <v>710</v>
      </c>
    </row>
    <row r="23" spans="1:16">
      <c r="A23" s="1463" t="s">
        <v>2599</v>
      </c>
      <c r="B23" s="1464"/>
      <c r="C23" s="1464"/>
      <c r="D23" s="1464"/>
      <c r="E23" s="1464"/>
      <c r="F23" s="1464"/>
      <c r="G23" s="1465"/>
    </row>
    <row r="24" spans="1:16">
      <c r="A24" s="1466"/>
      <c r="B24" s="1467"/>
      <c r="C24" s="1467"/>
      <c r="D24" s="1467"/>
      <c r="E24" s="1467"/>
      <c r="F24" s="1467"/>
      <c r="G24" s="1468"/>
    </row>
    <row r="25" spans="1:16">
      <c r="A25" s="70" t="s">
        <v>705</v>
      </c>
      <c r="B25" s="70"/>
      <c r="C25" s="70"/>
      <c r="D25" s="70"/>
      <c r="E25" s="70"/>
      <c r="F25" s="70"/>
      <c r="G25" s="70"/>
      <c r="H25" s="70"/>
      <c r="I25" s="70"/>
      <c r="J25" s="70"/>
      <c r="K25" s="70"/>
      <c r="L25" s="70"/>
      <c r="M25" s="70"/>
      <c r="N25" s="70"/>
      <c r="O25" s="70"/>
      <c r="P25" s="70"/>
    </row>
    <row r="26" spans="1:16">
      <c r="A26" s="70" t="s">
        <v>706</v>
      </c>
      <c r="B26" s="70"/>
      <c r="C26" s="70"/>
      <c r="D26" s="70"/>
      <c r="E26" s="70"/>
      <c r="F26" s="70"/>
      <c r="G26" s="70"/>
      <c r="H26" s="70"/>
      <c r="I26" s="70"/>
      <c r="J26" s="70"/>
      <c r="K26" s="70"/>
      <c r="L26" s="70"/>
      <c r="M26" s="70"/>
      <c r="N26" s="70"/>
      <c r="O26" s="70"/>
      <c r="P26" s="70"/>
    </row>
    <row r="27" spans="1:16">
      <c r="A27" s="70" t="s">
        <v>707</v>
      </c>
      <c r="B27" s="70"/>
      <c r="C27" s="70"/>
      <c r="D27" s="70"/>
      <c r="E27" s="70"/>
      <c r="F27" s="70"/>
      <c r="G27" s="70"/>
      <c r="H27" s="70"/>
      <c r="I27" s="70"/>
      <c r="J27" s="70"/>
      <c r="K27" s="70"/>
      <c r="L27" s="70"/>
      <c r="M27" s="70"/>
      <c r="N27" s="70"/>
      <c r="O27" s="70"/>
      <c r="P27" s="70"/>
    </row>
    <row r="30" spans="1:16" ht="16.5">
      <c r="M30" s="1341" t="s">
        <v>427</v>
      </c>
      <c r="N30" s="1341"/>
      <c r="O30" s="1341"/>
    </row>
  </sheetData>
  <mergeCells count="30">
    <mergeCell ref="A23:G24"/>
    <mergeCell ref="M30:O30"/>
    <mergeCell ref="A1:P1"/>
    <mergeCell ref="A2:J2"/>
    <mergeCell ref="O2:P2"/>
    <mergeCell ref="E3:F5"/>
    <mergeCell ref="C3:D5"/>
    <mergeCell ref="A15:P15"/>
    <mergeCell ref="P6:P8"/>
    <mergeCell ref="F6:F8"/>
    <mergeCell ref="E6:E8"/>
    <mergeCell ref="A3:A8"/>
    <mergeCell ref="B3:B8"/>
    <mergeCell ref="A9:P13"/>
    <mergeCell ref="A21:E21"/>
    <mergeCell ref="A19:P19"/>
    <mergeCell ref="Q3:Q5"/>
    <mergeCell ref="C6:C8"/>
    <mergeCell ref="D6:D8"/>
    <mergeCell ref="G6:H7"/>
    <mergeCell ref="I6:J7"/>
    <mergeCell ref="K6:K8"/>
    <mergeCell ref="L6:L8"/>
    <mergeCell ref="M6:M8"/>
    <mergeCell ref="N6:N8"/>
    <mergeCell ref="O6:O8"/>
    <mergeCell ref="G3:J5"/>
    <mergeCell ref="K3:L5"/>
    <mergeCell ref="M3:N5"/>
    <mergeCell ref="O3:P5"/>
  </mergeCells>
  <pageMargins left="0.25" right="0.3" top="0.74803149606299202" bottom="0.74803149606299202" header="0.31496062992126" footer="0.31496062992126"/>
  <pageSetup paperSize="9" scale="5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I40"/>
  <sheetViews>
    <sheetView showGridLines="0" view="pageBreakPreview" topLeftCell="A19" zoomScale="80" zoomScaleNormal="100" zoomScaleSheetLayoutView="80" workbookViewId="0">
      <selection activeCell="G36" sqref="G36"/>
    </sheetView>
  </sheetViews>
  <sheetFormatPr defaultRowHeight="15"/>
  <cols>
    <col min="1" max="1" width="4.5703125" style="336" customWidth="1"/>
    <col min="2" max="2" width="53" style="56" customWidth="1"/>
    <col min="3" max="3" width="8.7109375" style="336" hidden="1" customWidth="1"/>
    <col min="4" max="4" width="15" style="336" customWidth="1"/>
    <col min="5" max="5" width="13.42578125" style="336" bestFit="1" customWidth="1"/>
    <col min="6" max="6" width="14" style="766" customWidth="1"/>
    <col min="7" max="7" width="14" style="336" bestFit="1" customWidth="1"/>
    <col min="8" max="8" width="12.5703125" style="336" customWidth="1"/>
    <col min="9" max="9" width="14.85546875" style="336" bestFit="1" customWidth="1"/>
    <col min="10" max="250" width="9.140625" style="336"/>
    <col min="251" max="251" width="3.42578125" style="336" bestFit="1" customWidth="1"/>
    <col min="252" max="252" width="57.140625" style="336" bestFit="1" customWidth="1"/>
    <col min="253" max="253" width="9.140625" style="336"/>
    <col min="254" max="256" width="12.42578125" style="336" bestFit="1" customWidth="1"/>
    <col min="257" max="506" width="9.140625" style="336"/>
    <col min="507" max="507" width="3.42578125" style="336" bestFit="1" customWidth="1"/>
    <col min="508" max="508" width="57.140625" style="336" bestFit="1" customWidth="1"/>
    <col min="509" max="509" width="9.140625" style="336"/>
    <col min="510" max="512" width="12.42578125" style="336" bestFit="1" customWidth="1"/>
    <col min="513" max="762" width="9.140625" style="336"/>
    <col min="763" max="763" width="3.42578125" style="336" bestFit="1" customWidth="1"/>
    <col min="764" max="764" width="57.140625" style="336" bestFit="1" customWidth="1"/>
    <col min="765" max="765" width="9.140625" style="336"/>
    <col min="766" max="768" width="12.42578125" style="336" bestFit="1" customWidth="1"/>
    <col min="769" max="1018" width="9.140625" style="336"/>
    <col min="1019" max="1019" width="3.42578125" style="336" bestFit="1" customWidth="1"/>
    <col min="1020" max="1020" width="57.140625" style="336" bestFit="1" customWidth="1"/>
    <col min="1021" max="1021" width="9.140625" style="336"/>
    <col min="1022" max="1024" width="12.42578125" style="336" bestFit="1" customWidth="1"/>
    <col min="1025" max="1274" width="9.140625" style="336"/>
    <col min="1275" max="1275" width="3.42578125" style="336" bestFit="1" customWidth="1"/>
    <col min="1276" max="1276" width="57.140625" style="336" bestFit="1" customWidth="1"/>
    <col min="1277" max="1277" width="9.140625" style="336"/>
    <col min="1278" max="1280" width="12.42578125" style="336" bestFit="1" customWidth="1"/>
    <col min="1281" max="1530" width="9.140625" style="336"/>
    <col min="1531" max="1531" width="3.42578125" style="336" bestFit="1" customWidth="1"/>
    <col min="1532" max="1532" width="57.140625" style="336" bestFit="1" customWidth="1"/>
    <col min="1533" max="1533" width="9.140625" style="336"/>
    <col min="1534" max="1536" width="12.42578125" style="336" bestFit="1" customWidth="1"/>
    <col min="1537" max="1786" width="9.140625" style="336"/>
    <col min="1787" max="1787" width="3.42578125" style="336" bestFit="1" customWidth="1"/>
    <col min="1788" max="1788" width="57.140625" style="336" bestFit="1" customWidth="1"/>
    <col min="1789" max="1789" width="9.140625" style="336"/>
    <col min="1790" max="1792" width="12.42578125" style="336" bestFit="1" customWidth="1"/>
    <col min="1793" max="2042" width="9.140625" style="336"/>
    <col min="2043" max="2043" width="3.42578125" style="336" bestFit="1" customWidth="1"/>
    <col min="2044" max="2044" width="57.140625" style="336" bestFit="1" customWidth="1"/>
    <col min="2045" max="2045" width="9.140625" style="336"/>
    <col min="2046" max="2048" width="12.42578125" style="336" bestFit="1" customWidth="1"/>
    <col min="2049" max="2298" width="9.140625" style="336"/>
    <col min="2299" max="2299" width="3.42578125" style="336" bestFit="1" customWidth="1"/>
    <col min="2300" max="2300" width="57.140625" style="336" bestFit="1" customWidth="1"/>
    <col min="2301" max="2301" width="9.140625" style="336"/>
    <col min="2302" max="2304" width="12.42578125" style="336" bestFit="1" customWidth="1"/>
    <col min="2305" max="2554" width="9.140625" style="336"/>
    <col min="2555" max="2555" width="3.42578125" style="336" bestFit="1" customWidth="1"/>
    <col min="2556" max="2556" width="57.140625" style="336" bestFit="1" customWidth="1"/>
    <col min="2557" max="2557" width="9.140625" style="336"/>
    <col min="2558" max="2560" width="12.42578125" style="336" bestFit="1" customWidth="1"/>
    <col min="2561" max="2810" width="9.140625" style="336"/>
    <col min="2811" max="2811" width="3.42578125" style="336" bestFit="1" customWidth="1"/>
    <col min="2812" max="2812" width="57.140625" style="336" bestFit="1" customWidth="1"/>
    <col min="2813" max="2813" width="9.140625" style="336"/>
    <col min="2814" max="2816" width="12.42578125" style="336" bestFit="1" customWidth="1"/>
    <col min="2817" max="3066" width="9.140625" style="336"/>
    <col min="3067" max="3067" width="3.42578125" style="336" bestFit="1" customWidth="1"/>
    <col min="3068" max="3068" width="57.140625" style="336" bestFit="1" customWidth="1"/>
    <col min="3069" max="3069" width="9.140625" style="336"/>
    <col min="3070" max="3072" width="12.42578125" style="336" bestFit="1" customWidth="1"/>
    <col min="3073" max="3322" width="9.140625" style="336"/>
    <col min="3323" max="3323" width="3.42578125" style="336" bestFit="1" customWidth="1"/>
    <col min="3324" max="3324" width="57.140625" style="336" bestFit="1" customWidth="1"/>
    <col min="3325" max="3325" width="9.140625" style="336"/>
    <col min="3326" max="3328" width="12.42578125" style="336" bestFit="1" customWidth="1"/>
    <col min="3329" max="3578" width="9.140625" style="336"/>
    <col min="3579" max="3579" width="3.42578125" style="336" bestFit="1" customWidth="1"/>
    <col min="3580" max="3580" width="57.140625" style="336" bestFit="1" customWidth="1"/>
    <col min="3581" max="3581" width="9.140625" style="336"/>
    <col min="3582" max="3584" width="12.42578125" style="336" bestFit="1" customWidth="1"/>
    <col min="3585" max="3834" width="9.140625" style="336"/>
    <col min="3835" max="3835" width="3.42578125" style="336" bestFit="1" customWidth="1"/>
    <col min="3836" max="3836" width="57.140625" style="336" bestFit="1" customWidth="1"/>
    <col min="3837" max="3837" width="9.140625" style="336"/>
    <col min="3838" max="3840" width="12.42578125" style="336" bestFit="1" customWidth="1"/>
    <col min="3841" max="4090" width="9.140625" style="336"/>
    <col min="4091" max="4091" width="3.42578125" style="336" bestFit="1" customWidth="1"/>
    <col min="4092" max="4092" width="57.140625" style="336" bestFit="1" customWidth="1"/>
    <col min="4093" max="4093" width="9.140625" style="336"/>
    <col min="4094" max="4096" width="12.42578125" style="336" bestFit="1" customWidth="1"/>
    <col min="4097" max="4346" width="9.140625" style="336"/>
    <col min="4347" max="4347" width="3.42578125" style="336" bestFit="1" customWidth="1"/>
    <col min="4348" max="4348" width="57.140625" style="336" bestFit="1" customWidth="1"/>
    <col min="4349" max="4349" width="9.140625" style="336"/>
    <col min="4350" max="4352" width="12.42578125" style="336" bestFit="1" customWidth="1"/>
    <col min="4353" max="4602" width="9.140625" style="336"/>
    <col min="4603" max="4603" width="3.42578125" style="336" bestFit="1" customWidth="1"/>
    <col min="4604" max="4604" width="57.140625" style="336" bestFit="1" customWidth="1"/>
    <col min="4605" max="4605" width="9.140625" style="336"/>
    <col min="4606" max="4608" width="12.42578125" style="336" bestFit="1" customWidth="1"/>
    <col min="4609" max="4858" width="9.140625" style="336"/>
    <col min="4859" max="4859" width="3.42578125" style="336" bestFit="1" customWidth="1"/>
    <col min="4860" max="4860" width="57.140625" style="336" bestFit="1" customWidth="1"/>
    <col min="4861" max="4861" width="9.140625" style="336"/>
    <col min="4862" max="4864" width="12.42578125" style="336" bestFit="1" customWidth="1"/>
    <col min="4865" max="5114" width="9.140625" style="336"/>
    <col min="5115" max="5115" width="3.42578125" style="336" bestFit="1" customWidth="1"/>
    <col min="5116" max="5116" width="57.140625" style="336" bestFit="1" customWidth="1"/>
    <col min="5117" max="5117" width="9.140625" style="336"/>
    <col min="5118" max="5120" width="12.42578125" style="336" bestFit="1" customWidth="1"/>
    <col min="5121" max="5370" width="9.140625" style="336"/>
    <col min="5371" max="5371" width="3.42578125" style="336" bestFit="1" customWidth="1"/>
    <col min="5372" max="5372" width="57.140625" style="336" bestFit="1" customWidth="1"/>
    <col min="5373" max="5373" width="9.140625" style="336"/>
    <col min="5374" max="5376" width="12.42578125" style="336" bestFit="1" customWidth="1"/>
    <col min="5377" max="5626" width="9.140625" style="336"/>
    <col min="5627" max="5627" width="3.42578125" style="336" bestFit="1" customWidth="1"/>
    <col min="5628" max="5628" width="57.140625" style="336" bestFit="1" customWidth="1"/>
    <col min="5629" max="5629" width="9.140625" style="336"/>
    <col min="5630" max="5632" width="12.42578125" style="336" bestFit="1" customWidth="1"/>
    <col min="5633" max="5882" width="9.140625" style="336"/>
    <col min="5883" max="5883" width="3.42578125" style="336" bestFit="1" customWidth="1"/>
    <col min="5884" max="5884" width="57.140625" style="336" bestFit="1" customWidth="1"/>
    <col min="5885" max="5885" width="9.140625" style="336"/>
    <col min="5886" max="5888" width="12.42578125" style="336" bestFit="1" customWidth="1"/>
    <col min="5889" max="6138" width="9.140625" style="336"/>
    <col min="6139" max="6139" width="3.42578125" style="336" bestFit="1" customWidth="1"/>
    <col min="6140" max="6140" width="57.140625" style="336" bestFit="1" customWidth="1"/>
    <col min="6141" max="6141" width="9.140625" style="336"/>
    <col min="6142" max="6144" width="12.42578125" style="336" bestFit="1" customWidth="1"/>
    <col min="6145" max="6394" width="9.140625" style="336"/>
    <col min="6395" max="6395" width="3.42578125" style="336" bestFit="1" customWidth="1"/>
    <col min="6396" max="6396" width="57.140625" style="336" bestFit="1" customWidth="1"/>
    <col min="6397" max="6397" width="9.140625" style="336"/>
    <col min="6398" max="6400" width="12.42578125" style="336" bestFit="1" customWidth="1"/>
    <col min="6401" max="6650" width="9.140625" style="336"/>
    <col min="6651" max="6651" width="3.42578125" style="336" bestFit="1" customWidth="1"/>
    <col min="6652" max="6652" width="57.140625" style="336" bestFit="1" customWidth="1"/>
    <col min="6653" max="6653" width="9.140625" style="336"/>
    <col min="6654" max="6656" width="12.42578125" style="336" bestFit="1" customWidth="1"/>
    <col min="6657" max="6906" width="9.140625" style="336"/>
    <col min="6907" max="6907" width="3.42578125" style="336" bestFit="1" customWidth="1"/>
    <col min="6908" max="6908" width="57.140625" style="336" bestFit="1" customWidth="1"/>
    <col min="6909" max="6909" width="9.140625" style="336"/>
    <col min="6910" max="6912" width="12.42578125" style="336" bestFit="1" customWidth="1"/>
    <col min="6913" max="7162" width="9.140625" style="336"/>
    <col min="7163" max="7163" width="3.42578125" style="336" bestFit="1" customWidth="1"/>
    <col min="7164" max="7164" width="57.140625" style="336" bestFit="1" customWidth="1"/>
    <col min="7165" max="7165" width="9.140625" style="336"/>
    <col min="7166" max="7168" width="12.42578125" style="336" bestFit="1" customWidth="1"/>
    <col min="7169" max="7418" width="9.140625" style="336"/>
    <col min="7419" max="7419" width="3.42578125" style="336" bestFit="1" customWidth="1"/>
    <col min="7420" max="7420" width="57.140625" style="336" bestFit="1" customWidth="1"/>
    <col min="7421" max="7421" width="9.140625" style="336"/>
    <col min="7422" max="7424" width="12.42578125" style="336" bestFit="1" customWidth="1"/>
    <col min="7425" max="7674" width="9.140625" style="336"/>
    <col min="7675" max="7675" width="3.42578125" style="336" bestFit="1" customWidth="1"/>
    <col min="7676" max="7676" width="57.140625" style="336" bestFit="1" customWidth="1"/>
    <col min="7677" max="7677" width="9.140625" style="336"/>
    <col min="7678" max="7680" width="12.42578125" style="336" bestFit="1" customWidth="1"/>
    <col min="7681" max="7930" width="9.140625" style="336"/>
    <col min="7931" max="7931" width="3.42578125" style="336" bestFit="1" customWidth="1"/>
    <col min="7932" max="7932" width="57.140625" style="336" bestFit="1" customWidth="1"/>
    <col min="7933" max="7933" width="9.140625" style="336"/>
    <col min="7934" max="7936" width="12.42578125" style="336" bestFit="1" customWidth="1"/>
    <col min="7937" max="8186" width="9.140625" style="336"/>
    <col min="8187" max="8187" width="3.42578125" style="336" bestFit="1" customWidth="1"/>
    <col min="8188" max="8188" width="57.140625" style="336" bestFit="1" customWidth="1"/>
    <col min="8189" max="8189" width="9.140625" style="336"/>
    <col min="8190" max="8192" width="12.42578125" style="336" bestFit="1" customWidth="1"/>
    <col min="8193" max="8442" width="9.140625" style="336"/>
    <col min="8443" max="8443" width="3.42578125" style="336" bestFit="1" customWidth="1"/>
    <col min="8444" max="8444" width="57.140625" style="336" bestFit="1" customWidth="1"/>
    <col min="8445" max="8445" width="9.140625" style="336"/>
    <col min="8446" max="8448" width="12.42578125" style="336" bestFit="1" customWidth="1"/>
    <col min="8449" max="8698" width="9.140625" style="336"/>
    <col min="8699" max="8699" width="3.42578125" style="336" bestFit="1" customWidth="1"/>
    <col min="8700" max="8700" width="57.140625" style="336" bestFit="1" customWidth="1"/>
    <col min="8701" max="8701" width="9.140625" style="336"/>
    <col min="8702" max="8704" width="12.42578125" style="336" bestFit="1" customWidth="1"/>
    <col min="8705" max="8954" width="9.140625" style="336"/>
    <col min="8955" max="8955" width="3.42578125" style="336" bestFit="1" customWidth="1"/>
    <col min="8956" max="8956" width="57.140625" style="336" bestFit="1" customWidth="1"/>
    <col min="8957" max="8957" width="9.140625" style="336"/>
    <col min="8958" max="8960" width="12.42578125" style="336" bestFit="1" customWidth="1"/>
    <col min="8961" max="9210" width="9.140625" style="336"/>
    <col min="9211" max="9211" width="3.42578125" style="336" bestFit="1" customWidth="1"/>
    <col min="9212" max="9212" width="57.140625" style="336" bestFit="1" customWidth="1"/>
    <col min="9213" max="9213" width="9.140625" style="336"/>
    <col min="9214" max="9216" width="12.42578125" style="336" bestFit="1" customWidth="1"/>
    <col min="9217" max="9466" width="9.140625" style="336"/>
    <col min="9467" max="9467" width="3.42578125" style="336" bestFit="1" customWidth="1"/>
    <col min="9468" max="9468" width="57.140625" style="336" bestFit="1" customWidth="1"/>
    <col min="9469" max="9469" width="9.140625" style="336"/>
    <col min="9470" max="9472" width="12.42578125" style="336" bestFit="1" customWidth="1"/>
    <col min="9473" max="9722" width="9.140625" style="336"/>
    <col min="9723" max="9723" width="3.42578125" style="336" bestFit="1" customWidth="1"/>
    <col min="9724" max="9724" width="57.140625" style="336" bestFit="1" customWidth="1"/>
    <col min="9725" max="9725" width="9.140625" style="336"/>
    <col min="9726" max="9728" width="12.42578125" style="336" bestFit="1" customWidth="1"/>
    <col min="9729" max="9978" width="9.140625" style="336"/>
    <col min="9979" max="9979" width="3.42578125" style="336" bestFit="1" customWidth="1"/>
    <col min="9980" max="9980" width="57.140625" style="336" bestFit="1" customWidth="1"/>
    <col min="9981" max="9981" width="9.140625" style="336"/>
    <col min="9982" max="9984" width="12.42578125" style="336" bestFit="1" customWidth="1"/>
    <col min="9985" max="10234" width="9.140625" style="336"/>
    <col min="10235" max="10235" width="3.42578125" style="336" bestFit="1" customWidth="1"/>
    <col min="10236" max="10236" width="57.140625" style="336" bestFit="1" customWidth="1"/>
    <col min="10237" max="10237" width="9.140625" style="336"/>
    <col min="10238" max="10240" width="12.42578125" style="336" bestFit="1" customWidth="1"/>
    <col min="10241" max="10490" width="9.140625" style="336"/>
    <col min="10491" max="10491" width="3.42578125" style="336" bestFit="1" customWidth="1"/>
    <col min="10492" max="10492" width="57.140625" style="336" bestFit="1" customWidth="1"/>
    <col min="10493" max="10493" width="9.140625" style="336"/>
    <col min="10494" max="10496" width="12.42578125" style="336" bestFit="1" customWidth="1"/>
    <col min="10497" max="10746" width="9.140625" style="336"/>
    <col min="10747" max="10747" width="3.42578125" style="336" bestFit="1" customWidth="1"/>
    <col min="10748" max="10748" width="57.140625" style="336" bestFit="1" customWidth="1"/>
    <col min="10749" max="10749" width="9.140625" style="336"/>
    <col min="10750" max="10752" width="12.42578125" style="336" bestFit="1" customWidth="1"/>
    <col min="10753" max="11002" width="9.140625" style="336"/>
    <col min="11003" max="11003" width="3.42578125" style="336" bestFit="1" customWidth="1"/>
    <col min="11004" max="11004" width="57.140625" style="336" bestFit="1" customWidth="1"/>
    <col min="11005" max="11005" width="9.140625" style="336"/>
    <col min="11006" max="11008" width="12.42578125" style="336" bestFit="1" customWidth="1"/>
    <col min="11009" max="11258" width="9.140625" style="336"/>
    <col min="11259" max="11259" width="3.42578125" style="336" bestFit="1" customWidth="1"/>
    <col min="11260" max="11260" width="57.140625" style="336" bestFit="1" customWidth="1"/>
    <col min="11261" max="11261" width="9.140625" style="336"/>
    <col min="11262" max="11264" width="12.42578125" style="336" bestFit="1" customWidth="1"/>
    <col min="11265" max="11514" width="9.140625" style="336"/>
    <col min="11515" max="11515" width="3.42578125" style="336" bestFit="1" customWidth="1"/>
    <col min="11516" max="11516" width="57.140625" style="336" bestFit="1" customWidth="1"/>
    <col min="11517" max="11517" width="9.140625" style="336"/>
    <col min="11518" max="11520" width="12.42578125" style="336" bestFit="1" customWidth="1"/>
    <col min="11521" max="11770" width="9.140625" style="336"/>
    <col min="11771" max="11771" width="3.42578125" style="336" bestFit="1" customWidth="1"/>
    <col min="11772" max="11772" width="57.140625" style="336" bestFit="1" customWidth="1"/>
    <col min="11773" max="11773" width="9.140625" style="336"/>
    <col min="11774" max="11776" width="12.42578125" style="336" bestFit="1" customWidth="1"/>
    <col min="11777" max="12026" width="9.140625" style="336"/>
    <col min="12027" max="12027" width="3.42578125" style="336" bestFit="1" customWidth="1"/>
    <col min="12028" max="12028" width="57.140625" style="336" bestFit="1" customWidth="1"/>
    <col min="12029" max="12029" width="9.140625" style="336"/>
    <col min="12030" max="12032" width="12.42578125" style="336" bestFit="1" customWidth="1"/>
    <col min="12033" max="12282" width="9.140625" style="336"/>
    <col min="12283" max="12283" width="3.42578125" style="336" bestFit="1" customWidth="1"/>
    <col min="12284" max="12284" width="57.140625" style="336" bestFit="1" customWidth="1"/>
    <col min="12285" max="12285" width="9.140625" style="336"/>
    <col min="12286" max="12288" width="12.42578125" style="336" bestFit="1" customWidth="1"/>
    <col min="12289" max="12538" width="9.140625" style="336"/>
    <col min="12539" max="12539" width="3.42578125" style="336" bestFit="1" customWidth="1"/>
    <col min="12540" max="12540" width="57.140625" style="336" bestFit="1" customWidth="1"/>
    <col min="12541" max="12541" width="9.140625" style="336"/>
    <col min="12542" max="12544" width="12.42578125" style="336" bestFit="1" customWidth="1"/>
    <col min="12545" max="12794" width="9.140625" style="336"/>
    <col min="12795" max="12795" width="3.42578125" style="336" bestFit="1" customWidth="1"/>
    <col min="12796" max="12796" width="57.140625" style="336" bestFit="1" customWidth="1"/>
    <col min="12797" max="12797" width="9.140625" style="336"/>
    <col min="12798" max="12800" width="12.42578125" style="336" bestFit="1" customWidth="1"/>
    <col min="12801" max="13050" width="9.140625" style="336"/>
    <col min="13051" max="13051" width="3.42578125" style="336" bestFit="1" customWidth="1"/>
    <col min="13052" max="13052" width="57.140625" style="336" bestFit="1" customWidth="1"/>
    <col min="13053" max="13053" width="9.140625" style="336"/>
    <col min="13054" max="13056" width="12.42578125" style="336" bestFit="1" customWidth="1"/>
    <col min="13057" max="13306" width="9.140625" style="336"/>
    <col min="13307" max="13307" width="3.42578125" style="336" bestFit="1" customWidth="1"/>
    <col min="13308" max="13308" width="57.140625" style="336" bestFit="1" customWidth="1"/>
    <col min="13309" max="13309" width="9.140625" style="336"/>
    <col min="13310" max="13312" width="12.42578125" style="336" bestFit="1" customWidth="1"/>
    <col min="13313" max="13562" width="9.140625" style="336"/>
    <col min="13563" max="13563" width="3.42578125" style="336" bestFit="1" customWidth="1"/>
    <col min="13564" max="13564" width="57.140625" style="336" bestFit="1" customWidth="1"/>
    <col min="13565" max="13565" width="9.140625" style="336"/>
    <col min="13566" max="13568" width="12.42578125" style="336" bestFit="1" customWidth="1"/>
    <col min="13569" max="13818" width="9.140625" style="336"/>
    <col min="13819" max="13819" width="3.42578125" style="336" bestFit="1" customWidth="1"/>
    <col min="13820" max="13820" width="57.140625" style="336" bestFit="1" customWidth="1"/>
    <col min="13821" max="13821" width="9.140625" style="336"/>
    <col min="13822" max="13824" width="12.42578125" style="336" bestFit="1" customWidth="1"/>
    <col min="13825" max="14074" width="9.140625" style="336"/>
    <col min="14075" max="14075" width="3.42578125" style="336" bestFit="1" customWidth="1"/>
    <col min="14076" max="14076" width="57.140625" style="336" bestFit="1" customWidth="1"/>
    <col min="14077" max="14077" width="9.140625" style="336"/>
    <col min="14078" max="14080" width="12.42578125" style="336" bestFit="1" customWidth="1"/>
    <col min="14081" max="14330" width="9.140625" style="336"/>
    <col min="14331" max="14331" width="3.42578125" style="336" bestFit="1" customWidth="1"/>
    <col min="14332" max="14332" width="57.140625" style="336" bestFit="1" customWidth="1"/>
    <col min="14333" max="14333" width="9.140625" style="336"/>
    <col min="14334" max="14336" width="12.42578125" style="336" bestFit="1" customWidth="1"/>
    <col min="14337" max="14586" width="9.140625" style="336"/>
    <col min="14587" max="14587" width="3.42578125" style="336" bestFit="1" customWidth="1"/>
    <col min="14588" max="14588" width="57.140625" style="336" bestFit="1" customWidth="1"/>
    <col min="14589" max="14589" width="9.140625" style="336"/>
    <col min="14590" max="14592" width="12.42578125" style="336" bestFit="1" customWidth="1"/>
    <col min="14593" max="14842" width="9.140625" style="336"/>
    <col min="14843" max="14843" width="3.42578125" style="336" bestFit="1" customWidth="1"/>
    <col min="14844" max="14844" width="57.140625" style="336" bestFit="1" customWidth="1"/>
    <col min="14845" max="14845" width="9.140625" style="336"/>
    <col min="14846" max="14848" width="12.42578125" style="336" bestFit="1" customWidth="1"/>
    <col min="14849" max="15098" width="9.140625" style="336"/>
    <col min="15099" max="15099" width="3.42578125" style="336" bestFit="1" customWidth="1"/>
    <col min="15100" max="15100" width="57.140625" style="336" bestFit="1" customWidth="1"/>
    <col min="15101" max="15101" width="9.140625" style="336"/>
    <col min="15102" max="15104" width="12.42578125" style="336" bestFit="1" customWidth="1"/>
    <col min="15105" max="15354" width="9.140625" style="336"/>
    <col min="15355" max="15355" width="3.42578125" style="336" bestFit="1" customWidth="1"/>
    <col min="15356" max="15356" width="57.140625" style="336" bestFit="1" customWidth="1"/>
    <col min="15357" max="15357" width="9.140625" style="336"/>
    <col min="15358" max="15360" width="12.42578125" style="336" bestFit="1" customWidth="1"/>
    <col min="15361" max="15610" width="9.140625" style="336"/>
    <col min="15611" max="15611" width="3.42578125" style="336" bestFit="1" customWidth="1"/>
    <col min="15612" max="15612" width="57.140625" style="336" bestFit="1" customWidth="1"/>
    <col min="15613" max="15613" width="9.140625" style="336"/>
    <col min="15614" max="15616" width="12.42578125" style="336" bestFit="1" customWidth="1"/>
    <col min="15617" max="15866" width="9.140625" style="336"/>
    <col min="15867" max="15867" width="3.42578125" style="336" bestFit="1" customWidth="1"/>
    <col min="15868" max="15868" width="57.140625" style="336" bestFit="1" customWidth="1"/>
    <col min="15869" max="15869" width="9.140625" style="336"/>
    <col min="15870" max="15872" width="12.42578125" style="336" bestFit="1" customWidth="1"/>
    <col min="15873" max="16122" width="9.140625" style="336"/>
    <col min="16123" max="16123" width="3.42578125" style="336" bestFit="1" customWidth="1"/>
    <col min="16124" max="16124" width="57.140625" style="336" bestFit="1" customWidth="1"/>
    <col min="16125" max="16125" width="9.140625" style="336"/>
    <col min="16126" max="16128" width="12.42578125" style="336" bestFit="1" customWidth="1"/>
    <col min="16129" max="16384" width="9.140625" style="336"/>
  </cols>
  <sheetData>
    <row r="1" spans="1:9" ht="21" customHeight="1">
      <c r="A1" s="1475" t="s">
        <v>47</v>
      </c>
      <c r="B1" s="1475"/>
      <c r="C1" s="1475"/>
      <c r="D1" s="1475"/>
      <c r="E1" s="1475"/>
      <c r="F1" s="1475"/>
      <c r="G1" s="1475"/>
      <c r="H1" s="1475"/>
      <c r="I1" s="1475"/>
    </row>
    <row r="2" spans="1:9" ht="28.5" customHeight="1">
      <c r="A2" s="1481" t="s">
        <v>913</v>
      </c>
      <c r="B2" s="1481"/>
      <c r="C2" s="1481"/>
      <c r="D2" s="1481"/>
      <c r="E2" s="1481"/>
      <c r="F2" s="1481"/>
      <c r="G2" s="1481"/>
      <c r="H2" s="1477" t="s">
        <v>893</v>
      </c>
      <c r="I2" s="1477"/>
    </row>
    <row r="3" spans="1:9" ht="21" customHeight="1">
      <c r="A3" s="1482"/>
      <c r="B3" s="1482"/>
      <c r="C3" s="1482"/>
      <c r="D3" s="1482"/>
      <c r="E3" s="1482"/>
      <c r="F3" s="1482"/>
      <c r="G3" s="1482"/>
      <c r="H3" s="1476" t="s">
        <v>181</v>
      </c>
      <c r="I3" s="1476"/>
    </row>
    <row r="4" spans="1:9" ht="45.75" customHeight="1">
      <c r="A4" s="1478"/>
      <c r="B4" s="1478" t="s">
        <v>48</v>
      </c>
      <c r="C4" s="1478" t="s">
        <v>5</v>
      </c>
      <c r="D4" s="1480" t="s">
        <v>1173</v>
      </c>
      <c r="E4" s="1480"/>
      <c r="F4" s="1483" t="s">
        <v>1174</v>
      </c>
      <c r="G4" s="1484"/>
      <c r="H4" s="1483" t="s">
        <v>1252</v>
      </c>
      <c r="I4" s="1484"/>
    </row>
    <row r="5" spans="1:9" ht="34.5" customHeight="1">
      <c r="A5" s="1479"/>
      <c r="B5" s="1479"/>
      <c r="C5" s="1479"/>
      <c r="D5" s="331" t="s">
        <v>578</v>
      </c>
      <c r="E5" s="331" t="s">
        <v>255</v>
      </c>
      <c r="F5" s="757" t="s">
        <v>1235</v>
      </c>
      <c r="G5" s="757" t="s">
        <v>1779</v>
      </c>
      <c r="H5" s="757" t="s">
        <v>1235</v>
      </c>
      <c r="I5" s="757" t="s">
        <v>1243</v>
      </c>
    </row>
    <row r="6" spans="1:9">
      <c r="A6" s="74">
        <v>1</v>
      </c>
      <c r="B6" s="167" t="s">
        <v>369</v>
      </c>
      <c r="C6" s="74" t="s">
        <v>128</v>
      </c>
      <c r="D6" s="1985">
        <f>'F7-1'!C17</f>
        <v>9828.43</v>
      </c>
      <c r="E6" s="1985">
        <f>'F7-1'!D17</f>
        <v>9552.2990544310014</v>
      </c>
      <c r="F6" s="1985">
        <f>'F7-1'!E17</f>
        <v>11818.880000000001</v>
      </c>
      <c r="G6" s="1985">
        <f>'F7-1'!H17</f>
        <v>11184.842166431001</v>
      </c>
      <c r="H6" s="1985">
        <f>'F7-1'!I17</f>
        <v>13661.62</v>
      </c>
      <c r="I6" s="1985">
        <f>'F7-1'!J17</f>
        <v>12884.261786431001</v>
      </c>
    </row>
    <row r="7" spans="1:9">
      <c r="A7" s="74"/>
      <c r="B7" s="167" t="s">
        <v>590</v>
      </c>
      <c r="C7" s="74"/>
      <c r="D7" s="1986">
        <v>0</v>
      </c>
      <c r="E7" s="1986">
        <v>0</v>
      </c>
      <c r="F7" s="1986"/>
      <c r="G7" s="1986"/>
      <c r="H7" s="1986"/>
      <c r="I7" s="1986"/>
    </row>
    <row r="8" spans="1:9" ht="30">
      <c r="A8" s="74"/>
      <c r="B8" s="167" t="s">
        <v>592</v>
      </c>
      <c r="C8" s="74"/>
      <c r="D8" s="1986"/>
      <c r="E8" s="1986"/>
      <c r="F8" s="1986"/>
      <c r="G8" s="1986"/>
      <c r="H8" s="1986"/>
      <c r="I8" s="1986"/>
    </row>
    <row r="9" spans="1:9">
      <c r="A9" s="74"/>
      <c r="B9" s="167" t="s">
        <v>591</v>
      </c>
      <c r="C9" s="74"/>
      <c r="D9" s="1986"/>
      <c r="E9" s="1986"/>
      <c r="F9" s="1986"/>
      <c r="G9" s="1986"/>
      <c r="H9" s="1986"/>
      <c r="I9" s="1986"/>
    </row>
    <row r="10" spans="1:9">
      <c r="A10" s="74"/>
      <c r="B10" s="167" t="s">
        <v>610</v>
      </c>
      <c r="C10" s="74"/>
      <c r="D10" s="1986"/>
      <c r="E10" s="1986"/>
      <c r="F10" s="1986"/>
      <c r="G10" s="1986"/>
      <c r="H10" s="1986"/>
      <c r="I10" s="1986"/>
    </row>
    <row r="11" spans="1:9">
      <c r="A11" s="74"/>
      <c r="B11" s="167" t="s">
        <v>589</v>
      </c>
      <c r="C11" s="74"/>
      <c r="D11" s="1985">
        <f>D6</f>
        <v>9828.43</v>
      </c>
      <c r="E11" s="1985">
        <f>E6</f>
        <v>9552.2990544310014</v>
      </c>
      <c r="F11" s="1985">
        <f>F6</f>
        <v>11818.880000000001</v>
      </c>
      <c r="G11" s="1985">
        <f>G6</f>
        <v>11184.842166431001</v>
      </c>
      <c r="H11" s="1985">
        <f t="shared" ref="H11:I11" si="0">H6</f>
        <v>13661.62</v>
      </c>
      <c r="I11" s="1985">
        <f t="shared" si="0"/>
        <v>12884.261786431001</v>
      </c>
    </row>
    <row r="12" spans="1:9" ht="30">
      <c r="A12" s="74"/>
      <c r="B12" s="167" t="s">
        <v>558</v>
      </c>
      <c r="C12" s="74"/>
      <c r="D12" s="1986"/>
      <c r="E12" s="1986"/>
      <c r="F12" s="1986"/>
      <c r="G12" s="1986"/>
      <c r="H12" s="182"/>
      <c r="I12" s="182"/>
    </row>
    <row r="13" spans="1:9">
      <c r="A13" s="74">
        <v>2</v>
      </c>
      <c r="B13" s="180" t="s">
        <v>629</v>
      </c>
      <c r="C13" s="181" t="s">
        <v>117</v>
      </c>
      <c r="D13" s="1986"/>
      <c r="E13" s="1986"/>
      <c r="F13" s="1986"/>
      <c r="G13" s="1986"/>
      <c r="H13" s="182"/>
      <c r="I13" s="182"/>
    </row>
    <row r="14" spans="1:9">
      <c r="A14" s="74">
        <v>3</v>
      </c>
      <c r="B14" s="183" t="s">
        <v>642</v>
      </c>
      <c r="C14" s="181" t="s">
        <v>125</v>
      </c>
      <c r="D14" s="1987"/>
      <c r="E14" s="1987"/>
      <c r="F14" s="1987"/>
      <c r="G14" s="1987"/>
      <c r="H14" s="182"/>
      <c r="I14" s="182"/>
    </row>
    <row r="15" spans="1:9">
      <c r="A15" s="74">
        <v>4</v>
      </c>
      <c r="B15" s="167" t="s">
        <v>440</v>
      </c>
      <c r="C15" s="74" t="s">
        <v>116</v>
      </c>
      <c r="D15" s="1986"/>
      <c r="E15" s="1986"/>
      <c r="F15" s="1986"/>
      <c r="G15" s="1986"/>
      <c r="H15" s="182"/>
      <c r="I15" s="182"/>
    </row>
    <row r="16" spans="1:9">
      <c r="A16" s="184">
        <v>5</v>
      </c>
      <c r="B16" s="167" t="s">
        <v>380</v>
      </c>
      <c r="C16" s="74"/>
      <c r="D16" s="1986"/>
      <c r="E16" s="1986"/>
      <c r="F16" s="1986"/>
      <c r="G16" s="1986"/>
      <c r="H16" s="182"/>
      <c r="I16" s="182"/>
    </row>
    <row r="17" spans="1:9">
      <c r="A17" s="184">
        <v>6</v>
      </c>
      <c r="B17" s="183" t="s">
        <v>605</v>
      </c>
      <c r="C17" s="181"/>
      <c r="D17" s="1985">
        <f>D11</f>
        <v>9828.43</v>
      </c>
      <c r="E17" s="1985">
        <f t="shared" ref="E17:I17" si="1">E11</f>
        <v>9552.2990544310014</v>
      </c>
      <c r="F17" s="1985">
        <f t="shared" si="1"/>
        <v>11818.880000000001</v>
      </c>
      <c r="G17" s="1985">
        <f t="shared" si="1"/>
        <v>11184.842166431001</v>
      </c>
      <c r="H17" s="1985">
        <f t="shared" si="1"/>
        <v>13661.62</v>
      </c>
      <c r="I17" s="1985">
        <f t="shared" si="1"/>
        <v>12884.261786431001</v>
      </c>
    </row>
    <row r="18" spans="1:9" ht="15" customHeight="1">
      <c r="A18" s="1474" t="s">
        <v>607</v>
      </c>
      <c r="B18" s="1474"/>
      <c r="C18" s="1474"/>
      <c r="D18" s="1474"/>
      <c r="E18" s="1474"/>
      <c r="F18" s="1474"/>
      <c r="G18" s="1474"/>
      <c r="H18" s="1474"/>
      <c r="I18" s="1474"/>
    </row>
    <row r="19" spans="1:9">
      <c r="A19" s="190" t="s">
        <v>608</v>
      </c>
      <c r="B19" s="185"/>
      <c r="C19" s="185"/>
      <c r="D19" s="333"/>
    </row>
    <row r="20" spans="1:9" ht="15" customHeight="1">
      <c r="A20" s="1485" t="s">
        <v>611</v>
      </c>
      <c r="B20" s="1485"/>
      <c r="C20" s="1485"/>
      <c r="D20" s="1485"/>
      <c r="E20" s="1485"/>
      <c r="F20" s="1485"/>
      <c r="G20" s="1485"/>
      <c r="H20" s="1485"/>
      <c r="I20" s="1485"/>
    </row>
    <row r="21" spans="1:9">
      <c r="A21" s="336" t="s">
        <v>609</v>
      </c>
    </row>
    <row r="23" spans="1:9" ht="15" customHeight="1">
      <c r="A23" s="1486" t="s">
        <v>914</v>
      </c>
      <c r="B23" s="1486"/>
      <c r="C23" s="1486"/>
      <c r="D23" s="1486"/>
      <c r="E23" s="1486"/>
      <c r="F23" s="1486"/>
      <c r="G23" s="1486"/>
      <c r="H23" s="336" t="s">
        <v>345</v>
      </c>
    </row>
    <row r="24" spans="1:9" ht="29.25" customHeight="1">
      <c r="B24" s="1478" t="s">
        <v>48</v>
      </c>
      <c r="D24" s="1487" t="s">
        <v>1346</v>
      </c>
      <c r="E24" s="1487"/>
      <c r="F24" s="1487" t="s">
        <v>1173</v>
      </c>
      <c r="G24" s="1487"/>
      <c r="H24" s="1487" t="s">
        <v>1174</v>
      </c>
      <c r="I24" s="1487"/>
    </row>
    <row r="25" spans="1:9">
      <c r="B25" s="1479"/>
      <c r="D25" s="335" t="s">
        <v>245</v>
      </c>
      <c r="E25" s="335" t="s">
        <v>246</v>
      </c>
      <c r="F25" s="764" t="s">
        <v>245</v>
      </c>
      <c r="G25" s="764" t="s">
        <v>246</v>
      </c>
      <c r="H25" s="764" t="s">
        <v>245</v>
      </c>
      <c r="I25" s="764" t="s">
        <v>246</v>
      </c>
    </row>
    <row r="26" spans="1:9">
      <c r="B26" s="187" t="s">
        <v>234</v>
      </c>
      <c r="D26" s="103"/>
      <c r="E26" s="103"/>
      <c r="F26" s="103"/>
      <c r="G26" s="103"/>
      <c r="H26" s="103"/>
      <c r="I26" s="103"/>
    </row>
    <row r="27" spans="1:9">
      <c r="B27" s="188" t="s">
        <v>247</v>
      </c>
      <c r="D27" s="103"/>
      <c r="E27" s="270">
        <f>E17*70%</f>
        <v>6686.6093381017008</v>
      </c>
      <c r="F27" s="103"/>
      <c r="G27" s="270">
        <f>G17*70%</f>
        <v>7829.3895165017002</v>
      </c>
      <c r="H27" s="103"/>
      <c r="I27" s="270">
        <f>I17*80%</f>
        <v>10307.409429144802</v>
      </c>
    </row>
    <row r="28" spans="1:9">
      <c r="B28" s="188" t="s">
        <v>248</v>
      </c>
      <c r="D28" s="103"/>
      <c r="E28" s="103"/>
      <c r="F28" s="103"/>
      <c r="G28" s="103"/>
      <c r="H28" s="103"/>
      <c r="I28" s="103"/>
    </row>
    <row r="29" spans="1:9">
      <c r="B29" s="188" t="s">
        <v>249</v>
      </c>
      <c r="D29" s="103"/>
      <c r="E29" s="103"/>
      <c r="F29" s="103"/>
      <c r="G29" s="103"/>
      <c r="H29" s="103"/>
      <c r="I29" s="103"/>
    </row>
    <row r="30" spans="1:9">
      <c r="B30" s="187" t="s">
        <v>250</v>
      </c>
      <c r="D30" s="787"/>
      <c r="E30" s="788">
        <f>SUM(E27:E29)</f>
        <v>6686.6093381017008</v>
      </c>
      <c r="F30" s="788"/>
      <c r="G30" s="788">
        <f>SUM(G27:G29)</f>
        <v>7829.3895165017002</v>
      </c>
      <c r="H30" s="788"/>
      <c r="I30" s="788">
        <f>SUM(I27:I29)</f>
        <v>10307.409429144802</v>
      </c>
    </row>
    <row r="31" spans="1:9">
      <c r="B31" s="104" t="s">
        <v>244</v>
      </c>
      <c r="D31" s="103"/>
      <c r="E31" s="103"/>
      <c r="F31" s="103"/>
      <c r="G31" s="103"/>
      <c r="H31" s="103"/>
      <c r="I31" s="103"/>
    </row>
    <row r="32" spans="1:9">
      <c r="B32" s="188" t="s">
        <v>251</v>
      </c>
      <c r="D32" s="103"/>
      <c r="E32" s="103"/>
      <c r="F32" s="103"/>
      <c r="G32" s="103"/>
      <c r="H32" s="103"/>
      <c r="I32" s="103"/>
    </row>
    <row r="33" spans="2:9">
      <c r="B33" s="188" t="s">
        <v>252</v>
      </c>
      <c r="D33" s="103"/>
      <c r="E33" s="270">
        <f>E17*30%</f>
        <v>2865.6897163293002</v>
      </c>
      <c r="F33" s="103"/>
      <c r="G33" s="270">
        <f>G17*30%</f>
        <v>3355.4526499293002</v>
      </c>
      <c r="H33" s="103"/>
      <c r="I33" s="270">
        <f>I17*20%</f>
        <v>2576.8523572862005</v>
      </c>
    </row>
    <row r="34" spans="2:9">
      <c r="B34" s="170" t="s">
        <v>253</v>
      </c>
      <c r="D34" s="103"/>
      <c r="E34" s="788">
        <f>SUM(E32:E33)</f>
        <v>2865.6897163293002</v>
      </c>
      <c r="F34" s="787"/>
      <c r="G34" s="788">
        <f>SUM(G32:G33)</f>
        <v>3355.4526499293002</v>
      </c>
      <c r="H34" s="787"/>
      <c r="I34" s="788">
        <f>SUM(I32:I33)</f>
        <v>2576.8523572862005</v>
      </c>
    </row>
    <row r="35" spans="2:9">
      <c r="B35" s="170" t="s">
        <v>397</v>
      </c>
      <c r="D35" s="103"/>
      <c r="E35" s="788">
        <f>E30+E34</f>
        <v>9552.2990544310014</v>
      </c>
      <c r="F35" s="103"/>
      <c r="G35" s="788">
        <f>G30+G34</f>
        <v>11184.842166431001</v>
      </c>
      <c r="H35" s="103"/>
      <c r="I35" s="788">
        <f>I30+I34</f>
        <v>12884.261786431001</v>
      </c>
    </row>
    <row r="36" spans="2:9">
      <c r="B36" s="167" t="s">
        <v>254</v>
      </c>
      <c r="D36" s="103"/>
      <c r="E36" s="1984" t="s">
        <v>2598</v>
      </c>
      <c r="F36" s="103"/>
      <c r="G36" s="1984" t="s">
        <v>2598</v>
      </c>
      <c r="H36" s="103"/>
      <c r="I36" s="1984" t="s">
        <v>2600</v>
      </c>
    </row>
    <row r="37" spans="2:9">
      <c r="B37" s="189" t="s">
        <v>717</v>
      </c>
    </row>
    <row r="40" spans="2:9" ht="16.5">
      <c r="G40" s="1341" t="s">
        <v>427</v>
      </c>
      <c r="H40" s="1341"/>
      <c r="I40" s="1341"/>
    </row>
  </sheetData>
  <mergeCells count="18">
    <mergeCell ref="B24:B25"/>
    <mergeCell ref="A20:I20"/>
    <mergeCell ref="A23:G23"/>
    <mergeCell ref="F24:G24"/>
    <mergeCell ref="G40:I40"/>
    <mergeCell ref="D24:E24"/>
    <mergeCell ref="H24:I24"/>
    <mergeCell ref="A18:I18"/>
    <mergeCell ref="A1:I1"/>
    <mergeCell ref="H3:I3"/>
    <mergeCell ref="H2:I2"/>
    <mergeCell ref="B4:B5"/>
    <mergeCell ref="A4:A5"/>
    <mergeCell ref="C4:C5"/>
    <mergeCell ref="D4:E4"/>
    <mergeCell ref="A2:G3"/>
    <mergeCell ref="F4:G4"/>
    <mergeCell ref="H4:I4"/>
  </mergeCells>
  <pageMargins left="0.24" right="0.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E122"/>
  <sheetViews>
    <sheetView showGridLines="0" view="pageBreakPreview" topLeftCell="A10" zoomScale="80" zoomScaleNormal="100" zoomScaleSheetLayoutView="80" workbookViewId="0">
      <selection activeCell="B13" sqref="B13"/>
    </sheetView>
  </sheetViews>
  <sheetFormatPr defaultColWidth="9.140625" defaultRowHeight="15"/>
  <cols>
    <col min="1" max="1" width="69.85546875" style="143" customWidth="1"/>
    <col min="2" max="3" width="26.42578125" style="143" customWidth="1"/>
    <col min="4" max="4" width="24.140625" style="143" customWidth="1"/>
    <col min="5" max="16384" width="9.140625" style="70"/>
  </cols>
  <sheetData>
    <row r="1" spans="1:4" ht="21" customHeight="1">
      <c r="A1" s="207" t="str">
        <f>'F1'!A1</f>
        <v xml:space="preserve">BIHAR STATE POWER TRANSMISSION COMPANY LIMITED </v>
      </c>
      <c r="D1" s="208"/>
    </row>
    <row r="2" spans="1:4" ht="30">
      <c r="A2" s="763" t="s">
        <v>1786</v>
      </c>
      <c r="B2" s="1488" t="s">
        <v>892</v>
      </c>
      <c r="C2" s="1488"/>
      <c r="D2" s="1488"/>
    </row>
    <row r="3" spans="1:4" ht="27" customHeight="1">
      <c r="A3" s="1487" t="s">
        <v>48</v>
      </c>
      <c r="B3" s="1487" t="s">
        <v>193</v>
      </c>
      <c r="C3" s="1487" t="s">
        <v>194</v>
      </c>
      <c r="D3" s="70"/>
    </row>
    <row r="4" spans="1:4">
      <c r="A4" s="1487"/>
      <c r="B4" s="1487"/>
      <c r="C4" s="1487"/>
      <c r="D4" s="70"/>
    </row>
    <row r="5" spans="1:4" ht="24.75" customHeight="1">
      <c r="A5" s="200" t="s">
        <v>192</v>
      </c>
      <c r="B5" s="1487"/>
      <c r="C5" s="1487"/>
      <c r="D5" s="70"/>
    </row>
    <row r="6" spans="1:4">
      <c r="A6" s="200"/>
      <c r="B6" s="1487"/>
      <c r="C6" s="1487"/>
      <c r="D6" s="70"/>
    </row>
    <row r="7" spans="1:4" ht="48.75" customHeight="1">
      <c r="A7" s="199" t="s">
        <v>195</v>
      </c>
      <c r="B7" s="199" t="s">
        <v>196</v>
      </c>
      <c r="C7" s="199" t="s">
        <v>915</v>
      </c>
      <c r="D7" s="70"/>
    </row>
    <row r="8" spans="1:4" ht="34.5" customHeight="1">
      <c r="A8" s="199" t="s">
        <v>197</v>
      </c>
      <c r="B8" s="1501" t="s">
        <v>968</v>
      </c>
      <c r="C8" s="1502"/>
      <c r="D8" s="1503"/>
    </row>
    <row r="9" spans="1:4" ht="21" customHeight="1">
      <c r="A9" s="199"/>
      <c r="B9" s="1504"/>
      <c r="C9" s="1505"/>
      <c r="D9" s="1506"/>
    </row>
    <row r="10" spans="1:4" s="766" customFormat="1" ht="21" customHeight="1">
      <c r="A10" s="790"/>
      <c r="B10" s="793" t="s">
        <v>1173</v>
      </c>
      <c r="C10" s="793" t="s">
        <v>1174</v>
      </c>
      <c r="D10" s="772" t="s">
        <v>1252</v>
      </c>
    </row>
    <row r="11" spans="1:4" ht="32.25" customHeight="1">
      <c r="A11" s="1489" t="s">
        <v>198</v>
      </c>
      <c r="B11" s="1490"/>
      <c r="C11" s="1490"/>
      <c r="D11" s="1491"/>
    </row>
    <row r="12" spans="1:4" ht="29.25" customHeight="1">
      <c r="A12" s="199" t="s">
        <v>199</v>
      </c>
      <c r="B12" s="70"/>
      <c r="C12" s="766"/>
      <c r="D12" s="199"/>
    </row>
    <row r="13" spans="1:4" ht="21" customHeight="1">
      <c r="A13" s="199" t="s">
        <v>346</v>
      </c>
      <c r="B13" s="789">
        <f>'F7-1'!D17-B17</f>
        <v>9494.3190544310019</v>
      </c>
      <c r="C13" s="789">
        <f>'F7-1'!E17-C17</f>
        <v>11716.586888000002</v>
      </c>
      <c r="D13" s="789">
        <f>'F7-1'!I17-D17</f>
        <v>13534.250380000001</v>
      </c>
    </row>
    <row r="14" spans="1:4" ht="21" customHeight="1" thickBot="1">
      <c r="A14" s="201" t="s">
        <v>347</v>
      </c>
      <c r="B14" s="202">
        <f>SUM(B13:B13)</f>
        <v>9494.3190544310019</v>
      </c>
      <c r="C14" s="202"/>
      <c r="D14" s="202">
        <f>SUM(D12:D13)</f>
        <v>13534.250380000001</v>
      </c>
    </row>
    <row r="15" spans="1:4" ht="21" customHeight="1">
      <c r="A15" s="1498" t="s">
        <v>200</v>
      </c>
      <c r="B15" s="1499"/>
      <c r="C15" s="1499"/>
      <c r="D15" s="1500"/>
    </row>
    <row r="16" spans="1:4" ht="30" customHeight="1">
      <c r="A16" s="199" t="s">
        <v>199</v>
      </c>
      <c r="B16" s="203"/>
      <c r="C16" s="203"/>
      <c r="D16" s="199"/>
    </row>
    <row r="17" spans="1:4" ht="21" customHeight="1">
      <c r="A17" s="199" t="s">
        <v>346</v>
      </c>
      <c r="B17" s="791">
        <f>'F5-8'!E11</f>
        <v>57.98</v>
      </c>
      <c r="C17" s="1027">
        <f>'F5-8'!I11</f>
        <v>102.29311199999999</v>
      </c>
      <c r="D17" s="1028">
        <f>'F5-8'!K11</f>
        <v>127.36961999999998</v>
      </c>
    </row>
    <row r="18" spans="1:4" ht="26.25" customHeight="1" thickBot="1">
      <c r="A18" s="204" t="s">
        <v>348</v>
      </c>
      <c r="B18" s="202">
        <f>SUM(B16:B17)</f>
        <v>57.98</v>
      </c>
      <c r="C18" s="202"/>
      <c r="D18" s="202">
        <f>SUM(D16:D17)</f>
        <v>127.36961999999998</v>
      </c>
    </row>
    <row r="19" spans="1:4" ht="21" customHeight="1">
      <c r="A19" s="199" t="s">
        <v>631</v>
      </c>
      <c r="B19" s="199"/>
      <c r="C19" s="199"/>
      <c r="D19" s="199"/>
    </row>
    <row r="20" spans="1:4" ht="21" customHeight="1">
      <c r="A20" s="1489" t="s">
        <v>201</v>
      </c>
      <c r="B20" s="1490"/>
      <c r="C20" s="1490"/>
      <c r="D20" s="1491"/>
    </row>
    <row r="21" spans="1:4" ht="30">
      <c r="A21" s="199" t="s">
        <v>199</v>
      </c>
      <c r="B21" s="199"/>
      <c r="C21" s="199"/>
      <c r="D21" s="199"/>
    </row>
    <row r="22" spans="1:4" ht="21" customHeight="1">
      <c r="A22" s="199" t="s">
        <v>346</v>
      </c>
      <c r="B22" s="199"/>
      <c r="C22" s="199"/>
      <c r="D22" s="199"/>
    </row>
    <row r="23" spans="1:4" ht="38.25" customHeight="1" thickBot="1">
      <c r="A23" s="205" t="s">
        <v>349</v>
      </c>
      <c r="B23" s="792">
        <f>B13+B17</f>
        <v>9552.2990544310014</v>
      </c>
      <c r="C23" s="792">
        <f>C13+C17</f>
        <v>11818.880000000001</v>
      </c>
      <c r="D23" s="792">
        <f>D13+D17</f>
        <v>13661.62</v>
      </c>
    </row>
    <row r="24" spans="1:4" ht="21" customHeight="1" thickTop="1">
      <c r="A24" s="1492"/>
      <c r="B24" s="1493"/>
      <c r="C24" s="1493"/>
      <c r="D24" s="1494"/>
    </row>
    <row r="25" spans="1:4" ht="21" customHeight="1">
      <c r="A25" s="1495" t="s">
        <v>202</v>
      </c>
      <c r="B25" s="1496"/>
      <c r="C25" s="1496"/>
      <c r="D25" s="1497"/>
    </row>
    <row r="26" spans="1:4" ht="21" customHeight="1">
      <c r="A26" s="199" t="s">
        <v>630</v>
      </c>
      <c r="B26" s="1501" t="s">
        <v>968</v>
      </c>
      <c r="C26" s="1502"/>
      <c r="D26" s="1503"/>
    </row>
    <row r="27" spans="1:4" ht="21" customHeight="1">
      <c r="A27" s="206" t="s">
        <v>203</v>
      </c>
      <c r="B27" s="1507"/>
      <c r="C27" s="1508"/>
      <c r="D27" s="1509"/>
    </row>
    <row r="28" spans="1:4" ht="21" customHeight="1">
      <c r="A28" s="206" t="s">
        <v>203</v>
      </c>
      <c r="B28" s="1507"/>
      <c r="C28" s="1508"/>
      <c r="D28" s="1509"/>
    </row>
    <row r="29" spans="1:4" ht="21" customHeight="1">
      <c r="A29" s="206" t="s">
        <v>204</v>
      </c>
      <c r="B29" s="1507"/>
      <c r="C29" s="1508"/>
      <c r="D29" s="1509"/>
    </row>
    <row r="30" spans="1:4" ht="21" customHeight="1">
      <c r="A30" s="199" t="s">
        <v>205</v>
      </c>
      <c r="B30" s="1507"/>
      <c r="C30" s="1508"/>
      <c r="D30" s="1509"/>
    </row>
    <row r="31" spans="1:4" ht="21" customHeight="1">
      <c r="A31" s="199"/>
      <c r="B31" s="1507"/>
      <c r="C31" s="1508"/>
      <c r="D31" s="1509"/>
    </row>
    <row r="32" spans="1:4" ht="21" customHeight="1">
      <c r="A32" s="199" t="s">
        <v>206</v>
      </c>
      <c r="B32" s="1507"/>
      <c r="C32" s="1508"/>
      <c r="D32" s="1509"/>
    </row>
    <row r="33" spans="1:5" ht="21" customHeight="1">
      <c r="A33" s="199" t="s">
        <v>207</v>
      </c>
      <c r="B33" s="1507"/>
      <c r="C33" s="1508"/>
      <c r="D33" s="1509"/>
    </row>
    <row r="34" spans="1:5" ht="51.75" customHeight="1">
      <c r="A34" s="200" t="s">
        <v>917</v>
      </c>
      <c r="B34" s="1507"/>
      <c r="C34" s="1508"/>
      <c r="D34" s="1509"/>
    </row>
    <row r="35" spans="1:5" ht="38.25" customHeight="1">
      <c r="A35" s="200" t="s">
        <v>916</v>
      </c>
      <c r="B35" s="1504"/>
      <c r="C35" s="1505"/>
      <c r="D35" s="1506"/>
    </row>
    <row r="36" spans="1:5" ht="21" customHeight="1">
      <c r="A36" s="192"/>
      <c r="B36" s="192"/>
      <c r="C36" s="192"/>
      <c r="D36" s="192"/>
    </row>
    <row r="37" spans="1:5" ht="21" customHeight="1">
      <c r="A37" s="192"/>
      <c r="B37" s="1514" t="s">
        <v>427</v>
      </c>
      <c r="C37" s="1514"/>
      <c r="D37" s="1514"/>
    </row>
    <row r="38" spans="1:5" ht="21" customHeight="1">
      <c r="A38" s="192"/>
    </row>
    <row r="39" spans="1:5" ht="21" hidden="1" customHeight="1">
      <c r="A39" s="192"/>
    </row>
    <row r="40" spans="1:5" ht="21" hidden="1" customHeight="1">
      <c r="A40" s="193"/>
      <c r="B40" s="193"/>
      <c r="C40" s="193"/>
      <c r="D40" s="193"/>
      <c r="E40" s="194"/>
    </row>
    <row r="41" spans="1:5" ht="21" hidden="1" customHeight="1">
      <c r="A41" s="195" t="s">
        <v>364</v>
      </c>
      <c r="B41" s="1510" t="s">
        <v>381</v>
      </c>
      <c r="C41" s="1511"/>
      <c r="D41" s="1512"/>
      <c r="E41" s="1513"/>
    </row>
    <row r="42" spans="1:5" ht="21" hidden="1" customHeight="1">
      <c r="A42" s="196" t="s">
        <v>368</v>
      </c>
      <c r="B42" s="1515">
        <v>18.3</v>
      </c>
      <c r="C42" s="1516"/>
      <c r="D42" s="1517"/>
      <c r="E42" s="1518"/>
    </row>
    <row r="43" spans="1:5" ht="21" hidden="1" customHeight="1">
      <c r="A43" s="196" t="s">
        <v>355</v>
      </c>
      <c r="B43" s="1510"/>
      <c r="C43" s="1511"/>
      <c r="D43" s="1512"/>
      <c r="E43" s="1513"/>
    </row>
    <row r="44" spans="1:5" ht="21" hidden="1" customHeight="1">
      <c r="A44" s="196" t="s">
        <v>356</v>
      </c>
      <c r="B44" s="1510"/>
      <c r="C44" s="1511"/>
      <c r="D44" s="1512"/>
      <c r="E44" s="1513"/>
    </row>
    <row r="45" spans="1:5" ht="21" hidden="1" customHeight="1">
      <c r="A45" s="196" t="s">
        <v>357</v>
      </c>
      <c r="B45" s="1510"/>
      <c r="C45" s="1511"/>
      <c r="D45" s="1512"/>
      <c r="E45" s="1513"/>
    </row>
    <row r="46" spans="1:5" ht="21" hidden="1" customHeight="1"/>
    <row r="47" spans="1:5" ht="21" hidden="1" customHeight="1"/>
    <row r="48" spans="1:5" ht="21" hidden="1" customHeight="1"/>
    <row r="49" ht="21" hidden="1" customHeight="1"/>
    <row r="50" ht="21" hidden="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sheetData>
  <mergeCells count="17">
    <mergeCell ref="B26:D35"/>
    <mergeCell ref="B43:E43"/>
    <mergeCell ref="B44:E44"/>
    <mergeCell ref="B45:E45"/>
    <mergeCell ref="B37:D37"/>
    <mergeCell ref="B41:E41"/>
    <mergeCell ref="B42:E42"/>
    <mergeCell ref="B2:D2"/>
    <mergeCell ref="A20:D20"/>
    <mergeCell ref="A24:D24"/>
    <mergeCell ref="A25:D25"/>
    <mergeCell ref="A11:D11"/>
    <mergeCell ref="A15:D15"/>
    <mergeCell ref="A3:A4"/>
    <mergeCell ref="B3:B6"/>
    <mergeCell ref="C3:C6"/>
    <mergeCell ref="B8:D9"/>
  </mergeCells>
  <printOptions horizontalCentered="1"/>
  <pageMargins left="0.22" right="0.32" top="0.74803149606299202" bottom="0.74803149606299202" header="0.31496062992126" footer="0.31496062992126"/>
  <pageSetup paperSize="9" scale="67"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146"/>
  <sheetViews>
    <sheetView view="pageBreakPreview" zoomScale="60" zoomScaleNormal="70" workbookViewId="0">
      <selection activeCell="B1" sqref="B1"/>
    </sheetView>
  </sheetViews>
  <sheetFormatPr defaultColWidth="16.140625" defaultRowHeight="15"/>
  <cols>
    <col min="1" max="1" width="3.140625" style="323" customWidth="1"/>
    <col min="2" max="2" width="4.7109375" style="323" customWidth="1"/>
    <col min="3" max="3" width="83.5703125" style="1091" customWidth="1"/>
    <col min="4" max="4" width="18.5703125" style="469" customWidth="1"/>
    <col min="5" max="5" width="16.140625" style="323"/>
    <col min="6" max="6" width="16.140625" style="469"/>
    <col min="7" max="7" width="16.140625" style="323"/>
    <col min="8" max="8" width="29" style="323" customWidth="1"/>
    <col min="9" max="9" width="59.140625" style="323" customWidth="1"/>
    <col min="10" max="10" width="16.140625" style="323"/>
    <col min="11" max="11" width="21.140625" style="323" customWidth="1"/>
    <col min="12" max="16384" width="16.140625" style="323"/>
  </cols>
  <sheetData>
    <row r="1" spans="2:11" ht="30">
      <c r="B1" s="1081" t="s">
        <v>2326</v>
      </c>
      <c r="C1" s="1081" t="s">
        <v>2327</v>
      </c>
      <c r="D1" s="1081" t="s">
        <v>2328</v>
      </c>
      <c r="E1" s="1081" t="s">
        <v>213</v>
      </c>
      <c r="F1" s="1081" t="s">
        <v>2329</v>
      </c>
      <c r="G1" s="1081" t="s">
        <v>2330</v>
      </c>
      <c r="H1" s="1081" t="s">
        <v>2331</v>
      </c>
      <c r="I1" s="1081" t="s">
        <v>2332</v>
      </c>
      <c r="J1" s="1081" t="s">
        <v>2333</v>
      </c>
      <c r="K1" s="1081" t="s">
        <v>1063</v>
      </c>
    </row>
    <row r="2" spans="2:11">
      <c r="B2" s="1081">
        <v>1</v>
      </c>
      <c r="C2" s="1082" t="s">
        <v>2334</v>
      </c>
      <c r="D2" s="1081" t="s">
        <v>2299</v>
      </c>
      <c r="E2" s="1081" t="s">
        <v>1042</v>
      </c>
      <c r="F2" s="1083">
        <v>76.569999999999993</v>
      </c>
      <c r="G2" s="1084">
        <v>42083</v>
      </c>
      <c r="H2" s="1084">
        <v>42541</v>
      </c>
      <c r="I2" s="1081" t="s">
        <v>2335</v>
      </c>
      <c r="J2" s="1083">
        <v>105.4</v>
      </c>
      <c r="K2" s="1081" t="s">
        <v>1064</v>
      </c>
    </row>
    <row r="3" spans="2:11">
      <c r="B3" s="1081">
        <v>2</v>
      </c>
      <c r="C3" s="1082" t="s">
        <v>2336</v>
      </c>
      <c r="D3" s="1081" t="s">
        <v>1021</v>
      </c>
      <c r="E3" s="1521" t="s">
        <v>1042</v>
      </c>
      <c r="F3" s="1522">
        <v>79.239999999999995</v>
      </c>
      <c r="G3" s="1521" t="s">
        <v>1042</v>
      </c>
      <c r="H3" s="1523">
        <v>42449</v>
      </c>
      <c r="I3" s="1081" t="s">
        <v>2337</v>
      </c>
      <c r="J3" s="1522">
        <v>81.69</v>
      </c>
      <c r="K3" s="1081" t="s">
        <v>1064</v>
      </c>
    </row>
    <row r="4" spans="2:11">
      <c r="B4" s="1081">
        <v>3</v>
      </c>
      <c r="C4" s="1082" t="s">
        <v>2338</v>
      </c>
      <c r="D4" s="1081" t="s">
        <v>1021</v>
      </c>
      <c r="E4" s="1521"/>
      <c r="F4" s="1522"/>
      <c r="G4" s="1521"/>
      <c r="H4" s="1523"/>
      <c r="I4" s="1081" t="s">
        <v>2339</v>
      </c>
      <c r="J4" s="1522"/>
      <c r="K4" s="1081" t="s">
        <v>1064</v>
      </c>
    </row>
    <row r="5" spans="2:11" ht="30">
      <c r="B5" s="1081">
        <v>4</v>
      </c>
      <c r="C5" s="1082" t="s">
        <v>2340</v>
      </c>
      <c r="D5" s="1081" t="s">
        <v>1021</v>
      </c>
      <c r="E5" s="1521"/>
      <c r="F5" s="1522"/>
      <c r="G5" s="1521"/>
      <c r="H5" s="1523"/>
      <c r="I5" s="1081" t="s">
        <v>2341</v>
      </c>
      <c r="J5" s="1522"/>
      <c r="K5" s="1081" t="s">
        <v>1064</v>
      </c>
    </row>
    <row r="6" spans="2:11" ht="30">
      <c r="B6" s="1081">
        <v>5</v>
      </c>
      <c r="C6" s="1082" t="s">
        <v>2342</v>
      </c>
      <c r="D6" s="1081" t="s">
        <v>1021</v>
      </c>
      <c r="E6" s="1521"/>
      <c r="F6" s="1522"/>
      <c r="G6" s="1521"/>
      <c r="H6" s="1523"/>
      <c r="I6" s="1081" t="s">
        <v>2343</v>
      </c>
      <c r="J6" s="1522"/>
      <c r="K6" s="1081" t="s">
        <v>1064</v>
      </c>
    </row>
    <row r="7" spans="2:11" ht="30">
      <c r="B7" s="1081">
        <v>6</v>
      </c>
      <c r="C7" s="1082" t="s">
        <v>2344</v>
      </c>
      <c r="D7" s="1081" t="s">
        <v>1021</v>
      </c>
      <c r="E7" s="1521" t="s">
        <v>1043</v>
      </c>
      <c r="F7" s="1520">
        <v>41.3</v>
      </c>
      <c r="G7" s="1523">
        <v>42078</v>
      </c>
      <c r="H7" s="1523">
        <v>42444</v>
      </c>
      <c r="I7" s="1081" t="s">
        <v>2345</v>
      </c>
      <c r="J7" s="1520">
        <v>44.21</v>
      </c>
      <c r="K7" s="1081" t="s">
        <v>1064</v>
      </c>
    </row>
    <row r="8" spans="2:11" ht="30">
      <c r="B8" s="1081">
        <v>7</v>
      </c>
      <c r="C8" s="1082" t="s">
        <v>2346</v>
      </c>
      <c r="D8" s="1081" t="s">
        <v>1021</v>
      </c>
      <c r="E8" s="1521"/>
      <c r="F8" s="1520"/>
      <c r="G8" s="1523"/>
      <c r="H8" s="1523"/>
      <c r="I8" s="1081" t="s">
        <v>2347</v>
      </c>
      <c r="J8" s="1520"/>
      <c r="K8" s="1081" t="s">
        <v>1064</v>
      </c>
    </row>
    <row r="9" spans="2:11" ht="30">
      <c r="B9" s="1081">
        <v>8</v>
      </c>
      <c r="C9" s="1082" t="s">
        <v>2348</v>
      </c>
      <c r="D9" s="1081" t="s">
        <v>1021</v>
      </c>
      <c r="E9" s="1521"/>
      <c r="F9" s="1520"/>
      <c r="G9" s="1523"/>
      <c r="H9" s="1523"/>
      <c r="I9" s="1081" t="s">
        <v>2349</v>
      </c>
      <c r="J9" s="1520"/>
      <c r="K9" s="1081" t="s">
        <v>1064</v>
      </c>
    </row>
    <row r="10" spans="2:11" ht="30">
      <c r="B10" s="1081">
        <v>9</v>
      </c>
      <c r="C10" s="1082" t="s">
        <v>2350</v>
      </c>
      <c r="D10" s="1081" t="s">
        <v>1021</v>
      </c>
      <c r="E10" s="1081" t="s">
        <v>1044</v>
      </c>
      <c r="F10" s="1085">
        <v>23.51</v>
      </c>
      <c r="G10" s="1086">
        <v>42403</v>
      </c>
      <c r="H10" s="1084">
        <v>42769</v>
      </c>
      <c r="I10" s="1081" t="s">
        <v>2351</v>
      </c>
      <c r="J10" s="1083">
        <v>25.53</v>
      </c>
      <c r="K10" s="1081" t="s">
        <v>1064</v>
      </c>
    </row>
    <row r="11" spans="2:11" ht="60">
      <c r="B11" s="1081">
        <v>10</v>
      </c>
      <c r="C11" s="1082" t="s">
        <v>2352</v>
      </c>
      <c r="D11" s="1081" t="s">
        <v>2299</v>
      </c>
      <c r="E11" s="1081" t="s">
        <v>1045</v>
      </c>
      <c r="F11" s="1083">
        <v>10.65</v>
      </c>
      <c r="G11" s="1086">
        <v>42045</v>
      </c>
      <c r="H11" s="1084">
        <v>42225</v>
      </c>
      <c r="I11" s="1081" t="s">
        <v>2353</v>
      </c>
      <c r="J11" s="1085">
        <v>15.21</v>
      </c>
      <c r="K11" s="1081" t="s">
        <v>1064</v>
      </c>
    </row>
    <row r="12" spans="2:11" ht="60">
      <c r="B12" s="1081">
        <v>11</v>
      </c>
      <c r="C12" s="1082" t="s">
        <v>2354</v>
      </c>
      <c r="D12" s="1081" t="s">
        <v>1021</v>
      </c>
      <c r="E12" s="1081" t="s">
        <v>1046</v>
      </c>
      <c r="F12" s="1083">
        <v>73.239999999999995</v>
      </c>
      <c r="G12" s="1087">
        <v>42046</v>
      </c>
      <c r="H12" s="1081" t="s">
        <v>2355</v>
      </c>
      <c r="I12" s="1081" t="s">
        <v>2356</v>
      </c>
      <c r="J12" s="1085">
        <v>78.88</v>
      </c>
      <c r="K12" s="1081" t="s">
        <v>1064</v>
      </c>
    </row>
    <row r="13" spans="2:11" ht="45">
      <c r="B13" s="1081">
        <v>12</v>
      </c>
      <c r="C13" s="1082" t="s">
        <v>1013</v>
      </c>
      <c r="D13" s="1081" t="s">
        <v>1021</v>
      </c>
      <c r="E13" s="1081" t="s">
        <v>1030</v>
      </c>
      <c r="F13" s="1085">
        <v>80.599999999999994</v>
      </c>
      <c r="G13" s="1087">
        <v>42084</v>
      </c>
      <c r="H13" s="1087">
        <v>42449</v>
      </c>
      <c r="I13" s="1087" t="s">
        <v>2357</v>
      </c>
      <c r="J13" s="1085">
        <v>63.84</v>
      </c>
      <c r="K13" s="1081" t="s">
        <v>1064</v>
      </c>
    </row>
    <row r="14" spans="2:11" ht="60">
      <c r="B14" s="1081">
        <v>13</v>
      </c>
      <c r="C14" s="1082" t="s">
        <v>1014</v>
      </c>
      <c r="D14" s="1081" t="s">
        <v>1021</v>
      </c>
      <c r="E14" s="1081" t="s">
        <v>1047</v>
      </c>
      <c r="F14" s="1085">
        <v>91.91</v>
      </c>
      <c r="G14" s="1087">
        <v>42228</v>
      </c>
      <c r="H14" s="1087">
        <v>42593</v>
      </c>
      <c r="I14" s="1081" t="s">
        <v>2358</v>
      </c>
      <c r="J14" s="1085">
        <v>105.07</v>
      </c>
      <c r="K14" s="1081" t="s">
        <v>1064</v>
      </c>
    </row>
    <row r="15" spans="2:11" ht="30">
      <c r="B15" s="1081">
        <v>14</v>
      </c>
      <c r="C15" s="1082" t="s">
        <v>2359</v>
      </c>
      <c r="D15" s="1081" t="s">
        <v>1021</v>
      </c>
      <c r="E15" s="1081" t="s">
        <v>1032</v>
      </c>
      <c r="F15" s="1085">
        <v>26.19</v>
      </c>
      <c r="G15" s="1087">
        <v>42431</v>
      </c>
      <c r="H15" s="1087">
        <v>42796</v>
      </c>
      <c r="I15" s="1081" t="s">
        <v>2360</v>
      </c>
      <c r="J15" s="1085">
        <v>30.97</v>
      </c>
      <c r="K15" s="1081" t="s">
        <v>1064</v>
      </c>
    </row>
    <row r="16" spans="2:11" ht="30">
      <c r="B16" s="1081">
        <v>15</v>
      </c>
      <c r="C16" s="1082" t="s">
        <v>2361</v>
      </c>
      <c r="D16" s="1081" t="s">
        <v>1021</v>
      </c>
      <c r="E16" s="1081" t="s">
        <v>1053</v>
      </c>
      <c r="F16" s="1085">
        <v>26.49</v>
      </c>
      <c r="G16" s="1087">
        <v>42432</v>
      </c>
      <c r="H16" s="1087">
        <v>42797</v>
      </c>
      <c r="I16" s="1081" t="s">
        <v>2362</v>
      </c>
      <c r="J16" s="1085">
        <v>26.49</v>
      </c>
      <c r="K16" s="1081" t="s">
        <v>1064</v>
      </c>
    </row>
    <row r="17" spans="2:11" ht="30">
      <c r="B17" s="1081">
        <v>16</v>
      </c>
      <c r="C17" s="1082" t="s">
        <v>2363</v>
      </c>
      <c r="D17" s="1081" t="s">
        <v>1021</v>
      </c>
      <c r="E17" s="1081" t="s">
        <v>2364</v>
      </c>
      <c r="F17" s="1085">
        <v>61.57</v>
      </c>
      <c r="G17" s="1081" t="s">
        <v>2364</v>
      </c>
      <c r="H17" s="1081" t="s">
        <v>2365</v>
      </c>
      <c r="I17" s="1081" t="s">
        <v>2366</v>
      </c>
      <c r="J17" s="1085">
        <v>67.17</v>
      </c>
      <c r="K17" s="1081" t="s">
        <v>1064</v>
      </c>
    </row>
    <row r="18" spans="2:11" ht="45">
      <c r="B18" s="1081">
        <v>17</v>
      </c>
      <c r="C18" s="1082" t="s">
        <v>2367</v>
      </c>
      <c r="D18" s="1081" t="s">
        <v>1021</v>
      </c>
      <c r="E18" s="1081" t="s">
        <v>1054</v>
      </c>
      <c r="F18" s="1085">
        <v>16.690000000000001</v>
      </c>
      <c r="G18" s="1087">
        <v>42431</v>
      </c>
      <c r="H18" s="1087">
        <v>42706</v>
      </c>
      <c r="I18" s="1081" t="s">
        <v>2366</v>
      </c>
      <c r="J18" s="1085">
        <v>16.690000000000001</v>
      </c>
      <c r="K18" s="1081" t="s">
        <v>1064</v>
      </c>
    </row>
    <row r="19" spans="2:11" ht="30">
      <c r="B19" s="1081">
        <v>18</v>
      </c>
      <c r="C19" s="1082" t="s">
        <v>2368</v>
      </c>
      <c r="D19" s="1081" t="s">
        <v>2299</v>
      </c>
      <c r="E19" s="1081" t="s">
        <v>1060</v>
      </c>
      <c r="F19" s="1085">
        <v>8.5399999999999991</v>
      </c>
      <c r="G19" s="1087">
        <v>41683</v>
      </c>
      <c r="H19" s="1087">
        <v>42047</v>
      </c>
      <c r="I19" s="1081" t="s">
        <v>2369</v>
      </c>
      <c r="J19" s="1085">
        <v>8.5399999999999991</v>
      </c>
      <c r="K19" s="1081" t="s">
        <v>1064</v>
      </c>
    </row>
    <row r="20" spans="2:11" ht="30">
      <c r="B20" s="1081">
        <v>19</v>
      </c>
      <c r="C20" s="1082" t="s">
        <v>2370</v>
      </c>
      <c r="D20" s="1081" t="s">
        <v>2299</v>
      </c>
      <c r="E20" s="1081" t="s">
        <v>1060</v>
      </c>
      <c r="F20" s="1085">
        <v>18.690000000000001</v>
      </c>
      <c r="G20" s="1087">
        <v>41683</v>
      </c>
      <c r="H20" s="1087">
        <v>42047</v>
      </c>
      <c r="I20" s="1081" t="s">
        <v>2369</v>
      </c>
      <c r="J20" s="1085">
        <v>18.829999999999998</v>
      </c>
      <c r="K20" s="1081" t="s">
        <v>1064</v>
      </c>
    </row>
    <row r="21" spans="2:11" ht="30">
      <c r="B21" s="1081">
        <v>20</v>
      </c>
      <c r="C21" s="1082" t="s">
        <v>2371</v>
      </c>
      <c r="D21" s="1081" t="s">
        <v>2299</v>
      </c>
      <c r="E21" s="1081" t="s">
        <v>1060</v>
      </c>
      <c r="F21" s="1085">
        <v>27.42</v>
      </c>
      <c r="G21" s="1087">
        <v>41683</v>
      </c>
      <c r="H21" s="1087">
        <v>42445</v>
      </c>
      <c r="I21" s="1081" t="s">
        <v>1008</v>
      </c>
      <c r="J21" s="1085">
        <v>28.16</v>
      </c>
      <c r="K21" s="1081" t="s">
        <v>1064</v>
      </c>
    </row>
    <row r="22" spans="2:11" ht="45">
      <c r="B22" s="1081">
        <v>21</v>
      </c>
      <c r="C22" s="1082" t="s">
        <v>2372</v>
      </c>
      <c r="D22" s="1081" t="s">
        <v>2299</v>
      </c>
      <c r="E22" s="1081" t="s">
        <v>1060</v>
      </c>
      <c r="F22" s="1085">
        <v>7.02</v>
      </c>
      <c r="G22" s="1087">
        <v>41683</v>
      </c>
      <c r="H22" s="1087">
        <v>42405</v>
      </c>
      <c r="I22" s="1081" t="s">
        <v>2373</v>
      </c>
      <c r="J22" s="1085">
        <v>7.02</v>
      </c>
      <c r="K22" s="1081" t="s">
        <v>1064</v>
      </c>
    </row>
    <row r="23" spans="2:11" ht="105">
      <c r="B23" s="1081">
        <v>22</v>
      </c>
      <c r="C23" s="1082" t="s">
        <v>2374</v>
      </c>
      <c r="D23" s="1081" t="s">
        <v>1021</v>
      </c>
      <c r="E23" s="1081" t="s">
        <v>1061</v>
      </c>
      <c r="F23" s="1085">
        <v>48.16</v>
      </c>
      <c r="G23" s="1087">
        <v>42075</v>
      </c>
      <c r="H23" s="1087">
        <v>42417</v>
      </c>
      <c r="I23" s="1081" t="s">
        <v>2375</v>
      </c>
      <c r="J23" s="1085">
        <v>48.16</v>
      </c>
      <c r="K23" s="1081" t="s">
        <v>1064</v>
      </c>
    </row>
    <row r="24" spans="2:11" ht="45">
      <c r="B24" s="1081">
        <v>23</v>
      </c>
      <c r="C24" s="1082" t="s">
        <v>2376</v>
      </c>
      <c r="D24" s="1081" t="s">
        <v>2299</v>
      </c>
      <c r="E24" s="1081" t="s">
        <v>1055</v>
      </c>
      <c r="F24" s="1085">
        <v>85.26</v>
      </c>
      <c r="G24" s="1087">
        <v>42010</v>
      </c>
      <c r="H24" s="1087">
        <v>42465</v>
      </c>
      <c r="I24" s="1081" t="s">
        <v>2377</v>
      </c>
      <c r="J24" s="1085">
        <v>114.7</v>
      </c>
      <c r="K24" s="1081" t="s">
        <v>1064</v>
      </c>
    </row>
    <row r="25" spans="2:11" ht="60">
      <c r="B25" s="1081">
        <v>24</v>
      </c>
      <c r="C25" s="1082" t="s">
        <v>2378</v>
      </c>
      <c r="D25" s="1081" t="s">
        <v>2299</v>
      </c>
      <c r="E25" s="1081"/>
      <c r="F25" s="1085">
        <v>17.489999999999998</v>
      </c>
      <c r="G25" s="1081"/>
      <c r="H25" s="1081"/>
      <c r="I25" s="1081" t="s">
        <v>2379</v>
      </c>
      <c r="J25" s="1085">
        <v>25.92</v>
      </c>
      <c r="K25" s="1081" t="s">
        <v>1064</v>
      </c>
    </row>
    <row r="26" spans="2:11" ht="30">
      <c r="B26" s="1081">
        <v>25</v>
      </c>
      <c r="C26" s="1082" t="s">
        <v>2380</v>
      </c>
      <c r="D26" s="1081" t="s">
        <v>2299</v>
      </c>
      <c r="E26" s="1081" t="s">
        <v>1056</v>
      </c>
      <c r="F26" s="1085">
        <v>10.8</v>
      </c>
      <c r="G26" s="1087">
        <v>42044</v>
      </c>
      <c r="H26" s="1087">
        <v>42408</v>
      </c>
      <c r="I26" s="1081" t="s">
        <v>2381</v>
      </c>
      <c r="J26" s="1085">
        <v>12.67</v>
      </c>
      <c r="K26" s="1081" t="s">
        <v>1064</v>
      </c>
    </row>
    <row r="27" spans="2:11" ht="30">
      <c r="B27" s="1081">
        <v>26</v>
      </c>
      <c r="C27" s="1082" t="s">
        <v>2382</v>
      </c>
      <c r="D27" s="1081" t="s">
        <v>2299</v>
      </c>
      <c r="E27" s="1081" t="s">
        <v>1030</v>
      </c>
      <c r="F27" s="1085">
        <v>110.8</v>
      </c>
      <c r="G27" s="1087">
        <v>42084</v>
      </c>
      <c r="H27" s="1087">
        <v>42449</v>
      </c>
      <c r="I27" s="1081" t="s">
        <v>2383</v>
      </c>
      <c r="J27" s="1085">
        <v>129.79</v>
      </c>
      <c r="K27" s="1081" t="s">
        <v>1064</v>
      </c>
    </row>
    <row r="28" spans="2:11" ht="30">
      <c r="B28" s="1081">
        <v>27</v>
      </c>
      <c r="C28" s="1082" t="s">
        <v>2384</v>
      </c>
      <c r="D28" s="1081" t="s">
        <v>2299</v>
      </c>
      <c r="E28" s="1081" t="s">
        <v>1030</v>
      </c>
      <c r="F28" s="1085">
        <v>94.6</v>
      </c>
      <c r="G28" s="1087">
        <v>42084</v>
      </c>
      <c r="H28" s="1087">
        <v>42449</v>
      </c>
      <c r="I28" s="1081" t="s">
        <v>1009</v>
      </c>
      <c r="J28" s="1085">
        <v>104.01</v>
      </c>
      <c r="K28" s="1081" t="s">
        <v>1064</v>
      </c>
    </row>
    <row r="29" spans="2:11" ht="30">
      <c r="B29" s="1081">
        <v>28</v>
      </c>
      <c r="C29" s="1082" t="s">
        <v>2385</v>
      </c>
      <c r="D29" s="1081" t="s">
        <v>2386</v>
      </c>
      <c r="E29" s="1081" t="s">
        <v>1057</v>
      </c>
      <c r="F29" s="1085">
        <v>97.2</v>
      </c>
      <c r="G29" s="1087">
        <v>42241</v>
      </c>
      <c r="H29" s="1087">
        <v>42698</v>
      </c>
      <c r="I29" s="1081" t="s">
        <v>2387</v>
      </c>
      <c r="J29" s="1085">
        <v>122.36</v>
      </c>
      <c r="K29" s="1081" t="s">
        <v>1064</v>
      </c>
    </row>
    <row r="30" spans="2:11" ht="45">
      <c r="B30" s="1081">
        <v>29</v>
      </c>
      <c r="C30" s="1082" t="s">
        <v>2388</v>
      </c>
      <c r="D30" s="1081" t="s">
        <v>2299</v>
      </c>
      <c r="E30" s="1081" t="s">
        <v>1058</v>
      </c>
      <c r="F30" s="1085">
        <v>29.37</v>
      </c>
      <c r="G30" s="1087">
        <v>42229</v>
      </c>
      <c r="H30" s="1087">
        <v>42594</v>
      </c>
      <c r="I30" s="1081" t="s">
        <v>2389</v>
      </c>
      <c r="J30" s="1085">
        <v>35.24</v>
      </c>
      <c r="K30" s="1081" t="s">
        <v>1064</v>
      </c>
    </row>
    <row r="31" spans="2:11" ht="30">
      <c r="B31" s="1081">
        <v>30</v>
      </c>
      <c r="C31" s="1082" t="s">
        <v>2390</v>
      </c>
      <c r="D31" s="1081" t="s">
        <v>1021</v>
      </c>
      <c r="E31" s="1081" t="s">
        <v>1048</v>
      </c>
      <c r="F31" s="1085">
        <v>32.299999999999997</v>
      </c>
      <c r="G31" s="1087">
        <v>43105</v>
      </c>
      <c r="H31" s="1087">
        <v>43104</v>
      </c>
      <c r="I31" s="1081" t="s">
        <v>2391</v>
      </c>
      <c r="J31" s="1085">
        <v>32.299999999999997</v>
      </c>
      <c r="K31" s="1081" t="s">
        <v>1064</v>
      </c>
    </row>
    <row r="32" spans="2:11" ht="30">
      <c r="B32" s="1081">
        <v>31</v>
      </c>
      <c r="C32" s="1082" t="s">
        <v>2392</v>
      </c>
      <c r="D32" s="1081" t="s">
        <v>1021</v>
      </c>
      <c r="E32" s="1081" t="s">
        <v>1059</v>
      </c>
      <c r="F32" s="1085">
        <v>14.94</v>
      </c>
      <c r="G32" s="1087">
        <v>43087</v>
      </c>
      <c r="H32" s="1087">
        <v>43451</v>
      </c>
      <c r="I32" s="1081" t="s">
        <v>2393</v>
      </c>
      <c r="J32" s="1085">
        <v>15.28</v>
      </c>
      <c r="K32" s="1081" t="s">
        <v>1064</v>
      </c>
    </row>
    <row r="33" spans="2:11" ht="45">
      <c r="B33" s="1081">
        <v>32</v>
      </c>
      <c r="C33" s="1082" t="s">
        <v>2394</v>
      </c>
      <c r="D33" s="1081" t="s">
        <v>2300</v>
      </c>
      <c r="E33" s="1081" t="s">
        <v>1049</v>
      </c>
      <c r="F33" s="1085">
        <v>10.42</v>
      </c>
      <c r="G33" s="1087">
        <v>43080</v>
      </c>
      <c r="H33" s="1087">
        <v>43404</v>
      </c>
      <c r="I33" s="1088"/>
      <c r="J33" s="1085">
        <v>12.42</v>
      </c>
      <c r="K33" s="1081" t="s">
        <v>1064</v>
      </c>
    </row>
    <row r="34" spans="2:11" ht="45">
      <c r="B34" s="1081">
        <v>33</v>
      </c>
      <c r="C34" s="1082" t="s">
        <v>2395</v>
      </c>
      <c r="D34" s="1081" t="s">
        <v>2396</v>
      </c>
      <c r="E34" s="1081" t="s">
        <v>1032</v>
      </c>
      <c r="F34" s="1085">
        <v>11.41</v>
      </c>
      <c r="G34" s="1087">
        <v>42431</v>
      </c>
      <c r="H34" s="1087">
        <v>42614</v>
      </c>
      <c r="I34" s="1081"/>
      <c r="J34" s="1085">
        <v>16.760000000000002</v>
      </c>
      <c r="K34" s="1081" t="s">
        <v>1064</v>
      </c>
    </row>
    <row r="35" spans="2:11" ht="45">
      <c r="B35" s="1081">
        <v>34</v>
      </c>
      <c r="C35" s="1082" t="s">
        <v>2397</v>
      </c>
      <c r="D35" s="1081" t="s">
        <v>2299</v>
      </c>
      <c r="E35" s="1081" t="s">
        <v>1050</v>
      </c>
      <c r="F35" s="1085">
        <v>7.02</v>
      </c>
      <c r="G35" s="1087">
        <v>42165</v>
      </c>
      <c r="H35" s="1087">
        <v>42530</v>
      </c>
      <c r="I35" s="1081" t="s">
        <v>2398</v>
      </c>
      <c r="J35" s="1085">
        <v>7.02</v>
      </c>
      <c r="K35" s="1081" t="s">
        <v>1064</v>
      </c>
    </row>
    <row r="36" spans="2:11" ht="105">
      <c r="B36" s="1081">
        <v>35</v>
      </c>
      <c r="C36" s="1082" t="s">
        <v>2399</v>
      </c>
      <c r="D36" s="1081" t="s">
        <v>1021</v>
      </c>
      <c r="E36" s="1081" t="s">
        <v>1030</v>
      </c>
      <c r="F36" s="1085">
        <v>28.46</v>
      </c>
      <c r="G36" s="1087">
        <v>42084</v>
      </c>
      <c r="H36" s="1087">
        <v>42643</v>
      </c>
      <c r="I36" s="1081"/>
      <c r="J36" s="1085">
        <v>39.28</v>
      </c>
      <c r="K36" s="1081" t="s">
        <v>1064</v>
      </c>
    </row>
    <row r="37" spans="2:11" ht="60">
      <c r="B37" s="1081">
        <v>36</v>
      </c>
      <c r="C37" s="1082" t="s">
        <v>2400</v>
      </c>
      <c r="D37" s="1081" t="s">
        <v>1021</v>
      </c>
      <c r="E37" s="1081" t="s">
        <v>1030</v>
      </c>
      <c r="F37" s="1085">
        <v>55.51</v>
      </c>
      <c r="G37" s="1087">
        <v>42084</v>
      </c>
      <c r="H37" s="1087">
        <v>42449</v>
      </c>
      <c r="I37" s="1081"/>
      <c r="J37" s="1085">
        <v>58.1</v>
      </c>
      <c r="K37" s="1081" t="s">
        <v>1064</v>
      </c>
    </row>
    <row r="38" spans="2:11" ht="30">
      <c r="B38" s="1081">
        <v>37</v>
      </c>
      <c r="C38" s="1082" t="s">
        <v>2401</v>
      </c>
      <c r="D38" s="1081" t="s">
        <v>2299</v>
      </c>
      <c r="E38" s="1081" t="s">
        <v>1052</v>
      </c>
      <c r="F38" s="1085">
        <v>73.95</v>
      </c>
      <c r="G38" s="1087">
        <v>42035</v>
      </c>
      <c r="H38" s="1087">
        <v>42525</v>
      </c>
      <c r="I38" s="1081" t="s">
        <v>2402</v>
      </c>
      <c r="J38" s="1085">
        <v>85.07</v>
      </c>
      <c r="K38" s="1081" t="s">
        <v>1064</v>
      </c>
    </row>
    <row r="39" spans="2:11" ht="30">
      <c r="B39" s="1081">
        <v>38</v>
      </c>
      <c r="C39" s="1082" t="s">
        <v>2403</v>
      </c>
      <c r="D39" s="1081" t="s">
        <v>2299</v>
      </c>
      <c r="E39" s="1081" t="s">
        <v>2404</v>
      </c>
      <c r="F39" s="1085">
        <v>148.21</v>
      </c>
      <c r="G39" s="1087">
        <v>41817</v>
      </c>
      <c r="H39" s="1087">
        <v>42273</v>
      </c>
      <c r="I39" s="1081">
        <v>0</v>
      </c>
      <c r="J39" s="1085">
        <v>193.14</v>
      </c>
      <c r="K39" s="1081" t="s">
        <v>1064</v>
      </c>
    </row>
    <row r="40" spans="2:11" ht="60">
      <c r="B40" s="1081">
        <v>39</v>
      </c>
      <c r="C40" s="1082" t="s">
        <v>2405</v>
      </c>
      <c r="D40" s="1081" t="s">
        <v>2299</v>
      </c>
      <c r="E40" s="1081" t="s">
        <v>1030</v>
      </c>
      <c r="F40" s="1085">
        <v>126.24</v>
      </c>
      <c r="G40" s="1087">
        <v>42084</v>
      </c>
      <c r="H40" s="1087">
        <v>42541</v>
      </c>
      <c r="I40" s="1081" t="s">
        <v>2402</v>
      </c>
      <c r="J40" s="1085">
        <v>106.38</v>
      </c>
      <c r="K40" s="1081" t="s">
        <v>1064</v>
      </c>
    </row>
    <row r="41" spans="2:11" ht="30">
      <c r="B41" s="1081">
        <v>40</v>
      </c>
      <c r="C41" s="1082" t="s">
        <v>2406</v>
      </c>
      <c r="D41" s="1081" t="s">
        <v>2299</v>
      </c>
      <c r="E41" s="1081" t="s">
        <v>1062</v>
      </c>
      <c r="F41" s="1085">
        <v>88.72</v>
      </c>
      <c r="G41" s="1087">
        <v>42033</v>
      </c>
      <c r="H41" s="1087">
        <v>42436</v>
      </c>
      <c r="I41" s="1081" t="s">
        <v>2402</v>
      </c>
      <c r="J41" s="1085">
        <v>123.09</v>
      </c>
      <c r="K41" s="1081" t="s">
        <v>1064</v>
      </c>
    </row>
    <row r="42" spans="2:11">
      <c r="B42" s="1081">
        <v>41</v>
      </c>
      <c r="C42" s="1089" t="s">
        <v>2407</v>
      </c>
      <c r="D42" s="1081" t="s">
        <v>2299</v>
      </c>
      <c r="E42" s="1081"/>
      <c r="F42" s="1081"/>
      <c r="G42" s="1087"/>
      <c r="H42" s="1087"/>
      <c r="I42" s="1081"/>
      <c r="J42" s="1081"/>
      <c r="K42" s="1081" t="s">
        <v>1064</v>
      </c>
    </row>
    <row r="43" spans="2:11" ht="30">
      <c r="B43" s="1081">
        <v>42</v>
      </c>
      <c r="C43" s="1089" t="s">
        <v>2408</v>
      </c>
      <c r="D43" s="1081" t="s">
        <v>2299</v>
      </c>
      <c r="E43" s="1081" t="s">
        <v>2409</v>
      </c>
      <c r="F43" s="1085">
        <v>69.540000000000006</v>
      </c>
      <c r="G43" s="1087">
        <v>42051</v>
      </c>
      <c r="H43" s="1087">
        <v>42325</v>
      </c>
      <c r="I43" s="1081">
        <v>0</v>
      </c>
      <c r="J43" s="1085">
        <v>77.59</v>
      </c>
      <c r="K43" s="1081" t="s">
        <v>1064</v>
      </c>
    </row>
    <row r="44" spans="2:11" ht="30">
      <c r="B44" s="1081">
        <v>43</v>
      </c>
      <c r="C44" s="1082" t="s">
        <v>2410</v>
      </c>
      <c r="D44" s="1081" t="s">
        <v>2299</v>
      </c>
      <c r="E44" s="1081" t="s">
        <v>1030</v>
      </c>
      <c r="F44" s="1085">
        <v>60.31</v>
      </c>
      <c r="G44" s="1087">
        <v>42084</v>
      </c>
      <c r="H44" s="1087">
        <v>42558</v>
      </c>
      <c r="I44" s="1081">
        <v>0</v>
      </c>
      <c r="J44" s="1085">
        <v>67.02</v>
      </c>
      <c r="K44" s="1081" t="s">
        <v>1064</v>
      </c>
    </row>
    <row r="45" spans="2:11" ht="30">
      <c r="B45" s="1081">
        <v>44</v>
      </c>
      <c r="C45" s="1082" t="s">
        <v>2411</v>
      </c>
      <c r="D45" s="1081" t="s">
        <v>1021</v>
      </c>
      <c r="E45" s="1081" t="s">
        <v>1046</v>
      </c>
      <c r="F45" s="1085">
        <v>54.4</v>
      </c>
      <c r="G45" s="1087">
        <v>42046</v>
      </c>
      <c r="H45" s="1087">
        <v>42411</v>
      </c>
      <c r="I45" s="1081" t="s">
        <v>2366</v>
      </c>
      <c r="J45" s="1085">
        <v>57.63</v>
      </c>
      <c r="K45" s="1081" t="s">
        <v>1064</v>
      </c>
    </row>
    <row r="46" spans="2:11" ht="45">
      <c r="B46" s="1081">
        <v>45</v>
      </c>
      <c r="C46" s="1082" t="s">
        <v>2412</v>
      </c>
      <c r="D46" s="1081" t="s">
        <v>1021</v>
      </c>
      <c r="E46" s="1081" t="s">
        <v>1047</v>
      </c>
      <c r="F46" s="1085">
        <v>86.97</v>
      </c>
      <c r="G46" s="1087">
        <v>42228</v>
      </c>
      <c r="H46" s="1087">
        <v>42594</v>
      </c>
      <c r="I46" s="1081" t="s">
        <v>2413</v>
      </c>
      <c r="J46" s="1085">
        <v>97.45</v>
      </c>
      <c r="K46" s="1081" t="s">
        <v>1064</v>
      </c>
    </row>
    <row r="47" spans="2:11" ht="135">
      <c r="B47" s="1081">
        <v>46</v>
      </c>
      <c r="C47" s="1082" t="s">
        <v>2414</v>
      </c>
      <c r="D47" s="1081" t="s">
        <v>2299</v>
      </c>
      <c r="E47" s="1081" t="s">
        <v>2415</v>
      </c>
      <c r="F47" s="1085">
        <v>84.46</v>
      </c>
      <c r="G47" s="1087" t="s">
        <v>2415</v>
      </c>
      <c r="H47" s="1087">
        <v>42307</v>
      </c>
      <c r="I47" s="1081" t="s">
        <v>2416</v>
      </c>
      <c r="J47" s="1085">
        <v>89.51</v>
      </c>
      <c r="K47" s="1081" t="s">
        <v>1064</v>
      </c>
    </row>
    <row r="48" spans="2:11" ht="30">
      <c r="B48" s="1081">
        <v>47</v>
      </c>
      <c r="C48" s="1082" t="s">
        <v>2417</v>
      </c>
      <c r="D48" s="1081" t="s">
        <v>952</v>
      </c>
      <c r="E48" s="1081" t="s">
        <v>1028</v>
      </c>
      <c r="F48" s="1085">
        <v>48.13</v>
      </c>
      <c r="G48" s="1087">
        <v>42674</v>
      </c>
      <c r="H48" s="1087">
        <v>42766</v>
      </c>
      <c r="I48" s="1081" t="s">
        <v>2418</v>
      </c>
      <c r="J48" s="1085">
        <v>48.65</v>
      </c>
      <c r="K48" s="1081" t="s">
        <v>1064</v>
      </c>
    </row>
    <row r="49" spans="2:11" ht="45">
      <c r="B49" s="1081">
        <v>48</v>
      </c>
      <c r="C49" s="1082" t="s">
        <v>2419</v>
      </c>
      <c r="D49" s="1081" t="s">
        <v>952</v>
      </c>
      <c r="E49" s="1081" t="s">
        <v>1029</v>
      </c>
      <c r="F49" s="1085">
        <v>28.28</v>
      </c>
      <c r="G49" s="1087">
        <v>42672</v>
      </c>
      <c r="H49" s="1087">
        <v>43036</v>
      </c>
      <c r="I49" s="1081" t="s">
        <v>2366</v>
      </c>
      <c r="J49" s="1085">
        <v>34.57</v>
      </c>
      <c r="K49" s="1081" t="s">
        <v>1064</v>
      </c>
    </row>
    <row r="50" spans="2:11" ht="45">
      <c r="B50" s="1081">
        <v>49</v>
      </c>
      <c r="C50" s="1082" t="s">
        <v>2420</v>
      </c>
      <c r="D50" s="1081" t="s">
        <v>952</v>
      </c>
      <c r="E50" s="1081" t="s">
        <v>1028</v>
      </c>
      <c r="F50" s="1085">
        <v>59.09</v>
      </c>
      <c r="G50" s="1087">
        <v>42674</v>
      </c>
      <c r="H50" s="1087">
        <v>42766</v>
      </c>
      <c r="I50" s="1081" t="s">
        <v>2366</v>
      </c>
      <c r="J50" s="1085">
        <v>76.95</v>
      </c>
      <c r="K50" s="1081" t="s">
        <v>1064</v>
      </c>
    </row>
    <row r="51" spans="2:11" ht="45">
      <c r="B51" s="1081">
        <v>50</v>
      </c>
      <c r="C51" s="1082" t="s">
        <v>2421</v>
      </c>
      <c r="D51" s="1081" t="s">
        <v>952</v>
      </c>
      <c r="E51" s="1081" t="s">
        <v>1029</v>
      </c>
      <c r="F51" s="1085">
        <v>25.2</v>
      </c>
      <c r="G51" s="1087">
        <v>42672</v>
      </c>
      <c r="H51" s="1087">
        <v>42671</v>
      </c>
      <c r="I51" s="1081" t="s">
        <v>2422</v>
      </c>
      <c r="J51" s="1085">
        <v>35.65</v>
      </c>
      <c r="K51" s="1081" t="s">
        <v>1064</v>
      </c>
    </row>
    <row r="52" spans="2:11" ht="60">
      <c r="B52" s="1081">
        <v>51</v>
      </c>
      <c r="C52" s="1082" t="s">
        <v>2423</v>
      </c>
      <c r="D52" s="1081" t="s">
        <v>1021</v>
      </c>
      <c r="E52" s="1081" t="s">
        <v>1025</v>
      </c>
      <c r="F52" s="1085">
        <v>72.03</v>
      </c>
      <c r="G52" s="1087">
        <v>41669</v>
      </c>
      <c r="H52" s="1087">
        <v>42033</v>
      </c>
      <c r="I52" s="1081" t="s">
        <v>2424</v>
      </c>
      <c r="J52" s="1085">
        <v>72.03</v>
      </c>
      <c r="K52" s="1081" t="s">
        <v>1064</v>
      </c>
    </row>
    <row r="53" spans="2:11" ht="60">
      <c r="B53" s="1081">
        <v>52</v>
      </c>
      <c r="C53" s="1082" t="s">
        <v>2425</v>
      </c>
      <c r="D53" s="1081" t="s">
        <v>2301</v>
      </c>
      <c r="E53" s="1081" t="s">
        <v>1026</v>
      </c>
      <c r="F53" s="1085">
        <v>69.66</v>
      </c>
      <c r="G53" s="1087">
        <v>42461</v>
      </c>
      <c r="H53" s="1087">
        <v>42460</v>
      </c>
      <c r="I53" s="1081" t="s">
        <v>2426</v>
      </c>
      <c r="J53" s="1085">
        <v>65.67</v>
      </c>
      <c r="K53" s="1081" t="s">
        <v>1064</v>
      </c>
    </row>
    <row r="54" spans="2:11" ht="90">
      <c r="B54" s="1081">
        <v>53</v>
      </c>
      <c r="C54" s="1082" t="s">
        <v>2427</v>
      </c>
      <c r="D54" s="1081" t="s">
        <v>1021</v>
      </c>
      <c r="E54" s="1081" t="s">
        <v>1032</v>
      </c>
      <c r="F54" s="1085">
        <v>20.34</v>
      </c>
      <c r="G54" s="1087">
        <v>42431</v>
      </c>
      <c r="H54" s="1087">
        <v>42705</v>
      </c>
      <c r="I54" s="1081" t="s">
        <v>2428</v>
      </c>
      <c r="J54" s="1085">
        <v>20.34</v>
      </c>
      <c r="K54" s="1081" t="s">
        <v>1064</v>
      </c>
    </row>
    <row r="55" spans="2:11" ht="60">
      <c r="B55" s="1081">
        <v>54</v>
      </c>
      <c r="C55" s="1082" t="s">
        <v>2429</v>
      </c>
      <c r="D55" s="1081" t="s">
        <v>1021</v>
      </c>
      <c r="E55" s="1081" t="s">
        <v>1032</v>
      </c>
      <c r="F55" s="1085">
        <v>12.59</v>
      </c>
      <c r="G55" s="1087">
        <v>42431</v>
      </c>
      <c r="H55" s="1087">
        <v>42614</v>
      </c>
      <c r="I55" s="1090">
        <v>44013</v>
      </c>
      <c r="J55" s="1085">
        <v>12.59</v>
      </c>
      <c r="K55" s="1081" t="s">
        <v>1064</v>
      </c>
    </row>
    <row r="56" spans="2:11" ht="60">
      <c r="B56" s="1081">
        <v>55</v>
      </c>
      <c r="C56" s="1082" t="s">
        <v>2430</v>
      </c>
      <c r="D56" s="1081" t="s">
        <v>1021</v>
      </c>
      <c r="E56" s="1081" t="s">
        <v>1037</v>
      </c>
      <c r="F56" s="1085">
        <v>9.74</v>
      </c>
      <c r="G56" s="1087">
        <v>42821</v>
      </c>
      <c r="H56" s="1087">
        <v>43004</v>
      </c>
      <c r="I56" s="1081">
        <v>0</v>
      </c>
      <c r="J56" s="1085">
        <v>9.74</v>
      </c>
      <c r="K56" s="1081" t="s">
        <v>1064</v>
      </c>
    </row>
    <row r="57" spans="2:11" ht="45">
      <c r="B57" s="1081">
        <v>56</v>
      </c>
      <c r="C57" s="1082" t="s">
        <v>2431</v>
      </c>
      <c r="D57" s="1081" t="s">
        <v>2299</v>
      </c>
      <c r="E57" s="1081" t="s">
        <v>1038</v>
      </c>
      <c r="F57" s="1085">
        <v>20.83</v>
      </c>
      <c r="G57" s="1087">
        <v>42072</v>
      </c>
      <c r="H57" s="1087">
        <v>42346</v>
      </c>
      <c r="I57" s="1081" t="s">
        <v>2432</v>
      </c>
      <c r="J57" s="1085">
        <v>24.34</v>
      </c>
      <c r="K57" s="1081" t="s">
        <v>1064</v>
      </c>
    </row>
    <row r="58" spans="2:11" ht="105">
      <c r="B58" s="1081">
        <v>57</v>
      </c>
      <c r="C58" s="1082" t="s">
        <v>2433</v>
      </c>
      <c r="D58" s="1081" t="s">
        <v>1021</v>
      </c>
      <c r="E58" s="1081" t="s">
        <v>1032</v>
      </c>
      <c r="F58" s="1085">
        <v>7.41</v>
      </c>
      <c r="G58" s="1087">
        <v>42431</v>
      </c>
      <c r="H58" s="1087">
        <v>42705</v>
      </c>
      <c r="I58" s="1090">
        <v>43466</v>
      </c>
      <c r="J58" s="1085">
        <v>7.93</v>
      </c>
      <c r="K58" s="1081" t="s">
        <v>1064</v>
      </c>
    </row>
    <row r="59" spans="2:11" ht="45">
      <c r="B59" s="1081">
        <v>58</v>
      </c>
      <c r="C59" s="1082" t="s">
        <v>2434</v>
      </c>
      <c r="D59" s="1081" t="s">
        <v>1021</v>
      </c>
      <c r="E59" s="1081" t="s">
        <v>1039</v>
      </c>
      <c r="F59" s="1085">
        <v>64.959999999999994</v>
      </c>
      <c r="G59" s="1087">
        <v>42404</v>
      </c>
      <c r="H59" s="1087">
        <v>42769</v>
      </c>
      <c r="I59" s="1090">
        <v>43709</v>
      </c>
      <c r="J59" s="1085">
        <v>65.37</v>
      </c>
      <c r="K59" s="1081" t="s">
        <v>1064</v>
      </c>
    </row>
    <row r="60" spans="2:11" ht="45">
      <c r="B60" s="1081">
        <v>59</v>
      </c>
      <c r="C60" s="1082" t="s">
        <v>2435</v>
      </c>
      <c r="D60" s="1081" t="s">
        <v>952</v>
      </c>
      <c r="E60" s="1081" t="s">
        <v>1029</v>
      </c>
      <c r="F60" s="1085">
        <v>18.91</v>
      </c>
      <c r="G60" s="1087">
        <v>42672</v>
      </c>
      <c r="H60" s="1087">
        <v>43036</v>
      </c>
      <c r="I60" s="1081"/>
      <c r="J60" s="1085">
        <v>23.38</v>
      </c>
      <c r="K60" s="1081" t="s">
        <v>1064</v>
      </c>
    </row>
    <row r="61" spans="2:11" ht="45">
      <c r="B61" s="1081">
        <v>60</v>
      </c>
      <c r="C61" s="1082" t="s">
        <v>2436</v>
      </c>
      <c r="D61" s="1081" t="s">
        <v>952</v>
      </c>
      <c r="E61" s="1081" t="s">
        <v>1028</v>
      </c>
      <c r="F61" s="1085">
        <v>44</v>
      </c>
      <c r="G61" s="1087">
        <v>42674</v>
      </c>
      <c r="H61" s="1087">
        <v>43131</v>
      </c>
      <c r="I61" s="1081"/>
      <c r="J61" s="1085">
        <v>44.39</v>
      </c>
      <c r="K61" s="1081" t="s">
        <v>1064</v>
      </c>
    </row>
    <row r="62" spans="2:11" ht="45">
      <c r="B62" s="1081">
        <v>61</v>
      </c>
      <c r="C62" s="1082" t="s">
        <v>2437</v>
      </c>
      <c r="D62" s="1081" t="s">
        <v>952</v>
      </c>
      <c r="E62" s="1081" t="s">
        <v>1028</v>
      </c>
      <c r="F62" s="1085">
        <v>40.86</v>
      </c>
      <c r="G62" s="1087">
        <v>42674</v>
      </c>
      <c r="H62" s="1087">
        <v>43131</v>
      </c>
      <c r="I62" s="1081"/>
      <c r="J62" s="1085">
        <v>41.32</v>
      </c>
      <c r="K62" s="1081" t="s">
        <v>1064</v>
      </c>
    </row>
    <row r="63" spans="2:11" ht="105">
      <c r="B63" s="1081">
        <v>62</v>
      </c>
      <c r="C63" s="1082" t="s">
        <v>2438</v>
      </c>
      <c r="D63" s="1081" t="s">
        <v>1021</v>
      </c>
      <c r="E63" s="1081" t="s">
        <v>1035</v>
      </c>
      <c r="F63" s="1085">
        <v>56.17</v>
      </c>
      <c r="G63" s="1087">
        <v>42368</v>
      </c>
      <c r="H63" s="1087">
        <v>42734</v>
      </c>
      <c r="I63" s="1081"/>
      <c r="J63" s="1085">
        <v>36.909999999999997</v>
      </c>
      <c r="K63" s="1081" t="s">
        <v>1064</v>
      </c>
    </row>
    <row r="64" spans="2:11" ht="30">
      <c r="B64" s="1081">
        <v>63</v>
      </c>
      <c r="C64" s="1082" t="s">
        <v>2439</v>
      </c>
      <c r="D64" s="1081" t="s">
        <v>1021</v>
      </c>
      <c r="E64" s="1081" t="s">
        <v>1033</v>
      </c>
      <c r="F64" s="1085">
        <v>31.69</v>
      </c>
      <c r="G64" s="1087">
        <v>43143</v>
      </c>
      <c r="H64" s="1087">
        <v>43507</v>
      </c>
      <c r="I64" s="1081" t="s">
        <v>2440</v>
      </c>
      <c r="J64" s="1085">
        <v>31.69</v>
      </c>
      <c r="K64" s="1081" t="s">
        <v>1064</v>
      </c>
    </row>
    <row r="65" spans="2:11" ht="30">
      <c r="B65" s="1081">
        <v>64</v>
      </c>
      <c r="C65" s="1082" t="s">
        <v>2441</v>
      </c>
      <c r="D65" s="1081" t="s">
        <v>952</v>
      </c>
      <c r="E65" s="1081" t="s">
        <v>1034</v>
      </c>
      <c r="F65" s="1085">
        <v>58.23</v>
      </c>
      <c r="G65" s="1087">
        <v>41082</v>
      </c>
      <c r="H65" s="1087">
        <v>41629</v>
      </c>
      <c r="I65" s="1081"/>
      <c r="J65" s="1085">
        <v>81.09</v>
      </c>
      <c r="K65" s="1081" t="s">
        <v>1064</v>
      </c>
    </row>
    <row r="66" spans="2:11">
      <c r="B66" s="1081">
        <v>65</v>
      </c>
      <c r="C66" s="1082" t="s">
        <v>2442</v>
      </c>
      <c r="D66" s="1081" t="s">
        <v>952</v>
      </c>
      <c r="E66" s="1081" t="s">
        <v>1034</v>
      </c>
      <c r="F66" s="1085">
        <v>41.52</v>
      </c>
      <c r="G66" s="1087">
        <v>41082</v>
      </c>
      <c r="H66" s="1087">
        <v>41629</v>
      </c>
      <c r="I66" s="1081"/>
      <c r="J66" s="1085">
        <v>41.52</v>
      </c>
      <c r="K66" s="1081" t="s">
        <v>1064</v>
      </c>
    </row>
    <row r="67" spans="2:11" ht="45">
      <c r="B67" s="1081">
        <v>66</v>
      </c>
      <c r="C67" s="1082" t="s">
        <v>2443</v>
      </c>
      <c r="D67" s="1081" t="s">
        <v>952</v>
      </c>
      <c r="E67" s="1081" t="s">
        <v>1028</v>
      </c>
      <c r="F67" s="1085">
        <v>33.020000000000003</v>
      </c>
      <c r="G67" s="1087">
        <v>42674</v>
      </c>
      <c r="H67" s="1087">
        <v>43038</v>
      </c>
      <c r="I67" s="1081" t="s">
        <v>2444</v>
      </c>
      <c r="J67" s="1085">
        <v>46.84</v>
      </c>
      <c r="K67" s="1081" t="s">
        <v>1064</v>
      </c>
    </row>
    <row r="68" spans="2:11" ht="30">
      <c r="B68" s="1081">
        <v>67</v>
      </c>
      <c r="C68" s="1082" t="s">
        <v>2445</v>
      </c>
      <c r="D68" s="1081" t="s">
        <v>952</v>
      </c>
      <c r="E68" s="1081" t="s">
        <v>1028</v>
      </c>
      <c r="F68" s="1085">
        <v>66.790000000000006</v>
      </c>
      <c r="G68" s="1087">
        <v>42674</v>
      </c>
      <c r="H68" s="1087">
        <v>43130</v>
      </c>
      <c r="I68" s="1081" t="s">
        <v>2444</v>
      </c>
      <c r="J68" s="1085">
        <v>75.459999999999994</v>
      </c>
      <c r="K68" s="1081" t="s">
        <v>1064</v>
      </c>
    </row>
    <row r="69" spans="2:11">
      <c r="B69" s="1081">
        <v>68</v>
      </c>
      <c r="C69" s="1082" t="s">
        <v>2446</v>
      </c>
      <c r="D69" s="1081" t="s">
        <v>952</v>
      </c>
      <c r="E69" s="1081" t="s">
        <v>1028</v>
      </c>
      <c r="F69" s="1085">
        <v>35.450000000000003</v>
      </c>
      <c r="G69" s="1087">
        <v>42674</v>
      </c>
      <c r="H69" s="1087">
        <v>43130</v>
      </c>
      <c r="I69" s="1081"/>
      <c r="J69" s="1085">
        <v>35.549999999999997</v>
      </c>
      <c r="K69" s="1081" t="s">
        <v>1064</v>
      </c>
    </row>
    <row r="70" spans="2:11" ht="30">
      <c r="B70" s="1081">
        <v>69</v>
      </c>
      <c r="C70" s="1082" t="s">
        <v>2447</v>
      </c>
      <c r="D70" s="1081" t="s">
        <v>952</v>
      </c>
      <c r="E70" s="1081" t="s">
        <v>1036</v>
      </c>
      <c r="F70" s="1085">
        <v>21.5</v>
      </c>
      <c r="G70" s="1087">
        <v>43238</v>
      </c>
      <c r="H70" s="1087">
        <v>43602</v>
      </c>
      <c r="I70" s="1081" t="s">
        <v>2448</v>
      </c>
      <c r="J70" s="1085">
        <v>21.5</v>
      </c>
      <c r="K70" s="1081" t="s">
        <v>1064</v>
      </c>
    </row>
    <row r="71" spans="2:11" ht="45">
      <c r="B71" s="1081">
        <v>70</v>
      </c>
      <c r="C71" s="1082" t="s">
        <v>2449</v>
      </c>
      <c r="D71" s="1081" t="s">
        <v>1021</v>
      </c>
      <c r="E71" s="1081" t="s">
        <v>1041</v>
      </c>
      <c r="F71" s="1085">
        <v>8.86</v>
      </c>
      <c r="G71" s="1087">
        <v>42612</v>
      </c>
      <c r="H71" s="1087">
        <v>42977</v>
      </c>
      <c r="I71" s="1081" t="s">
        <v>2448</v>
      </c>
      <c r="J71" s="1085">
        <v>9.14</v>
      </c>
      <c r="K71" s="1081" t="s">
        <v>1064</v>
      </c>
    </row>
    <row r="72" spans="2:11" ht="45">
      <c r="B72" s="1081">
        <v>71</v>
      </c>
      <c r="C72" s="1082" t="s">
        <v>2450</v>
      </c>
      <c r="D72" s="1081" t="s">
        <v>1021</v>
      </c>
      <c r="E72" s="1081" t="s">
        <v>1041</v>
      </c>
      <c r="F72" s="1085">
        <v>11.62</v>
      </c>
      <c r="G72" s="1087">
        <v>42612</v>
      </c>
      <c r="H72" s="1087">
        <v>42977</v>
      </c>
      <c r="I72" s="1090">
        <v>43586</v>
      </c>
      <c r="J72" s="1085">
        <v>10.25</v>
      </c>
      <c r="K72" s="1081" t="s">
        <v>1064</v>
      </c>
    </row>
    <row r="73" spans="2:11" ht="45">
      <c r="B73" s="1081">
        <v>72</v>
      </c>
      <c r="C73" s="1082" t="s">
        <v>2451</v>
      </c>
      <c r="D73" s="1081" t="s">
        <v>1021</v>
      </c>
      <c r="E73" s="1081" t="s">
        <v>2452</v>
      </c>
      <c r="F73" s="1085">
        <v>70</v>
      </c>
      <c r="G73" s="1087">
        <v>43243</v>
      </c>
      <c r="H73" s="1087">
        <v>43066</v>
      </c>
      <c r="I73" s="1081" t="s">
        <v>2453</v>
      </c>
      <c r="J73" s="1085">
        <v>70</v>
      </c>
      <c r="K73" s="1081" t="s">
        <v>1064</v>
      </c>
    </row>
    <row r="74" spans="2:11" ht="30">
      <c r="B74" s="1081">
        <v>73</v>
      </c>
      <c r="C74" s="1082" t="s">
        <v>2454</v>
      </c>
      <c r="D74" s="1081" t="s">
        <v>1021</v>
      </c>
      <c r="E74" s="1081" t="s">
        <v>1026</v>
      </c>
      <c r="F74" s="1085">
        <v>52.29</v>
      </c>
      <c r="G74" s="1087">
        <v>42369</v>
      </c>
      <c r="H74" s="1087">
        <v>42734</v>
      </c>
      <c r="I74" s="1081" t="s">
        <v>2448</v>
      </c>
      <c r="J74" s="1085">
        <v>54.25</v>
      </c>
      <c r="K74" s="1081" t="s">
        <v>1064</v>
      </c>
    </row>
    <row r="75" spans="2:11" ht="60">
      <c r="B75" s="1081">
        <v>74</v>
      </c>
      <c r="C75" s="1082" t="s">
        <v>2455</v>
      </c>
      <c r="D75" s="1081" t="s">
        <v>1021</v>
      </c>
      <c r="E75" s="1081" t="s">
        <v>1035</v>
      </c>
      <c r="F75" s="1085">
        <v>63.1</v>
      </c>
      <c r="G75" s="1087">
        <v>42368</v>
      </c>
      <c r="H75" s="1087">
        <v>42734</v>
      </c>
      <c r="I75" s="1081">
        <v>0</v>
      </c>
      <c r="J75" s="1085">
        <v>69.55</v>
      </c>
      <c r="K75" s="1081" t="s">
        <v>1064</v>
      </c>
    </row>
    <row r="76" spans="2:11" ht="30">
      <c r="B76" s="1081">
        <v>75</v>
      </c>
      <c r="C76" s="1082" t="s">
        <v>2456</v>
      </c>
      <c r="D76" s="1081" t="s">
        <v>2299</v>
      </c>
      <c r="E76" s="1081" t="s">
        <v>1030</v>
      </c>
      <c r="F76" s="1085">
        <v>15.9</v>
      </c>
      <c r="G76" s="1087">
        <v>42084</v>
      </c>
      <c r="H76" s="1087">
        <v>42449</v>
      </c>
      <c r="I76" s="1081" t="s">
        <v>2448</v>
      </c>
      <c r="J76" s="1085">
        <v>15.9</v>
      </c>
      <c r="K76" s="1081" t="s">
        <v>1064</v>
      </c>
    </row>
    <row r="77" spans="2:11" ht="30">
      <c r="B77" s="1081">
        <v>76</v>
      </c>
      <c r="C77" s="1082" t="s">
        <v>2457</v>
      </c>
      <c r="D77" s="1081" t="s">
        <v>2299</v>
      </c>
      <c r="E77" s="1081" t="s">
        <v>1030</v>
      </c>
      <c r="F77" s="1085">
        <v>21.16</v>
      </c>
      <c r="G77" s="1087">
        <v>42084</v>
      </c>
      <c r="H77" s="1087">
        <v>42449</v>
      </c>
      <c r="I77" s="1081" t="s">
        <v>2349</v>
      </c>
      <c r="J77" s="1085">
        <v>21.07</v>
      </c>
      <c r="K77" s="1081" t="s">
        <v>1064</v>
      </c>
    </row>
    <row r="78" spans="2:11" ht="45">
      <c r="B78" s="1081">
        <v>77</v>
      </c>
      <c r="C78" s="1082" t="s">
        <v>2458</v>
      </c>
      <c r="D78" s="1081" t="s">
        <v>1021</v>
      </c>
      <c r="E78" s="1081" t="s">
        <v>1024</v>
      </c>
      <c r="F78" s="1085">
        <v>107.62</v>
      </c>
      <c r="G78" s="1084">
        <v>42825</v>
      </c>
      <c r="H78" s="1084">
        <v>43434</v>
      </c>
      <c r="I78" s="1081" t="s">
        <v>2459</v>
      </c>
      <c r="J78" s="1085">
        <v>106.5</v>
      </c>
      <c r="K78" s="1081" t="s">
        <v>1064</v>
      </c>
    </row>
    <row r="79" spans="2:11" ht="45">
      <c r="B79" s="1081">
        <v>78</v>
      </c>
      <c r="C79" s="1082" t="s">
        <v>2460</v>
      </c>
      <c r="D79" s="1081" t="s">
        <v>1021</v>
      </c>
      <c r="E79" s="1081" t="s">
        <v>1022</v>
      </c>
      <c r="F79" s="1085">
        <v>59.15</v>
      </c>
      <c r="G79" s="1084">
        <v>41512</v>
      </c>
      <c r="H79" s="1084">
        <v>41876</v>
      </c>
      <c r="I79" s="1081" t="s">
        <v>2461</v>
      </c>
      <c r="J79" s="1085">
        <v>63.91</v>
      </c>
      <c r="K79" s="1081" t="s">
        <v>1064</v>
      </c>
    </row>
    <row r="80" spans="2:11" ht="30">
      <c r="B80" s="1081">
        <v>79</v>
      </c>
      <c r="C80" s="1082" t="s">
        <v>2462</v>
      </c>
      <c r="D80" s="1081" t="s">
        <v>1021</v>
      </c>
      <c r="E80" s="1081" t="s">
        <v>1023</v>
      </c>
      <c r="F80" s="1085">
        <v>19.399999999999999</v>
      </c>
      <c r="G80" s="1084">
        <v>43056</v>
      </c>
      <c r="H80" s="1084">
        <v>43524</v>
      </c>
      <c r="I80" s="1081" t="s">
        <v>2463</v>
      </c>
      <c r="J80" s="1085">
        <v>19.399999999999999</v>
      </c>
      <c r="K80" s="1081" t="s">
        <v>1064</v>
      </c>
    </row>
    <row r="81" spans="2:11">
      <c r="B81" s="1081">
        <v>80</v>
      </c>
      <c r="C81" s="1082" t="s">
        <v>2464</v>
      </c>
      <c r="D81" s="1081" t="s">
        <v>2299</v>
      </c>
      <c r="E81" s="1519" t="s">
        <v>2465</v>
      </c>
      <c r="F81" s="1520">
        <v>47.1</v>
      </c>
      <c r="G81" s="1519" t="s">
        <v>2465</v>
      </c>
      <c r="H81" s="1519" t="s">
        <v>2466</v>
      </c>
      <c r="I81" s="1081" t="s">
        <v>2402</v>
      </c>
      <c r="J81" s="1081"/>
      <c r="K81" s="1081" t="s">
        <v>1064</v>
      </c>
    </row>
    <row r="82" spans="2:11">
      <c r="B82" s="1081">
        <v>81</v>
      </c>
      <c r="C82" s="1082" t="s">
        <v>2467</v>
      </c>
      <c r="D82" s="1081" t="s">
        <v>2299</v>
      </c>
      <c r="E82" s="1519"/>
      <c r="F82" s="1520"/>
      <c r="G82" s="1519"/>
      <c r="H82" s="1519"/>
      <c r="I82" s="1081" t="s">
        <v>2402</v>
      </c>
      <c r="J82" s="1081"/>
      <c r="K82" s="1081" t="s">
        <v>1064</v>
      </c>
    </row>
    <row r="83" spans="2:11">
      <c r="B83" s="1081">
        <v>82</v>
      </c>
      <c r="C83" s="1082" t="s">
        <v>2468</v>
      </c>
      <c r="D83" s="1081" t="s">
        <v>2299</v>
      </c>
      <c r="E83" s="1519"/>
      <c r="F83" s="1520"/>
      <c r="G83" s="1519"/>
      <c r="H83" s="1519"/>
      <c r="I83" s="1081" t="s">
        <v>2402</v>
      </c>
      <c r="J83" s="1081"/>
      <c r="K83" s="1081" t="s">
        <v>1064</v>
      </c>
    </row>
    <row r="84" spans="2:11">
      <c r="B84" s="1081">
        <v>83</v>
      </c>
      <c r="C84" s="1082" t="s">
        <v>2469</v>
      </c>
      <c r="D84" s="1081" t="s">
        <v>2299</v>
      </c>
      <c r="E84" s="1519"/>
      <c r="F84" s="1520"/>
      <c r="G84" s="1519"/>
      <c r="H84" s="1519"/>
      <c r="I84" s="1081" t="s">
        <v>2402</v>
      </c>
      <c r="J84" s="1081"/>
      <c r="K84" s="1081" t="s">
        <v>1064</v>
      </c>
    </row>
    <row r="85" spans="2:11">
      <c r="B85" s="1081">
        <v>84</v>
      </c>
      <c r="C85" s="1082" t="s">
        <v>2470</v>
      </c>
      <c r="D85" s="1081" t="s">
        <v>2299</v>
      </c>
      <c r="E85" s="1519"/>
      <c r="F85" s="1520"/>
      <c r="G85" s="1519"/>
      <c r="H85" s="1519"/>
      <c r="I85" s="1081" t="s">
        <v>2402</v>
      </c>
      <c r="J85" s="1081"/>
      <c r="K85" s="1081" t="s">
        <v>1064</v>
      </c>
    </row>
    <row r="86" spans="2:11">
      <c r="B86" s="1081">
        <v>85</v>
      </c>
      <c r="C86" s="1082" t="s">
        <v>2471</v>
      </c>
      <c r="D86" s="1081" t="s">
        <v>1021</v>
      </c>
      <c r="E86" s="1081" t="s">
        <v>1030</v>
      </c>
      <c r="F86" s="1085">
        <v>25.05</v>
      </c>
      <c r="G86" s="1084">
        <v>42084</v>
      </c>
      <c r="H86" s="1084">
        <v>42450</v>
      </c>
      <c r="I86" s="1081" t="s">
        <v>2402</v>
      </c>
      <c r="J86" s="1085">
        <v>0</v>
      </c>
      <c r="K86" s="1081" t="s">
        <v>1064</v>
      </c>
    </row>
    <row r="87" spans="2:11" ht="30">
      <c r="B87" s="1081">
        <v>86</v>
      </c>
      <c r="C87" s="1082" t="s">
        <v>2472</v>
      </c>
      <c r="D87" s="1081" t="s">
        <v>1021</v>
      </c>
      <c r="E87" s="1081" t="s">
        <v>1031</v>
      </c>
      <c r="F87" s="1085">
        <v>19.170000000000002</v>
      </c>
      <c r="G87" s="1084">
        <v>42032</v>
      </c>
      <c r="H87" s="1084">
        <v>42396</v>
      </c>
      <c r="I87" s="1081" t="s">
        <v>2473</v>
      </c>
      <c r="J87" s="1085">
        <v>0</v>
      </c>
      <c r="K87" s="1081" t="s">
        <v>1064</v>
      </c>
    </row>
    <row r="88" spans="2:11" ht="30">
      <c r="B88" s="1081">
        <v>87</v>
      </c>
      <c r="C88" s="1082" t="s">
        <v>2474</v>
      </c>
      <c r="D88" s="1081" t="s">
        <v>1021</v>
      </c>
      <c r="E88" s="1081" t="s">
        <v>1032</v>
      </c>
      <c r="F88" s="1085">
        <v>8.4</v>
      </c>
      <c r="G88" s="1084">
        <v>42431</v>
      </c>
      <c r="H88" s="1084">
        <v>42614</v>
      </c>
      <c r="I88" s="1081" t="s">
        <v>1040</v>
      </c>
      <c r="J88" s="1085">
        <v>0</v>
      </c>
      <c r="K88" s="1081" t="s">
        <v>1064</v>
      </c>
    </row>
    <row r="89" spans="2:11">
      <c r="B89" s="1081">
        <v>88</v>
      </c>
      <c r="C89" s="1082" t="s">
        <v>2475</v>
      </c>
      <c r="D89" s="1081" t="s">
        <v>2299</v>
      </c>
      <c r="E89" s="1081" t="s">
        <v>2476</v>
      </c>
      <c r="F89" s="1085">
        <v>10</v>
      </c>
      <c r="G89" s="1081" t="s">
        <v>2476</v>
      </c>
      <c r="H89" s="1081" t="s">
        <v>2477</v>
      </c>
      <c r="I89" s="1081" t="s">
        <v>2381</v>
      </c>
      <c r="J89" s="1085">
        <v>11.47</v>
      </c>
      <c r="K89" s="1081" t="s">
        <v>1064</v>
      </c>
    </row>
    <row r="90" spans="2:11">
      <c r="B90" s="1081">
        <v>89</v>
      </c>
      <c r="C90" s="1082" t="s">
        <v>2478</v>
      </c>
      <c r="D90" s="1081" t="s">
        <v>1021</v>
      </c>
      <c r="E90" s="1521" t="s">
        <v>2479</v>
      </c>
      <c r="F90" s="1520">
        <v>82.1</v>
      </c>
      <c r="G90" s="1521" t="s">
        <v>2479</v>
      </c>
      <c r="H90" s="1521" t="s">
        <v>2480</v>
      </c>
      <c r="I90" s="1081" t="s">
        <v>2402</v>
      </c>
      <c r="J90" s="1081"/>
      <c r="K90" s="1081" t="s">
        <v>1064</v>
      </c>
    </row>
    <row r="91" spans="2:11">
      <c r="B91" s="1081">
        <v>90</v>
      </c>
      <c r="C91" s="1082" t="s">
        <v>2481</v>
      </c>
      <c r="D91" s="1081" t="s">
        <v>1021</v>
      </c>
      <c r="E91" s="1521"/>
      <c r="F91" s="1520"/>
      <c r="G91" s="1521"/>
      <c r="H91" s="1521"/>
      <c r="I91" s="1081" t="s">
        <v>2402</v>
      </c>
      <c r="J91" s="1081"/>
      <c r="K91" s="1081" t="s">
        <v>1064</v>
      </c>
    </row>
    <row r="92" spans="2:11">
      <c r="B92" s="1081">
        <v>91</v>
      </c>
      <c r="C92" s="1082" t="s">
        <v>2482</v>
      </c>
      <c r="D92" s="1081" t="s">
        <v>1021</v>
      </c>
      <c r="E92" s="1521"/>
      <c r="F92" s="1520"/>
      <c r="G92" s="1521"/>
      <c r="H92" s="1521"/>
      <c r="I92" s="1081" t="s">
        <v>2402</v>
      </c>
      <c r="J92" s="1081"/>
      <c r="K92" s="1081" t="s">
        <v>1064</v>
      </c>
    </row>
    <row r="93" spans="2:11">
      <c r="B93" s="1081">
        <v>92</v>
      </c>
      <c r="C93" s="1082" t="s">
        <v>2483</v>
      </c>
      <c r="D93" s="1081" t="s">
        <v>1021</v>
      </c>
      <c r="E93" s="1521"/>
      <c r="F93" s="1520"/>
      <c r="G93" s="1521"/>
      <c r="H93" s="1521"/>
      <c r="I93" s="1081" t="s">
        <v>2402</v>
      </c>
      <c r="J93" s="1081"/>
      <c r="K93" s="1081" t="s">
        <v>1064</v>
      </c>
    </row>
    <row r="94" spans="2:11" ht="30">
      <c r="B94" s="1081">
        <v>93</v>
      </c>
      <c r="C94" s="1082" t="s">
        <v>2484</v>
      </c>
      <c r="D94" s="1081" t="s">
        <v>2299</v>
      </c>
      <c r="E94" s="1081" t="s">
        <v>1051</v>
      </c>
      <c r="F94" s="1085">
        <v>74.69</v>
      </c>
      <c r="G94" s="1084">
        <v>41699</v>
      </c>
      <c r="H94" s="1084">
        <v>42124</v>
      </c>
      <c r="I94" s="1081">
        <v>0</v>
      </c>
      <c r="J94" s="1085">
        <v>0</v>
      </c>
      <c r="K94" s="1081" t="s">
        <v>1064</v>
      </c>
    </row>
    <row r="95" spans="2:11" ht="30">
      <c r="B95" s="1081">
        <v>94</v>
      </c>
      <c r="C95" s="1082" t="s">
        <v>2485</v>
      </c>
      <c r="D95" s="1081" t="s">
        <v>2299</v>
      </c>
      <c r="E95" s="1081" t="s">
        <v>1030</v>
      </c>
      <c r="F95" s="1085">
        <v>6.46</v>
      </c>
      <c r="G95" s="1081" t="s">
        <v>1030</v>
      </c>
      <c r="H95" s="1081" t="s">
        <v>2486</v>
      </c>
      <c r="I95" s="1081" t="s">
        <v>2402</v>
      </c>
      <c r="J95" s="1081"/>
      <c r="K95" s="1081" t="s">
        <v>1064</v>
      </c>
    </row>
    <row r="96" spans="2:11">
      <c r="B96" s="1081">
        <v>95</v>
      </c>
      <c r="C96" s="1082" t="s">
        <v>2487</v>
      </c>
      <c r="D96" s="1081" t="s">
        <v>2299</v>
      </c>
      <c r="E96" s="1081" t="s">
        <v>1027</v>
      </c>
      <c r="F96" s="1085">
        <v>4.33</v>
      </c>
      <c r="G96" s="1086">
        <v>42531</v>
      </c>
      <c r="H96" s="1086">
        <v>42713</v>
      </c>
      <c r="I96" s="1081">
        <v>0</v>
      </c>
      <c r="J96" s="1081"/>
      <c r="K96" s="1081" t="s">
        <v>1064</v>
      </c>
    </row>
    <row r="97" spans="2:11" ht="75">
      <c r="B97" s="1081">
        <v>96</v>
      </c>
      <c r="C97" s="1082" t="s">
        <v>2488</v>
      </c>
      <c r="D97" s="1081" t="s">
        <v>1021</v>
      </c>
      <c r="E97" s="1081" t="s">
        <v>2489</v>
      </c>
      <c r="F97" s="1085">
        <v>20.99</v>
      </c>
      <c r="G97" s="1086"/>
      <c r="H97" s="1086" t="s">
        <v>2490</v>
      </c>
      <c r="I97" s="1081" t="s">
        <v>2448</v>
      </c>
      <c r="J97" s="1081"/>
      <c r="K97" s="1081" t="s">
        <v>1064</v>
      </c>
    </row>
    <row r="98" spans="2:11" ht="60">
      <c r="B98" s="1081">
        <v>97</v>
      </c>
      <c r="C98" s="1082" t="s">
        <v>2491</v>
      </c>
      <c r="D98" s="1081" t="s">
        <v>1021</v>
      </c>
      <c r="E98" s="1081" t="s">
        <v>2492</v>
      </c>
      <c r="F98" s="1085">
        <v>14.83</v>
      </c>
      <c r="G98" s="1086"/>
      <c r="H98" s="1086" t="s">
        <v>2493</v>
      </c>
      <c r="I98" s="1081" t="s">
        <v>2448</v>
      </c>
      <c r="J98" s="1081"/>
      <c r="K98" s="1081" t="s">
        <v>1064</v>
      </c>
    </row>
    <row r="99" spans="2:11" ht="75">
      <c r="B99" s="1081">
        <v>98</v>
      </c>
      <c r="C99" s="1082" t="s">
        <v>2494</v>
      </c>
      <c r="D99" s="1081" t="s">
        <v>1021</v>
      </c>
      <c r="E99" s="1081" t="s">
        <v>1253</v>
      </c>
      <c r="F99" s="1085">
        <v>112.81</v>
      </c>
      <c r="G99" s="1086"/>
      <c r="H99" s="1086" t="s">
        <v>2495</v>
      </c>
      <c r="I99" s="1081" t="s">
        <v>2448</v>
      </c>
      <c r="J99" s="1081"/>
      <c r="K99" s="1081" t="s">
        <v>1064</v>
      </c>
    </row>
    <row r="100" spans="2:11" ht="60">
      <c r="B100" s="1081">
        <v>99</v>
      </c>
      <c r="C100" s="1082" t="s">
        <v>2496</v>
      </c>
      <c r="D100" s="1081" t="s">
        <v>1021</v>
      </c>
      <c r="E100" s="1081" t="s">
        <v>2497</v>
      </c>
      <c r="F100" s="1085">
        <v>63.94</v>
      </c>
      <c r="G100" s="1086"/>
      <c r="H100" s="1086" t="s">
        <v>2498</v>
      </c>
      <c r="I100" s="1081" t="s">
        <v>2499</v>
      </c>
      <c r="J100" s="1081"/>
      <c r="K100" s="1081" t="s">
        <v>1064</v>
      </c>
    </row>
    <row r="101" spans="2:11" ht="75">
      <c r="B101" s="1081">
        <v>100</v>
      </c>
      <c r="C101" s="1082" t="s">
        <v>2500</v>
      </c>
      <c r="D101" s="1081" t="s">
        <v>1021</v>
      </c>
      <c r="E101" s="1081" t="s">
        <v>2501</v>
      </c>
      <c r="F101" s="1085">
        <v>75.22</v>
      </c>
      <c r="G101" s="1086"/>
      <c r="H101" s="1086" t="s">
        <v>2502</v>
      </c>
      <c r="I101" s="1081" t="s">
        <v>2499</v>
      </c>
      <c r="J101" s="1081"/>
      <c r="K101" s="1081" t="s">
        <v>1064</v>
      </c>
    </row>
    <row r="102" spans="2:11" ht="60">
      <c r="B102" s="1081">
        <v>101</v>
      </c>
      <c r="C102" s="1082" t="s">
        <v>2503</v>
      </c>
      <c r="D102" s="1081" t="s">
        <v>1021</v>
      </c>
      <c r="E102" s="1081" t="s">
        <v>2504</v>
      </c>
      <c r="F102" s="1085">
        <v>86.67</v>
      </c>
      <c r="G102" s="1086"/>
      <c r="H102" s="1086">
        <v>0</v>
      </c>
      <c r="I102" s="1081" t="s">
        <v>2499</v>
      </c>
      <c r="J102" s="1081"/>
      <c r="K102" s="1081" t="s">
        <v>1064</v>
      </c>
    </row>
    <row r="103" spans="2:11" ht="60">
      <c r="B103" s="1081">
        <v>102</v>
      </c>
      <c r="C103" s="1082" t="s">
        <v>2505</v>
      </c>
      <c r="D103" s="1081" t="s">
        <v>1021</v>
      </c>
      <c r="E103" s="1081" t="s">
        <v>2506</v>
      </c>
      <c r="F103" s="1085">
        <v>12.03</v>
      </c>
      <c r="G103" s="1086"/>
      <c r="H103" s="1086" t="s">
        <v>2507</v>
      </c>
      <c r="I103" s="1081" t="s">
        <v>2508</v>
      </c>
      <c r="J103" s="1081"/>
      <c r="K103" s="1081" t="s">
        <v>1064</v>
      </c>
    </row>
    <row r="104" spans="2:11" ht="60">
      <c r="B104" s="1081">
        <v>103</v>
      </c>
      <c r="C104" s="1082" t="s">
        <v>2509</v>
      </c>
      <c r="D104" s="1081" t="s">
        <v>1021</v>
      </c>
      <c r="E104" s="1081" t="s">
        <v>2510</v>
      </c>
      <c r="F104" s="1085">
        <v>12.8</v>
      </c>
      <c r="G104" s="1086"/>
      <c r="H104" s="1086" t="s">
        <v>2511</v>
      </c>
      <c r="I104" s="1081" t="s">
        <v>2448</v>
      </c>
      <c r="J104" s="1081"/>
      <c r="K104" s="1081" t="s">
        <v>1064</v>
      </c>
    </row>
    <row r="105" spans="2:11" ht="45">
      <c r="B105" s="1081">
        <v>104</v>
      </c>
      <c r="C105" s="1082" t="s">
        <v>2512</v>
      </c>
      <c r="D105" s="1081" t="s">
        <v>1021</v>
      </c>
      <c r="E105" s="1081" t="s">
        <v>2513</v>
      </c>
      <c r="F105" s="1085">
        <v>10.53</v>
      </c>
      <c r="G105" s="1086"/>
      <c r="H105" s="1086" t="s">
        <v>2514</v>
      </c>
      <c r="I105" s="1081" t="s">
        <v>2448</v>
      </c>
      <c r="J105" s="1081"/>
      <c r="K105" s="1081" t="s">
        <v>1064</v>
      </c>
    </row>
    <row r="106" spans="2:11" ht="30">
      <c r="B106" s="1081">
        <v>105</v>
      </c>
      <c r="C106" s="1082" t="s">
        <v>1018</v>
      </c>
      <c r="D106" s="1081" t="s">
        <v>1021</v>
      </c>
      <c r="E106" s="1081" t="s">
        <v>2513</v>
      </c>
      <c r="F106" s="1085">
        <v>8.4499999999999993</v>
      </c>
      <c r="G106" s="1086"/>
      <c r="H106" s="1086" t="s">
        <v>2514</v>
      </c>
      <c r="I106" s="1081" t="s">
        <v>2448</v>
      </c>
      <c r="J106" s="1081"/>
      <c r="K106" s="1081" t="s">
        <v>1064</v>
      </c>
    </row>
    <row r="107" spans="2:11" ht="30">
      <c r="B107" s="1081">
        <v>106</v>
      </c>
      <c r="C107" s="1082" t="s">
        <v>1019</v>
      </c>
      <c r="D107" s="1081" t="s">
        <v>1021</v>
      </c>
      <c r="E107" s="1081" t="s">
        <v>2513</v>
      </c>
      <c r="F107" s="1085">
        <v>7.22</v>
      </c>
      <c r="G107" s="1086"/>
      <c r="H107" s="1086" t="s">
        <v>2514</v>
      </c>
      <c r="I107" s="1081" t="s">
        <v>2448</v>
      </c>
      <c r="J107" s="1081"/>
      <c r="K107" s="1081" t="s">
        <v>1064</v>
      </c>
    </row>
    <row r="108" spans="2:11" ht="60">
      <c r="B108" s="1081">
        <v>107</v>
      </c>
      <c r="C108" s="1082" t="s">
        <v>2515</v>
      </c>
      <c r="D108" s="1081" t="s">
        <v>1021</v>
      </c>
      <c r="E108" s="1081" t="s">
        <v>2513</v>
      </c>
      <c r="F108" s="1085">
        <v>22.01</v>
      </c>
      <c r="G108" s="1086"/>
      <c r="H108" s="1086" t="s">
        <v>2516</v>
      </c>
      <c r="I108" s="1081" t="s">
        <v>2448</v>
      </c>
      <c r="J108" s="1081"/>
      <c r="K108" s="1081" t="s">
        <v>1064</v>
      </c>
    </row>
    <row r="109" spans="2:11" ht="45">
      <c r="B109" s="1081">
        <v>108</v>
      </c>
      <c r="C109" s="1082" t="s">
        <v>2517</v>
      </c>
      <c r="D109" s="1081" t="s">
        <v>1021</v>
      </c>
      <c r="E109" s="1081" t="s">
        <v>2513</v>
      </c>
      <c r="F109" s="1085">
        <v>23.36</v>
      </c>
      <c r="G109" s="1086"/>
      <c r="H109" s="1086" t="s">
        <v>2516</v>
      </c>
      <c r="I109" s="1081" t="s">
        <v>2448</v>
      </c>
      <c r="J109" s="1081"/>
      <c r="K109" s="1081" t="s">
        <v>1064</v>
      </c>
    </row>
    <row r="110" spans="2:11" ht="60">
      <c r="B110" s="1081">
        <v>109</v>
      </c>
      <c r="C110" s="1082" t="s">
        <v>2518</v>
      </c>
      <c r="D110" s="1081" t="s">
        <v>1021</v>
      </c>
      <c r="E110" s="1081" t="s">
        <v>2513</v>
      </c>
      <c r="F110" s="1085">
        <v>20.49</v>
      </c>
      <c r="G110" s="1086"/>
      <c r="H110" s="1086" t="s">
        <v>2516</v>
      </c>
      <c r="I110" s="1081" t="s">
        <v>2448</v>
      </c>
      <c r="J110" s="1081"/>
      <c r="K110" s="1081" t="s">
        <v>1064</v>
      </c>
    </row>
    <row r="111" spans="2:11" ht="45">
      <c r="B111" s="1081">
        <v>110</v>
      </c>
      <c r="C111" s="1082" t="s">
        <v>2519</v>
      </c>
      <c r="D111" s="1081" t="s">
        <v>1021</v>
      </c>
      <c r="E111" s="1081" t="s">
        <v>2513</v>
      </c>
      <c r="F111" s="1085">
        <v>18.95</v>
      </c>
      <c r="G111" s="1086"/>
      <c r="H111" s="1086" t="s">
        <v>2516</v>
      </c>
      <c r="I111" s="1081" t="s">
        <v>2448</v>
      </c>
      <c r="J111" s="1081"/>
      <c r="K111" s="1081" t="s">
        <v>1064</v>
      </c>
    </row>
    <row r="112" spans="2:11" ht="45">
      <c r="B112" s="1081">
        <v>111</v>
      </c>
      <c r="C112" s="1082" t="s">
        <v>2520</v>
      </c>
      <c r="D112" s="1081" t="s">
        <v>1021</v>
      </c>
      <c r="E112" s="1081" t="s">
        <v>2513</v>
      </c>
      <c r="F112" s="1085">
        <v>17.09</v>
      </c>
      <c r="G112" s="1086"/>
      <c r="H112" s="1086" t="s">
        <v>2516</v>
      </c>
      <c r="I112" s="1081" t="s">
        <v>2448</v>
      </c>
      <c r="J112" s="1081"/>
      <c r="K112" s="1081" t="s">
        <v>1064</v>
      </c>
    </row>
    <row r="113" spans="2:11" ht="60">
      <c r="B113" s="1081">
        <v>112</v>
      </c>
      <c r="C113" s="1082" t="s">
        <v>2521</v>
      </c>
      <c r="D113" s="1081" t="s">
        <v>1021</v>
      </c>
      <c r="E113" s="1081" t="s">
        <v>2497</v>
      </c>
      <c r="F113" s="1085">
        <v>81.760000000000005</v>
      </c>
      <c r="G113" s="1086"/>
      <c r="H113" s="1086" t="s">
        <v>2498</v>
      </c>
      <c r="I113" s="1081" t="s">
        <v>2522</v>
      </c>
      <c r="J113" s="1081"/>
      <c r="K113" s="1081" t="s">
        <v>1064</v>
      </c>
    </row>
    <row r="114" spans="2:11" ht="90">
      <c r="B114" s="1081">
        <v>113</v>
      </c>
      <c r="C114" s="1082" t="s">
        <v>2523</v>
      </c>
      <c r="D114" s="1081" t="s">
        <v>1021</v>
      </c>
      <c r="E114" s="1081" t="s">
        <v>2524</v>
      </c>
      <c r="F114" s="1085">
        <v>40.39</v>
      </c>
      <c r="G114" s="1086"/>
      <c r="H114" s="1086" t="s">
        <v>2525</v>
      </c>
      <c r="I114" s="1081" t="s">
        <v>2526</v>
      </c>
      <c r="J114" s="1081"/>
      <c r="K114" s="1081" t="s">
        <v>1064</v>
      </c>
    </row>
    <row r="115" spans="2:11" ht="90">
      <c r="B115" s="1081">
        <v>114</v>
      </c>
      <c r="C115" s="1082" t="s">
        <v>2527</v>
      </c>
      <c r="D115" s="1081" t="s">
        <v>1021</v>
      </c>
      <c r="E115" s="1081" t="s">
        <v>2528</v>
      </c>
      <c r="F115" s="1085">
        <v>14.62</v>
      </c>
      <c r="G115" s="1086"/>
      <c r="H115" s="1086" t="s">
        <v>2498</v>
      </c>
      <c r="I115" s="1081" t="s">
        <v>2529</v>
      </c>
      <c r="J115" s="1081"/>
      <c r="K115" s="1081" t="s">
        <v>1064</v>
      </c>
    </row>
    <row r="116" spans="2:11" ht="150">
      <c r="B116" s="1081">
        <v>115</v>
      </c>
      <c r="C116" s="1082" t="s">
        <v>2530</v>
      </c>
      <c r="D116" s="1081" t="s">
        <v>1021</v>
      </c>
      <c r="E116" s="1081" t="s">
        <v>1253</v>
      </c>
      <c r="F116" s="1085">
        <v>86.24</v>
      </c>
      <c r="G116" s="1086"/>
      <c r="H116" s="1086" t="s">
        <v>2531</v>
      </c>
      <c r="I116" s="1081" t="s">
        <v>2499</v>
      </c>
      <c r="J116" s="1081"/>
      <c r="K116" s="1081" t="s">
        <v>1064</v>
      </c>
    </row>
    <row r="117" spans="2:11" ht="75">
      <c r="B117" s="1081">
        <v>116</v>
      </c>
      <c r="C117" s="1082" t="s">
        <v>2532</v>
      </c>
      <c r="D117" s="1081" t="s">
        <v>1021</v>
      </c>
      <c r="E117" s="1081" t="s">
        <v>2533</v>
      </c>
      <c r="F117" s="1085">
        <v>68.11</v>
      </c>
      <c r="G117" s="1086"/>
      <c r="H117" s="1086" t="s">
        <v>2534</v>
      </c>
      <c r="I117" s="1081" t="s">
        <v>2499</v>
      </c>
      <c r="J117" s="1081"/>
      <c r="K117" s="1081" t="s">
        <v>1064</v>
      </c>
    </row>
    <row r="118" spans="2:11" ht="120">
      <c r="B118" s="1081">
        <v>117</v>
      </c>
      <c r="C118" s="1082" t="s">
        <v>2535</v>
      </c>
      <c r="D118" s="1081" t="s">
        <v>1021</v>
      </c>
      <c r="E118" s="1081" t="s">
        <v>1253</v>
      </c>
      <c r="F118" s="1085">
        <v>49.57</v>
      </c>
      <c r="G118" s="1086"/>
      <c r="H118" s="1086" t="s">
        <v>2516</v>
      </c>
      <c r="I118" s="1081" t="s">
        <v>2499</v>
      </c>
      <c r="J118" s="1081"/>
      <c r="K118" s="1081" t="s">
        <v>1064</v>
      </c>
    </row>
    <row r="119" spans="2:11" ht="60">
      <c r="B119" s="1081">
        <v>118</v>
      </c>
      <c r="C119" s="1082" t="s">
        <v>2536</v>
      </c>
      <c r="D119" s="1081" t="s">
        <v>1021</v>
      </c>
      <c r="E119" s="1081" t="s">
        <v>2492</v>
      </c>
      <c r="F119" s="1085">
        <v>10.07</v>
      </c>
      <c r="G119" s="1086"/>
      <c r="H119" s="1086" t="s">
        <v>2514</v>
      </c>
      <c r="I119" s="1081" t="s">
        <v>2448</v>
      </c>
      <c r="J119" s="1081"/>
      <c r="K119" s="1081" t="s">
        <v>1064</v>
      </c>
    </row>
    <row r="120" spans="2:11" ht="60">
      <c r="B120" s="1081">
        <v>119</v>
      </c>
      <c r="C120" s="1082" t="s">
        <v>2537</v>
      </c>
      <c r="D120" s="1081" t="s">
        <v>1021</v>
      </c>
      <c r="E120" s="1081" t="s">
        <v>2538</v>
      </c>
      <c r="F120" s="1085">
        <v>8.24</v>
      </c>
      <c r="G120" s="1086"/>
      <c r="H120" s="1086" t="s">
        <v>2539</v>
      </c>
      <c r="I120" s="1081" t="s">
        <v>2540</v>
      </c>
      <c r="J120" s="1081"/>
      <c r="K120" s="1081" t="s">
        <v>1064</v>
      </c>
    </row>
    <row r="121" spans="2:11" ht="60">
      <c r="B121" s="1081">
        <v>120</v>
      </c>
      <c r="C121" s="1082" t="s">
        <v>2541</v>
      </c>
      <c r="D121" s="1081" t="s">
        <v>1021</v>
      </c>
      <c r="E121" s="1081" t="s">
        <v>2542</v>
      </c>
      <c r="F121" s="1085">
        <v>33.450000000000003</v>
      </c>
      <c r="G121" s="1086"/>
      <c r="H121" s="1086" t="s">
        <v>2543</v>
      </c>
      <c r="I121" s="1081" t="s">
        <v>2499</v>
      </c>
      <c r="J121" s="1081"/>
      <c r="K121" s="1081" t="s">
        <v>1064</v>
      </c>
    </row>
    <row r="122" spans="2:11" ht="75">
      <c r="B122" s="1081">
        <v>121</v>
      </c>
      <c r="C122" s="1082" t="s">
        <v>2544</v>
      </c>
      <c r="D122" s="1081" t="s">
        <v>1021</v>
      </c>
      <c r="E122" s="1081" t="s">
        <v>2545</v>
      </c>
      <c r="F122" s="1085">
        <v>29.14</v>
      </c>
      <c r="G122" s="1086"/>
      <c r="H122" s="1086" t="s">
        <v>2546</v>
      </c>
      <c r="I122" s="1081" t="s">
        <v>2547</v>
      </c>
      <c r="J122" s="1081"/>
      <c r="K122" s="1081" t="s">
        <v>1064</v>
      </c>
    </row>
    <row r="123" spans="2:11" ht="60">
      <c r="B123" s="1081">
        <v>122</v>
      </c>
      <c r="C123" s="1082" t="s">
        <v>2548</v>
      </c>
      <c r="D123" s="1081" t="s">
        <v>1021</v>
      </c>
      <c r="E123" s="1081" t="s">
        <v>2549</v>
      </c>
      <c r="F123" s="1085">
        <v>16.73</v>
      </c>
      <c r="G123" s="1086"/>
      <c r="H123" s="1086" t="s">
        <v>2547</v>
      </c>
      <c r="I123" s="1081" t="s">
        <v>2547</v>
      </c>
      <c r="J123" s="1081"/>
      <c r="K123" s="1081" t="s">
        <v>1064</v>
      </c>
    </row>
    <row r="124" spans="2:11" ht="45">
      <c r="B124" s="1081">
        <v>123</v>
      </c>
      <c r="C124" s="1082" t="s">
        <v>2550</v>
      </c>
      <c r="D124" s="1081"/>
      <c r="E124" s="1081">
        <v>43486</v>
      </c>
      <c r="F124" s="1085">
        <v>114</v>
      </c>
      <c r="G124" s="1086">
        <v>43486</v>
      </c>
      <c r="H124" s="1086"/>
      <c r="I124" s="1081" t="s">
        <v>2448</v>
      </c>
      <c r="J124" s="1081">
        <v>93.37</v>
      </c>
      <c r="K124" s="1081" t="s">
        <v>1064</v>
      </c>
    </row>
    <row r="125" spans="2:11" ht="45">
      <c r="B125" s="1081">
        <v>124</v>
      </c>
      <c r="C125" s="1082" t="s">
        <v>2551</v>
      </c>
      <c r="D125" s="1081"/>
      <c r="E125" s="1081">
        <v>43486</v>
      </c>
      <c r="F125" s="1085">
        <v>40.18</v>
      </c>
      <c r="G125" s="1086">
        <v>43486</v>
      </c>
      <c r="H125" s="1086"/>
      <c r="I125" s="1081" t="s">
        <v>2552</v>
      </c>
      <c r="J125" s="1081">
        <v>34.74</v>
      </c>
      <c r="K125" s="1081" t="s">
        <v>1064</v>
      </c>
    </row>
    <row r="126" spans="2:11" ht="45">
      <c r="B126" s="1081">
        <v>125</v>
      </c>
      <c r="C126" s="1082" t="s">
        <v>2553</v>
      </c>
      <c r="D126" s="1081" t="s">
        <v>1021</v>
      </c>
      <c r="E126" s="1081" t="s">
        <v>1253</v>
      </c>
      <c r="F126" s="1085">
        <v>194.21</v>
      </c>
      <c r="G126" s="1086"/>
      <c r="H126" s="1086" t="s">
        <v>2554</v>
      </c>
      <c r="I126" s="1081" t="s">
        <v>2499</v>
      </c>
      <c r="J126" s="1081"/>
      <c r="K126" s="1081" t="s">
        <v>1064</v>
      </c>
    </row>
    <row r="127" spans="2:11" ht="60">
      <c r="B127" s="1081">
        <v>126</v>
      </c>
      <c r="C127" s="1082" t="s">
        <v>2555</v>
      </c>
      <c r="D127" s="1081" t="s">
        <v>1021</v>
      </c>
      <c r="E127" s="1081" t="s">
        <v>2556</v>
      </c>
      <c r="F127" s="1085">
        <v>42.19</v>
      </c>
      <c r="G127" s="1086"/>
      <c r="H127" s="1086" t="s">
        <v>2557</v>
      </c>
      <c r="I127" s="1081" t="s">
        <v>2499</v>
      </c>
      <c r="J127" s="1081"/>
      <c r="K127" s="1081" t="s">
        <v>1064</v>
      </c>
    </row>
    <row r="128" spans="2:11" ht="45">
      <c r="B128" s="1081">
        <v>127</v>
      </c>
      <c r="C128" s="1082" t="s">
        <v>2558</v>
      </c>
      <c r="D128" s="1081" t="s">
        <v>1021</v>
      </c>
      <c r="E128" s="1081" t="s">
        <v>2559</v>
      </c>
      <c r="F128" s="1085">
        <v>35.99</v>
      </c>
      <c r="G128" s="1086"/>
      <c r="H128" s="1086" t="s">
        <v>2554</v>
      </c>
      <c r="I128" s="1081" t="s">
        <v>2560</v>
      </c>
      <c r="J128" s="1081"/>
      <c r="K128" s="1081" t="s">
        <v>1064</v>
      </c>
    </row>
    <row r="129" spans="2:11" ht="45">
      <c r="B129" s="1081">
        <v>128</v>
      </c>
      <c r="C129" s="1082" t="s">
        <v>2561</v>
      </c>
      <c r="D129" s="1081" t="s">
        <v>1021</v>
      </c>
      <c r="E129" s="1081" t="s">
        <v>2562</v>
      </c>
      <c r="F129" s="1085">
        <v>42.69</v>
      </c>
      <c r="G129" s="1086"/>
      <c r="H129" s="1086" t="s">
        <v>2563</v>
      </c>
      <c r="I129" s="1081" t="s">
        <v>2564</v>
      </c>
      <c r="J129" s="1081"/>
      <c r="K129" s="1081" t="s">
        <v>1064</v>
      </c>
    </row>
    <row r="130" spans="2:11" ht="195">
      <c r="B130" s="1081">
        <v>129</v>
      </c>
      <c r="C130" s="1082" t="s">
        <v>2565</v>
      </c>
      <c r="D130" s="1081" t="s">
        <v>1021</v>
      </c>
      <c r="E130" s="1081" t="s">
        <v>2566</v>
      </c>
      <c r="F130" s="1085">
        <v>105.28</v>
      </c>
      <c r="G130" s="1086"/>
      <c r="H130" s="1086" t="s">
        <v>2502</v>
      </c>
      <c r="I130" s="1081" t="s">
        <v>2567</v>
      </c>
      <c r="J130" s="1081"/>
      <c r="K130" s="1081" t="s">
        <v>1064</v>
      </c>
    </row>
    <row r="131" spans="2:11" ht="45">
      <c r="B131" s="1081">
        <v>130</v>
      </c>
      <c r="C131" s="1082" t="s">
        <v>2568</v>
      </c>
      <c r="D131" s="1081" t="s">
        <v>1021</v>
      </c>
      <c r="E131" s="1081" t="s">
        <v>2492</v>
      </c>
      <c r="F131" s="1085">
        <v>6.72</v>
      </c>
      <c r="G131" s="1086"/>
      <c r="H131" s="1086" t="s">
        <v>2569</v>
      </c>
      <c r="I131" s="1081" t="s">
        <v>2564</v>
      </c>
      <c r="J131" s="1081"/>
      <c r="K131" s="1081" t="s">
        <v>1064</v>
      </c>
    </row>
    <row r="132" spans="2:11" ht="75">
      <c r="B132" s="1081">
        <v>131</v>
      </c>
      <c r="C132" s="1082" t="s">
        <v>2570</v>
      </c>
      <c r="D132" s="1081" t="s">
        <v>1021</v>
      </c>
      <c r="E132" s="1081" t="s">
        <v>1253</v>
      </c>
      <c r="F132" s="1085">
        <v>85.43</v>
      </c>
      <c r="G132" s="1086"/>
      <c r="H132" s="1086" t="s">
        <v>2571</v>
      </c>
      <c r="I132" s="1081" t="s">
        <v>2572</v>
      </c>
      <c r="J132" s="1081"/>
      <c r="K132" s="1081" t="s">
        <v>1064</v>
      </c>
    </row>
    <row r="133" spans="2:11" ht="45">
      <c r="B133" s="1081">
        <v>132</v>
      </c>
      <c r="C133" s="1082" t="s">
        <v>2573</v>
      </c>
      <c r="D133" s="1081" t="s">
        <v>1021</v>
      </c>
      <c r="E133" s="1081" t="s">
        <v>1253</v>
      </c>
      <c r="F133" s="1085">
        <v>132.91</v>
      </c>
      <c r="G133" s="1086"/>
      <c r="H133" s="1086" t="s">
        <v>2574</v>
      </c>
      <c r="I133" s="1081" t="s">
        <v>2575</v>
      </c>
      <c r="J133" s="1081"/>
      <c r="K133" s="1081" t="s">
        <v>1064</v>
      </c>
    </row>
    <row r="134" spans="2:11" ht="45">
      <c r="B134" s="1081">
        <v>133</v>
      </c>
      <c r="C134" s="1082" t="s">
        <v>2576</v>
      </c>
      <c r="D134" s="1081" t="s">
        <v>1021</v>
      </c>
      <c r="E134" s="1081" t="s">
        <v>1253</v>
      </c>
      <c r="F134" s="1085">
        <v>138.94999999999999</v>
      </c>
      <c r="G134" s="1086"/>
      <c r="H134" s="1086" t="s">
        <v>2495</v>
      </c>
      <c r="I134" s="1081" t="s">
        <v>2567</v>
      </c>
      <c r="J134" s="1081"/>
      <c r="K134" s="1081" t="s">
        <v>1064</v>
      </c>
    </row>
    <row r="135" spans="2:11" ht="45">
      <c r="B135" s="1081">
        <v>134</v>
      </c>
      <c r="C135" s="1082" t="s">
        <v>2577</v>
      </c>
      <c r="D135" s="1081" t="s">
        <v>1021</v>
      </c>
      <c r="E135" s="1081" t="s">
        <v>2578</v>
      </c>
      <c r="F135" s="1085">
        <v>6.99</v>
      </c>
      <c r="G135" s="1086"/>
      <c r="H135" s="1086" t="s">
        <v>2579</v>
      </c>
      <c r="I135" s="1081" t="s">
        <v>2580</v>
      </c>
      <c r="J135" s="1081"/>
      <c r="K135" s="1081" t="s">
        <v>1064</v>
      </c>
    </row>
    <row r="136" spans="2:11" ht="30">
      <c r="B136" s="1081">
        <v>135</v>
      </c>
      <c r="C136" s="1082" t="s">
        <v>2581</v>
      </c>
      <c r="D136" s="1081" t="s">
        <v>1021</v>
      </c>
      <c r="E136" s="1081" t="s">
        <v>2492</v>
      </c>
      <c r="F136" s="1085">
        <v>7.04</v>
      </c>
      <c r="G136" s="1086"/>
      <c r="H136" s="1086" t="s">
        <v>2582</v>
      </c>
      <c r="I136" s="1081" t="s">
        <v>2564</v>
      </c>
      <c r="J136" s="1081"/>
      <c r="K136" s="1081" t="s">
        <v>1064</v>
      </c>
    </row>
    <row r="137" spans="2:11" ht="60">
      <c r="B137" s="1081">
        <v>136</v>
      </c>
      <c r="C137" s="1082" t="s">
        <v>2583</v>
      </c>
      <c r="D137" s="1081" t="s">
        <v>1021</v>
      </c>
      <c r="E137" s="1081" t="s">
        <v>2584</v>
      </c>
      <c r="F137" s="1085">
        <v>47.27</v>
      </c>
      <c r="G137" s="1086"/>
      <c r="H137" s="1086" t="s">
        <v>2554</v>
      </c>
      <c r="I137" s="1081" t="s">
        <v>2560</v>
      </c>
      <c r="J137" s="1081"/>
      <c r="K137" s="1081" t="s">
        <v>1064</v>
      </c>
    </row>
    <row r="138" spans="2:11" ht="75">
      <c r="B138" s="1081">
        <v>137</v>
      </c>
      <c r="C138" s="1082" t="s">
        <v>2585</v>
      </c>
      <c r="D138" s="1081" t="s">
        <v>1021</v>
      </c>
      <c r="E138" s="1081" t="s">
        <v>2586</v>
      </c>
      <c r="F138" s="1085">
        <v>104.38</v>
      </c>
      <c r="G138" s="1086"/>
      <c r="H138" s="1086" t="s">
        <v>2587</v>
      </c>
      <c r="I138" s="1081" t="s">
        <v>2572</v>
      </c>
      <c r="J138" s="1081"/>
      <c r="K138" s="1081" t="s">
        <v>1064</v>
      </c>
    </row>
    <row r="139" spans="2:11" ht="90">
      <c r="B139" s="1081">
        <v>138</v>
      </c>
      <c r="C139" s="1082" t="s">
        <v>2588</v>
      </c>
      <c r="D139" s="1081" t="s">
        <v>1021</v>
      </c>
      <c r="E139" s="1081" t="s">
        <v>2589</v>
      </c>
      <c r="F139" s="1085">
        <v>139.13999999999999</v>
      </c>
      <c r="G139" s="1086"/>
      <c r="H139" s="1086" t="s">
        <v>2502</v>
      </c>
      <c r="I139" s="1081" t="s">
        <v>2572</v>
      </c>
      <c r="J139" s="1081"/>
      <c r="K139" s="1081" t="s">
        <v>1064</v>
      </c>
    </row>
    <row r="140" spans="2:11" ht="45">
      <c r="B140" s="1081">
        <v>139</v>
      </c>
      <c r="C140" s="1082" t="s">
        <v>2561</v>
      </c>
      <c r="D140" s="1081" t="s">
        <v>1021</v>
      </c>
      <c r="E140" s="1081" t="s">
        <v>2562</v>
      </c>
      <c r="F140" s="1085">
        <v>42.79</v>
      </c>
      <c r="G140" s="1086"/>
      <c r="H140" s="1086" t="s">
        <v>2563</v>
      </c>
      <c r="I140" s="1081" t="s">
        <v>2448</v>
      </c>
      <c r="J140" s="1081"/>
      <c r="K140" s="1081" t="s">
        <v>1064</v>
      </c>
    </row>
    <row r="141" spans="2:11" ht="45">
      <c r="B141" s="1081">
        <v>140</v>
      </c>
      <c r="C141" s="1082" t="s">
        <v>2590</v>
      </c>
      <c r="D141" s="1081" t="s">
        <v>1021</v>
      </c>
      <c r="E141" s="1081" t="s">
        <v>2492</v>
      </c>
      <c r="F141" s="1085">
        <v>10.41</v>
      </c>
      <c r="G141" s="1086"/>
      <c r="H141" s="1086" t="s">
        <v>2591</v>
      </c>
      <c r="I141" s="1081" t="s">
        <v>2448</v>
      </c>
      <c r="J141" s="1081"/>
      <c r="K141" s="1081" t="s">
        <v>1064</v>
      </c>
    </row>
    <row r="146" spans="9:9">
      <c r="I146" s="323" t="s">
        <v>2592</v>
      </c>
    </row>
  </sheetData>
  <mergeCells count="18">
    <mergeCell ref="E7:E9"/>
    <mergeCell ref="F7:F9"/>
    <mergeCell ref="G7:G9"/>
    <mergeCell ref="H7:H9"/>
    <mergeCell ref="J7:J9"/>
    <mergeCell ref="E3:E6"/>
    <mergeCell ref="F3:F6"/>
    <mergeCell ref="G3:G6"/>
    <mergeCell ref="H3:H6"/>
    <mergeCell ref="J3:J6"/>
    <mergeCell ref="E81:E85"/>
    <mergeCell ref="F81:F85"/>
    <mergeCell ref="G81:G85"/>
    <mergeCell ref="H81:H85"/>
    <mergeCell ref="E90:E93"/>
    <mergeCell ref="F90:F93"/>
    <mergeCell ref="G90:G93"/>
    <mergeCell ref="H90:H93"/>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J33"/>
  <sheetViews>
    <sheetView showGridLines="0" view="pageBreakPreview" topLeftCell="A4" zoomScale="60" zoomScaleNormal="100" workbookViewId="0">
      <selection activeCell="C4" sqref="C4"/>
    </sheetView>
  </sheetViews>
  <sheetFormatPr defaultRowHeight="15"/>
  <cols>
    <col min="1" max="1" width="6" style="166" bestFit="1" customWidth="1"/>
    <col min="2" max="2" width="13.5703125" style="166" customWidth="1"/>
    <col min="3" max="3" width="24.42578125" style="166" customWidth="1"/>
    <col min="4" max="4" width="19.7109375" style="166" customWidth="1"/>
    <col min="5" max="5" width="17" style="166" customWidth="1"/>
    <col min="6" max="6" width="16.140625" style="166" customWidth="1"/>
    <col min="7" max="7" width="13.7109375" style="166" customWidth="1"/>
    <col min="8" max="8" width="14" style="166" hidden="1" customWidth="1"/>
    <col min="9" max="12" width="0" style="166" hidden="1" customWidth="1"/>
    <col min="13" max="256" width="9.140625" style="166"/>
    <col min="257" max="258" width="6" style="166" bestFit="1" customWidth="1"/>
    <col min="259" max="259" width="24.42578125" style="166" customWidth="1"/>
    <col min="260" max="260" width="19.7109375" style="166" customWidth="1"/>
    <col min="261" max="261" width="14.42578125" style="166" customWidth="1"/>
    <col min="262" max="262" width="15.42578125" style="166" customWidth="1"/>
    <col min="263" max="263" width="10.42578125" style="166" bestFit="1" customWidth="1"/>
    <col min="264" max="264" width="14" style="166" customWidth="1"/>
    <col min="265" max="512" width="9.140625" style="166"/>
    <col min="513" max="514" width="6" style="166" bestFit="1" customWidth="1"/>
    <col min="515" max="515" width="24.42578125" style="166" customWidth="1"/>
    <col min="516" max="516" width="19.7109375" style="166" customWidth="1"/>
    <col min="517" max="517" width="14.42578125" style="166" customWidth="1"/>
    <col min="518" max="518" width="15.42578125" style="166" customWidth="1"/>
    <col min="519" max="519" width="10.42578125" style="166" bestFit="1" customWidth="1"/>
    <col min="520" max="520" width="14" style="166" customWidth="1"/>
    <col min="521" max="768" width="9.140625" style="166"/>
    <col min="769" max="770" width="6" style="166" bestFit="1" customWidth="1"/>
    <col min="771" max="771" width="24.42578125" style="166" customWidth="1"/>
    <col min="772" max="772" width="19.7109375" style="166" customWidth="1"/>
    <col min="773" max="773" width="14.42578125" style="166" customWidth="1"/>
    <col min="774" max="774" width="15.42578125" style="166" customWidth="1"/>
    <col min="775" max="775" width="10.42578125" style="166" bestFit="1" customWidth="1"/>
    <col min="776" max="776" width="14" style="166" customWidth="1"/>
    <col min="777" max="1024" width="9.140625" style="166"/>
    <col min="1025" max="1026" width="6" style="166" bestFit="1" customWidth="1"/>
    <col min="1027" max="1027" width="24.42578125" style="166" customWidth="1"/>
    <col min="1028" max="1028" width="19.7109375" style="166" customWidth="1"/>
    <col min="1029" max="1029" width="14.42578125" style="166" customWidth="1"/>
    <col min="1030" max="1030" width="15.42578125" style="166" customWidth="1"/>
    <col min="1031" max="1031" width="10.42578125" style="166" bestFit="1" customWidth="1"/>
    <col min="1032" max="1032" width="14" style="166" customWidth="1"/>
    <col min="1033" max="1280" width="9.140625" style="166"/>
    <col min="1281" max="1282" width="6" style="166" bestFit="1" customWidth="1"/>
    <col min="1283" max="1283" width="24.42578125" style="166" customWidth="1"/>
    <col min="1284" max="1284" width="19.7109375" style="166" customWidth="1"/>
    <col min="1285" max="1285" width="14.42578125" style="166" customWidth="1"/>
    <col min="1286" max="1286" width="15.42578125" style="166" customWidth="1"/>
    <col min="1287" max="1287" width="10.42578125" style="166" bestFit="1" customWidth="1"/>
    <col min="1288" max="1288" width="14" style="166" customWidth="1"/>
    <col min="1289" max="1536" width="9.140625" style="166"/>
    <col min="1537" max="1538" width="6" style="166" bestFit="1" customWidth="1"/>
    <col min="1539" max="1539" width="24.42578125" style="166" customWidth="1"/>
    <col min="1540" max="1540" width="19.7109375" style="166" customWidth="1"/>
    <col min="1541" max="1541" width="14.42578125" style="166" customWidth="1"/>
    <col min="1542" max="1542" width="15.42578125" style="166" customWidth="1"/>
    <col min="1543" max="1543" width="10.42578125" style="166" bestFit="1" customWidth="1"/>
    <col min="1544" max="1544" width="14" style="166" customWidth="1"/>
    <col min="1545" max="1792" width="9.140625" style="166"/>
    <col min="1793" max="1794" width="6" style="166" bestFit="1" customWidth="1"/>
    <col min="1795" max="1795" width="24.42578125" style="166" customWidth="1"/>
    <col min="1796" max="1796" width="19.7109375" style="166" customWidth="1"/>
    <col min="1797" max="1797" width="14.42578125" style="166" customWidth="1"/>
    <col min="1798" max="1798" width="15.42578125" style="166" customWidth="1"/>
    <col min="1799" max="1799" width="10.42578125" style="166" bestFit="1" customWidth="1"/>
    <col min="1800" max="1800" width="14" style="166" customWidth="1"/>
    <col min="1801" max="2048" width="9.140625" style="166"/>
    <col min="2049" max="2050" width="6" style="166" bestFit="1" customWidth="1"/>
    <col min="2051" max="2051" width="24.42578125" style="166" customWidth="1"/>
    <col min="2052" max="2052" width="19.7109375" style="166" customWidth="1"/>
    <col min="2053" max="2053" width="14.42578125" style="166" customWidth="1"/>
    <col min="2054" max="2054" width="15.42578125" style="166" customWidth="1"/>
    <col min="2055" max="2055" width="10.42578125" style="166" bestFit="1" customWidth="1"/>
    <col min="2056" max="2056" width="14" style="166" customWidth="1"/>
    <col min="2057" max="2304" width="9.140625" style="166"/>
    <col min="2305" max="2306" width="6" style="166" bestFit="1" customWidth="1"/>
    <col min="2307" max="2307" width="24.42578125" style="166" customWidth="1"/>
    <col min="2308" max="2308" width="19.7109375" style="166" customWidth="1"/>
    <col min="2309" max="2309" width="14.42578125" style="166" customWidth="1"/>
    <col min="2310" max="2310" width="15.42578125" style="166" customWidth="1"/>
    <col min="2311" max="2311" width="10.42578125" style="166" bestFit="1" customWidth="1"/>
    <col min="2312" max="2312" width="14" style="166" customWidth="1"/>
    <col min="2313" max="2560" width="9.140625" style="166"/>
    <col min="2561" max="2562" width="6" style="166" bestFit="1" customWidth="1"/>
    <col min="2563" max="2563" width="24.42578125" style="166" customWidth="1"/>
    <col min="2564" max="2564" width="19.7109375" style="166" customWidth="1"/>
    <col min="2565" max="2565" width="14.42578125" style="166" customWidth="1"/>
    <col min="2566" max="2566" width="15.42578125" style="166" customWidth="1"/>
    <col min="2567" max="2567" width="10.42578125" style="166" bestFit="1" customWidth="1"/>
    <col min="2568" max="2568" width="14" style="166" customWidth="1"/>
    <col min="2569" max="2816" width="9.140625" style="166"/>
    <col min="2817" max="2818" width="6" style="166" bestFit="1" customWidth="1"/>
    <col min="2819" max="2819" width="24.42578125" style="166" customWidth="1"/>
    <col min="2820" max="2820" width="19.7109375" style="166" customWidth="1"/>
    <col min="2821" max="2821" width="14.42578125" style="166" customWidth="1"/>
    <col min="2822" max="2822" width="15.42578125" style="166" customWidth="1"/>
    <col min="2823" max="2823" width="10.42578125" style="166" bestFit="1" customWidth="1"/>
    <col min="2824" max="2824" width="14" style="166" customWidth="1"/>
    <col min="2825" max="3072" width="9.140625" style="166"/>
    <col min="3073" max="3074" width="6" style="166" bestFit="1" customWidth="1"/>
    <col min="3075" max="3075" width="24.42578125" style="166" customWidth="1"/>
    <col min="3076" max="3076" width="19.7109375" style="166" customWidth="1"/>
    <col min="3077" max="3077" width="14.42578125" style="166" customWidth="1"/>
    <col min="3078" max="3078" width="15.42578125" style="166" customWidth="1"/>
    <col min="3079" max="3079" width="10.42578125" style="166" bestFit="1" customWidth="1"/>
    <col min="3080" max="3080" width="14" style="166" customWidth="1"/>
    <col min="3081" max="3328" width="9.140625" style="166"/>
    <col min="3329" max="3330" width="6" style="166" bestFit="1" customWidth="1"/>
    <col min="3331" max="3331" width="24.42578125" style="166" customWidth="1"/>
    <col min="3332" max="3332" width="19.7109375" style="166" customWidth="1"/>
    <col min="3333" max="3333" width="14.42578125" style="166" customWidth="1"/>
    <col min="3334" max="3334" width="15.42578125" style="166" customWidth="1"/>
    <col min="3335" max="3335" width="10.42578125" style="166" bestFit="1" customWidth="1"/>
    <col min="3336" max="3336" width="14" style="166" customWidth="1"/>
    <col min="3337" max="3584" width="9.140625" style="166"/>
    <col min="3585" max="3586" width="6" style="166" bestFit="1" customWidth="1"/>
    <col min="3587" max="3587" width="24.42578125" style="166" customWidth="1"/>
    <col min="3588" max="3588" width="19.7109375" style="166" customWidth="1"/>
    <col min="3589" max="3589" width="14.42578125" style="166" customWidth="1"/>
    <col min="3590" max="3590" width="15.42578125" style="166" customWidth="1"/>
    <col min="3591" max="3591" width="10.42578125" style="166" bestFit="1" customWidth="1"/>
    <col min="3592" max="3592" width="14" style="166" customWidth="1"/>
    <col min="3593" max="3840" width="9.140625" style="166"/>
    <col min="3841" max="3842" width="6" style="166" bestFit="1" customWidth="1"/>
    <col min="3843" max="3843" width="24.42578125" style="166" customWidth="1"/>
    <col min="3844" max="3844" width="19.7109375" style="166" customWidth="1"/>
    <col min="3845" max="3845" width="14.42578125" style="166" customWidth="1"/>
    <col min="3846" max="3846" width="15.42578125" style="166" customWidth="1"/>
    <col min="3847" max="3847" width="10.42578125" style="166" bestFit="1" customWidth="1"/>
    <col min="3848" max="3848" width="14" style="166" customWidth="1"/>
    <col min="3849" max="4096" width="9.140625" style="166"/>
    <col min="4097" max="4098" width="6" style="166" bestFit="1" customWidth="1"/>
    <col min="4099" max="4099" width="24.42578125" style="166" customWidth="1"/>
    <col min="4100" max="4100" width="19.7109375" style="166" customWidth="1"/>
    <col min="4101" max="4101" width="14.42578125" style="166" customWidth="1"/>
    <col min="4102" max="4102" width="15.42578125" style="166" customWidth="1"/>
    <col min="4103" max="4103" width="10.42578125" style="166" bestFit="1" customWidth="1"/>
    <col min="4104" max="4104" width="14" style="166" customWidth="1"/>
    <col min="4105" max="4352" width="9.140625" style="166"/>
    <col min="4353" max="4354" width="6" style="166" bestFit="1" customWidth="1"/>
    <col min="4355" max="4355" width="24.42578125" style="166" customWidth="1"/>
    <col min="4356" max="4356" width="19.7109375" style="166" customWidth="1"/>
    <col min="4357" max="4357" width="14.42578125" style="166" customWidth="1"/>
    <col min="4358" max="4358" width="15.42578125" style="166" customWidth="1"/>
    <col min="4359" max="4359" width="10.42578125" style="166" bestFit="1" customWidth="1"/>
    <col min="4360" max="4360" width="14" style="166" customWidth="1"/>
    <col min="4361" max="4608" width="9.140625" style="166"/>
    <col min="4609" max="4610" width="6" style="166" bestFit="1" customWidth="1"/>
    <col min="4611" max="4611" width="24.42578125" style="166" customWidth="1"/>
    <col min="4612" max="4612" width="19.7109375" style="166" customWidth="1"/>
    <col min="4613" max="4613" width="14.42578125" style="166" customWidth="1"/>
    <col min="4614" max="4614" width="15.42578125" style="166" customWidth="1"/>
    <col min="4615" max="4615" width="10.42578125" style="166" bestFit="1" customWidth="1"/>
    <col min="4616" max="4616" width="14" style="166" customWidth="1"/>
    <col min="4617" max="4864" width="9.140625" style="166"/>
    <col min="4865" max="4866" width="6" style="166" bestFit="1" customWidth="1"/>
    <col min="4867" max="4867" width="24.42578125" style="166" customWidth="1"/>
    <col min="4868" max="4868" width="19.7109375" style="166" customWidth="1"/>
    <col min="4869" max="4869" width="14.42578125" style="166" customWidth="1"/>
    <col min="4870" max="4870" width="15.42578125" style="166" customWidth="1"/>
    <col min="4871" max="4871" width="10.42578125" style="166" bestFit="1" customWidth="1"/>
    <col min="4872" max="4872" width="14" style="166" customWidth="1"/>
    <col min="4873" max="5120" width="9.140625" style="166"/>
    <col min="5121" max="5122" width="6" style="166" bestFit="1" customWidth="1"/>
    <col min="5123" max="5123" width="24.42578125" style="166" customWidth="1"/>
    <col min="5124" max="5124" width="19.7109375" style="166" customWidth="1"/>
    <col min="5125" max="5125" width="14.42578125" style="166" customWidth="1"/>
    <col min="5126" max="5126" width="15.42578125" style="166" customWidth="1"/>
    <col min="5127" max="5127" width="10.42578125" style="166" bestFit="1" customWidth="1"/>
    <col min="5128" max="5128" width="14" style="166" customWidth="1"/>
    <col min="5129" max="5376" width="9.140625" style="166"/>
    <col min="5377" max="5378" width="6" style="166" bestFit="1" customWidth="1"/>
    <col min="5379" max="5379" width="24.42578125" style="166" customWidth="1"/>
    <col min="5380" max="5380" width="19.7109375" style="166" customWidth="1"/>
    <col min="5381" max="5381" width="14.42578125" style="166" customWidth="1"/>
    <col min="5382" max="5382" width="15.42578125" style="166" customWidth="1"/>
    <col min="5383" max="5383" width="10.42578125" style="166" bestFit="1" customWidth="1"/>
    <col min="5384" max="5384" width="14" style="166" customWidth="1"/>
    <col min="5385" max="5632" width="9.140625" style="166"/>
    <col min="5633" max="5634" width="6" style="166" bestFit="1" customWidth="1"/>
    <col min="5635" max="5635" width="24.42578125" style="166" customWidth="1"/>
    <col min="5636" max="5636" width="19.7109375" style="166" customWidth="1"/>
    <col min="5637" max="5637" width="14.42578125" style="166" customWidth="1"/>
    <col min="5638" max="5638" width="15.42578125" style="166" customWidth="1"/>
    <col min="5639" max="5639" width="10.42578125" style="166" bestFit="1" customWidth="1"/>
    <col min="5640" max="5640" width="14" style="166" customWidth="1"/>
    <col min="5641" max="5888" width="9.140625" style="166"/>
    <col min="5889" max="5890" width="6" style="166" bestFit="1" customWidth="1"/>
    <col min="5891" max="5891" width="24.42578125" style="166" customWidth="1"/>
    <col min="5892" max="5892" width="19.7109375" style="166" customWidth="1"/>
    <col min="5893" max="5893" width="14.42578125" style="166" customWidth="1"/>
    <col min="5894" max="5894" width="15.42578125" style="166" customWidth="1"/>
    <col min="5895" max="5895" width="10.42578125" style="166" bestFit="1" customWidth="1"/>
    <col min="5896" max="5896" width="14" style="166" customWidth="1"/>
    <col min="5897" max="6144" width="9.140625" style="166"/>
    <col min="6145" max="6146" width="6" style="166" bestFit="1" customWidth="1"/>
    <col min="6147" max="6147" width="24.42578125" style="166" customWidth="1"/>
    <col min="6148" max="6148" width="19.7109375" style="166" customWidth="1"/>
    <col min="6149" max="6149" width="14.42578125" style="166" customWidth="1"/>
    <col min="6150" max="6150" width="15.42578125" style="166" customWidth="1"/>
    <col min="6151" max="6151" width="10.42578125" style="166" bestFit="1" customWidth="1"/>
    <col min="6152" max="6152" width="14" style="166" customWidth="1"/>
    <col min="6153" max="6400" width="9.140625" style="166"/>
    <col min="6401" max="6402" width="6" style="166" bestFit="1" customWidth="1"/>
    <col min="6403" max="6403" width="24.42578125" style="166" customWidth="1"/>
    <col min="6404" max="6404" width="19.7109375" style="166" customWidth="1"/>
    <col min="6405" max="6405" width="14.42578125" style="166" customWidth="1"/>
    <col min="6406" max="6406" width="15.42578125" style="166" customWidth="1"/>
    <col min="6407" max="6407" width="10.42578125" style="166" bestFit="1" customWidth="1"/>
    <col min="6408" max="6408" width="14" style="166" customWidth="1"/>
    <col min="6409" max="6656" width="9.140625" style="166"/>
    <col min="6657" max="6658" width="6" style="166" bestFit="1" customWidth="1"/>
    <col min="6659" max="6659" width="24.42578125" style="166" customWidth="1"/>
    <col min="6660" max="6660" width="19.7109375" style="166" customWidth="1"/>
    <col min="6661" max="6661" width="14.42578125" style="166" customWidth="1"/>
    <col min="6662" max="6662" width="15.42578125" style="166" customWidth="1"/>
    <col min="6663" max="6663" width="10.42578125" style="166" bestFit="1" customWidth="1"/>
    <col min="6664" max="6664" width="14" style="166" customWidth="1"/>
    <col min="6665" max="6912" width="9.140625" style="166"/>
    <col min="6913" max="6914" width="6" style="166" bestFit="1" customWidth="1"/>
    <col min="6915" max="6915" width="24.42578125" style="166" customWidth="1"/>
    <col min="6916" max="6916" width="19.7109375" style="166" customWidth="1"/>
    <col min="6917" max="6917" width="14.42578125" style="166" customWidth="1"/>
    <col min="6918" max="6918" width="15.42578125" style="166" customWidth="1"/>
    <col min="6919" max="6919" width="10.42578125" style="166" bestFit="1" customWidth="1"/>
    <col min="6920" max="6920" width="14" style="166" customWidth="1"/>
    <col min="6921" max="7168" width="9.140625" style="166"/>
    <col min="7169" max="7170" width="6" style="166" bestFit="1" customWidth="1"/>
    <col min="7171" max="7171" width="24.42578125" style="166" customWidth="1"/>
    <col min="7172" max="7172" width="19.7109375" style="166" customWidth="1"/>
    <col min="7173" max="7173" width="14.42578125" style="166" customWidth="1"/>
    <col min="7174" max="7174" width="15.42578125" style="166" customWidth="1"/>
    <col min="7175" max="7175" width="10.42578125" style="166" bestFit="1" customWidth="1"/>
    <col min="7176" max="7176" width="14" style="166" customWidth="1"/>
    <col min="7177" max="7424" width="9.140625" style="166"/>
    <col min="7425" max="7426" width="6" style="166" bestFit="1" customWidth="1"/>
    <col min="7427" max="7427" width="24.42578125" style="166" customWidth="1"/>
    <col min="7428" max="7428" width="19.7109375" style="166" customWidth="1"/>
    <col min="7429" max="7429" width="14.42578125" style="166" customWidth="1"/>
    <col min="7430" max="7430" width="15.42578125" style="166" customWidth="1"/>
    <col min="7431" max="7431" width="10.42578125" style="166" bestFit="1" customWidth="1"/>
    <col min="7432" max="7432" width="14" style="166" customWidth="1"/>
    <col min="7433" max="7680" width="9.140625" style="166"/>
    <col min="7681" max="7682" width="6" style="166" bestFit="1" customWidth="1"/>
    <col min="7683" max="7683" width="24.42578125" style="166" customWidth="1"/>
    <col min="7684" max="7684" width="19.7109375" style="166" customWidth="1"/>
    <col min="7685" max="7685" width="14.42578125" style="166" customWidth="1"/>
    <col min="7686" max="7686" width="15.42578125" style="166" customWidth="1"/>
    <col min="7687" max="7687" width="10.42578125" style="166" bestFit="1" customWidth="1"/>
    <col min="7688" max="7688" width="14" style="166" customWidth="1"/>
    <col min="7689" max="7936" width="9.140625" style="166"/>
    <col min="7937" max="7938" width="6" style="166" bestFit="1" customWidth="1"/>
    <col min="7939" max="7939" width="24.42578125" style="166" customWidth="1"/>
    <col min="7940" max="7940" width="19.7109375" style="166" customWidth="1"/>
    <col min="7941" max="7941" width="14.42578125" style="166" customWidth="1"/>
    <col min="7942" max="7942" width="15.42578125" style="166" customWidth="1"/>
    <col min="7943" max="7943" width="10.42578125" style="166" bestFit="1" customWidth="1"/>
    <col min="7944" max="7944" width="14" style="166" customWidth="1"/>
    <col min="7945" max="8192" width="9.140625" style="166"/>
    <col min="8193" max="8194" width="6" style="166" bestFit="1" customWidth="1"/>
    <col min="8195" max="8195" width="24.42578125" style="166" customWidth="1"/>
    <col min="8196" max="8196" width="19.7109375" style="166" customWidth="1"/>
    <col min="8197" max="8197" width="14.42578125" style="166" customWidth="1"/>
    <col min="8198" max="8198" width="15.42578125" style="166" customWidth="1"/>
    <col min="8199" max="8199" width="10.42578125" style="166" bestFit="1" customWidth="1"/>
    <col min="8200" max="8200" width="14" style="166" customWidth="1"/>
    <col min="8201" max="8448" width="9.140625" style="166"/>
    <col min="8449" max="8450" width="6" style="166" bestFit="1" customWidth="1"/>
    <col min="8451" max="8451" width="24.42578125" style="166" customWidth="1"/>
    <col min="8452" max="8452" width="19.7109375" style="166" customWidth="1"/>
    <col min="8453" max="8453" width="14.42578125" style="166" customWidth="1"/>
    <col min="8454" max="8454" width="15.42578125" style="166" customWidth="1"/>
    <col min="8455" max="8455" width="10.42578125" style="166" bestFit="1" customWidth="1"/>
    <col min="8456" max="8456" width="14" style="166" customWidth="1"/>
    <col min="8457" max="8704" width="9.140625" style="166"/>
    <col min="8705" max="8706" width="6" style="166" bestFit="1" customWidth="1"/>
    <col min="8707" max="8707" width="24.42578125" style="166" customWidth="1"/>
    <col min="8708" max="8708" width="19.7109375" style="166" customWidth="1"/>
    <col min="8709" max="8709" width="14.42578125" style="166" customWidth="1"/>
    <col min="8710" max="8710" width="15.42578125" style="166" customWidth="1"/>
    <col min="8711" max="8711" width="10.42578125" style="166" bestFit="1" customWidth="1"/>
    <col min="8712" max="8712" width="14" style="166" customWidth="1"/>
    <col min="8713" max="8960" width="9.140625" style="166"/>
    <col min="8961" max="8962" width="6" style="166" bestFit="1" customWidth="1"/>
    <col min="8963" max="8963" width="24.42578125" style="166" customWidth="1"/>
    <col min="8964" max="8964" width="19.7109375" style="166" customWidth="1"/>
    <col min="8965" max="8965" width="14.42578125" style="166" customWidth="1"/>
    <col min="8966" max="8966" width="15.42578125" style="166" customWidth="1"/>
    <col min="8967" max="8967" width="10.42578125" style="166" bestFit="1" customWidth="1"/>
    <col min="8968" max="8968" width="14" style="166" customWidth="1"/>
    <col min="8969" max="9216" width="9.140625" style="166"/>
    <col min="9217" max="9218" width="6" style="166" bestFit="1" customWidth="1"/>
    <col min="9219" max="9219" width="24.42578125" style="166" customWidth="1"/>
    <col min="9220" max="9220" width="19.7109375" style="166" customWidth="1"/>
    <col min="9221" max="9221" width="14.42578125" style="166" customWidth="1"/>
    <col min="9222" max="9222" width="15.42578125" style="166" customWidth="1"/>
    <col min="9223" max="9223" width="10.42578125" style="166" bestFit="1" customWidth="1"/>
    <col min="9224" max="9224" width="14" style="166" customWidth="1"/>
    <col min="9225" max="9472" width="9.140625" style="166"/>
    <col min="9473" max="9474" width="6" style="166" bestFit="1" customWidth="1"/>
    <col min="9475" max="9475" width="24.42578125" style="166" customWidth="1"/>
    <col min="9476" max="9476" width="19.7109375" style="166" customWidth="1"/>
    <col min="9477" max="9477" width="14.42578125" style="166" customWidth="1"/>
    <col min="9478" max="9478" width="15.42578125" style="166" customWidth="1"/>
    <col min="9479" max="9479" width="10.42578125" style="166" bestFit="1" customWidth="1"/>
    <col min="9480" max="9480" width="14" style="166" customWidth="1"/>
    <col min="9481" max="9728" width="9.140625" style="166"/>
    <col min="9729" max="9730" width="6" style="166" bestFit="1" customWidth="1"/>
    <col min="9731" max="9731" width="24.42578125" style="166" customWidth="1"/>
    <col min="9732" max="9732" width="19.7109375" style="166" customWidth="1"/>
    <col min="9733" max="9733" width="14.42578125" style="166" customWidth="1"/>
    <col min="9734" max="9734" width="15.42578125" style="166" customWidth="1"/>
    <col min="9735" max="9735" width="10.42578125" style="166" bestFit="1" customWidth="1"/>
    <col min="9736" max="9736" width="14" style="166" customWidth="1"/>
    <col min="9737" max="9984" width="9.140625" style="166"/>
    <col min="9985" max="9986" width="6" style="166" bestFit="1" customWidth="1"/>
    <col min="9987" max="9987" width="24.42578125" style="166" customWidth="1"/>
    <col min="9988" max="9988" width="19.7109375" style="166" customWidth="1"/>
    <col min="9989" max="9989" width="14.42578125" style="166" customWidth="1"/>
    <col min="9990" max="9990" width="15.42578125" style="166" customWidth="1"/>
    <col min="9991" max="9991" width="10.42578125" style="166" bestFit="1" customWidth="1"/>
    <col min="9992" max="9992" width="14" style="166" customWidth="1"/>
    <col min="9993" max="10240" width="9.140625" style="166"/>
    <col min="10241" max="10242" width="6" style="166" bestFit="1" customWidth="1"/>
    <col min="10243" max="10243" width="24.42578125" style="166" customWidth="1"/>
    <col min="10244" max="10244" width="19.7109375" style="166" customWidth="1"/>
    <col min="10245" max="10245" width="14.42578125" style="166" customWidth="1"/>
    <col min="10246" max="10246" width="15.42578125" style="166" customWidth="1"/>
    <col min="10247" max="10247" width="10.42578125" style="166" bestFit="1" customWidth="1"/>
    <col min="10248" max="10248" width="14" style="166" customWidth="1"/>
    <col min="10249" max="10496" width="9.140625" style="166"/>
    <col min="10497" max="10498" width="6" style="166" bestFit="1" customWidth="1"/>
    <col min="10499" max="10499" width="24.42578125" style="166" customWidth="1"/>
    <col min="10500" max="10500" width="19.7109375" style="166" customWidth="1"/>
    <col min="10501" max="10501" width="14.42578125" style="166" customWidth="1"/>
    <col min="10502" max="10502" width="15.42578125" style="166" customWidth="1"/>
    <col min="10503" max="10503" width="10.42578125" style="166" bestFit="1" customWidth="1"/>
    <col min="10504" max="10504" width="14" style="166" customWidth="1"/>
    <col min="10505" max="10752" width="9.140625" style="166"/>
    <col min="10753" max="10754" width="6" style="166" bestFit="1" customWidth="1"/>
    <col min="10755" max="10755" width="24.42578125" style="166" customWidth="1"/>
    <col min="10756" max="10756" width="19.7109375" style="166" customWidth="1"/>
    <col min="10757" max="10757" width="14.42578125" style="166" customWidth="1"/>
    <col min="10758" max="10758" width="15.42578125" style="166" customWidth="1"/>
    <col min="10759" max="10759" width="10.42578125" style="166" bestFit="1" customWidth="1"/>
    <col min="10760" max="10760" width="14" style="166" customWidth="1"/>
    <col min="10761" max="11008" width="9.140625" style="166"/>
    <col min="11009" max="11010" width="6" style="166" bestFit="1" customWidth="1"/>
    <col min="11011" max="11011" width="24.42578125" style="166" customWidth="1"/>
    <col min="11012" max="11012" width="19.7109375" style="166" customWidth="1"/>
    <col min="11013" max="11013" width="14.42578125" style="166" customWidth="1"/>
    <col min="11014" max="11014" width="15.42578125" style="166" customWidth="1"/>
    <col min="11015" max="11015" width="10.42578125" style="166" bestFit="1" customWidth="1"/>
    <col min="11016" max="11016" width="14" style="166" customWidth="1"/>
    <col min="11017" max="11264" width="9.140625" style="166"/>
    <col min="11265" max="11266" width="6" style="166" bestFit="1" customWidth="1"/>
    <col min="11267" max="11267" width="24.42578125" style="166" customWidth="1"/>
    <col min="11268" max="11268" width="19.7109375" style="166" customWidth="1"/>
    <col min="11269" max="11269" width="14.42578125" style="166" customWidth="1"/>
    <col min="11270" max="11270" width="15.42578125" style="166" customWidth="1"/>
    <col min="11271" max="11271" width="10.42578125" style="166" bestFit="1" customWidth="1"/>
    <col min="11272" max="11272" width="14" style="166" customWidth="1"/>
    <col min="11273" max="11520" width="9.140625" style="166"/>
    <col min="11521" max="11522" width="6" style="166" bestFit="1" customWidth="1"/>
    <col min="11523" max="11523" width="24.42578125" style="166" customWidth="1"/>
    <col min="11524" max="11524" width="19.7109375" style="166" customWidth="1"/>
    <col min="11525" max="11525" width="14.42578125" style="166" customWidth="1"/>
    <col min="11526" max="11526" width="15.42578125" style="166" customWidth="1"/>
    <col min="11527" max="11527" width="10.42578125" style="166" bestFit="1" customWidth="1"/>
    <col min="11528" max="11528" width="14" style="166" customWidth="1"/>
    <col min="11529" max="11776" width="9.140625" style="166"/>
    <col min="11777" max="11778" width="6" style="166" bestFit="1" customWidth="1"/>
    <col min="11779" max="11779" width="24.42578125" style="166" customWidth="1"/>
    <col min="11780" max="11780" width="19.7109375" style="166" customWidth="1"/>
    <col min="11781" max="11781" width="14.42578125" style="166" customWidth="1"/>
    <col min="11782" max="11782" width="15.42578125" style="166" customWidth="1"/>
    <col min="11783" max="11783" width="10.42578125" style="166" bestFit="1" customWidth="1"/>
    <col min="11784" max="11784" width="14" style="166" customWidth="1"/>
    <col min="11785" max="12032" width="9.140625" style="166"/>
    <col min="12033" max="12034" width="6" style="166" bestFit="1" customWidth="1"/>
    <col min="12035" max="12035" width="24.42578125" style="166" customWidth="1"/>
    <col min="12036" max="12036" width="19.7109375" style="166" customWidth="1"/>
    <col min="12037" max="12037" width="14.42578125" style="166" customWidth="1"/>
    <col min="12038" max="12038" width="15.42578125" style="166" customWidth="1"/>
    <col min="12039" max="12039" width="10.42578125" style="166" bestFit="1" customWidth="1"/>
    <col min="12040" max="12040" width="14" style="166" customWidth="1"/>
    <col min="12041" max="12288" width="9.140625" style="166"/>
    <col min="12289" max="12290" width="6" style="166" bestFit="1" customWidth="1"/>
    <col min="12291" max="12291" width="24.42578125" style="166" customWidth="1"/>
    <col min="12292" max="12292" width="19.7109375" style="166" customWidth="1"/>
    <col min="12293" max="12293" width="14.42578125" style="166" customWidth="1"/>
    <col min="12294" max="12294" width="15.42578125" style="166" customWidth="1"/>
    <col min="12295" max="12295" width="10.42578125" style="166" bestFit="1" customWidth="1"/>
    <col min="12296" max="12296" width="14" style="166" customWidth="1"/>
    <col min="12297" max="12544" width="9.140625" style="166"/>
    <col min="12545" max="12546" width="6" style="166" bestFit="1" customWidth="1"/>
    <col min="12547" max="12547" width="24.42578125" style="166" customWidth="1"/>
    <col min="12548" max="12548" width="19.7109375" style="166" customWidth="1"/>
    <col min="12549" max="12549" width="14.42578125" style="166" customWidth="1"/>
    <col min="12550" max="12550" width="15.42578125" style="166" customWidth="1"/>
    <col min="12551" max="12551" width="10.42578125" style="166" bestFit="1" customWidth="1"/>
    <col min="12552" max="12552" width="14" style="166" customWidth="1"/>
    <col min="12553" max="12800" width="9.140625" style="166"/>
    <col min="12801" max="12802" width="6" style="166" bestFit="1" customWidth="1"/>
    <col min="12803" max="12803" width="24.42578125" style="166" customWidth="1"/>
    <col min="12804" max="12804" width="19.7109375" style="166" customWidth="1"/>
    <col min="12805" max="12805" width="14.42578125" style="166" customWidth="1"/>
    <col min="12806" max="12806" width="15.42578125" style="166" customWidth="1"/>
    <col min="12807" max="12807" width="10.42578125" style="166" bestFit="1" customWidth="1"/>
    <col min="12808" max="12808" width="14" style="166" customWidth="1"/>
    <col min="12809" max="13056" width="9.140625" style="166"/>
    <col min="13057" max="13058" width="6" style="166" bestFit="1" customWidth="1"/>
    <col min="13059" max="13059" width="24.42578125" style="166" customWidth="1"/>
    <col min="13060" max="13060" width="19.7109375" style="166" customWidth="1"/>
    <col min="13061" max="13061" width="14.42578125" style="166" customWidth="1"/>
    <col min="13062" max="13062" width="15.42578125" style="166" customWidth="1"/>
    <col min="13063" max="13063" width="10.42578125" style="166" bestFit="1" customWidth="1"/>
    <col min="13064" max="13064" width="14" style="166" customWidth="1"/>
    <col min="13065" max="13312" width="9.140625" style="166"/>
    <col min="13313" max="13314" width="6" style="166" bestFit="1" customWidth="1"/>
    <col min="13315" max="13315" width="24.42578125" style="166" customWidth="1"/>
    <col min="13316" max="13316" width="19.7109375" style="166" customWidth="1"/>
    <col min="13317" max="13317" width="14.42578125" style="166" customWidth="1"/>
    <col min="13318" max="13318" width="15.42578125" style="166" customWidth="1"/>
    <col min="13319" max="13319" width="10.42578125" style="166" bestFit="1" customWidth="1"/>
    <col min="13320" max="13320" width="14" style="166" customWidth="1"/>
    <col min="13321" max="13568" width="9.140625" style="166"/>
    <col min="13569" max="13570" width="6" style="166" bestFit="1" customWidth="1"/>
    <col min="13571" max="13571" width="24.42578125" style="166" customWidth="1"/>
    <col min="13572" max="13572" width="19.7109375" style="166" customWidth="1"/>
    <col min="13573" max="13573" width="14.42578125" style="166" customWidth="1"/>
    <col min="13574" max="13574" width="15.42578125" style="166" customWidth="1"/>
    <col min="13575" max="13575" width="10.42578125" style="166" bestFit="1" customWidth="1"/>
    <col min="13576" max="13576" width="14" style="166" customWidth="1"/>
    <col min="13577" max="13824" width="9.140625" style="166"/>
    <col min="13825" max="13826" width="6" style="166" bestFit="1" customWidth="1"/>
    <col min="13827" max="13827" width="24.42578125" style="166" customWidth="1"/>
    <col min="13828" max="13828" width="19.7109375" style="166" customWidth="1"/>
    <col min="13829" max="13829" width="14.42578125" style="166" customWidth="1"/>
    <col min="13830" max="13830" width="15.42578125" style="166" customWidth="1"/>
    <col min="13831" max="13831" width="10.42578125" style="166" bestFit="1" customWidth="1"/>
    <col min="13832" max="13832" width="14" style="166" customWidth="1"/>
    <col min="13833" max="14080" width="9.140625" style="166"/>
    <col min="14081" max="14082" width="6" style="166" bestFit="1" customWidth="1"/>
    <col min="14083" max="14083" width="24.42578125" style="166" customWidth="1"/>
    <col min="14084" max="14084" width="19.7109375" style="166" customWidth="1"/>
    <col min="14085" max="14085" width="14.42578125" style="166" customWidth="1"/>
    <col min="14086" max="14086" width="15.42578125" style="166" customWidth="1"/>
    <col min="14087" max="14087" width="10.42578125" style="166" bestFit="1" customWidth="1"/>
    <col min="14088" max="14088" width="14" style="166" customWidth="1"/>
    <col min="14089" max="14336" width="9.140625" style="166"/>
    <col min="14337" max="14338" width="6" style="166" bestFit="1" customWidth="1"/>
    <col min="14339" max="14339" width="24.42578125" style="166" customWidth="1"/>
    <col min="14340" max="14340" width="19.7109375" style="166" customWidth="1"/>
    <col min="14341" max="14341" width="14.42578125" style="166" customWidth="1"/>
    <col min="14342" max="14342" width="15.42578125" style="166" customWidth="1"/>
    <col min="14343" max="14343" width="10.42578125" style="166" bestFit="1" customWidth="1"/>
    <col min="14344" max="14344" width="14" style="166" customWidth="1"/>
    <col min="14345" max="14592" width="9.140625" style="166"/>
    <col min="14593" max="14594" width="6" style="166" bestFit="1" customWidth="1"/>
    <col min="14595" max="14595" width="24.42578125" style="166" customWidth="1"/>
    <col min="14596" max="14596" width="19.7109375" style="166" customWidth="1"/>
    <col min="14597" max="14597" width="14.42578125" style="166" customWidth="1"/>
    <col min="14598" max="14598" width="15.42578125" style="166" customWidth="1"/>
    <col min="14599" max="14599" width="10.42578125" style="166" bestFit="1" customWidth="1"/>
    <col min="14600" max="14600" width="14" style="166" customWidth="1"/>
    <col min="14601" max="14848" width="9.140625" style="166"/>
    <col min="14849" max="14850" width="6" style="166" bestFit="1" customWidth="1"/>
    <col min="14851" max="14851" width="24.42578125" style="166" customWidth="1"/>
    <col min="14852" max="14852" width="19.7109375" style="166" customWidth="1"/>
    <col min="14853" max="14853" width="14.42578125" style="166" customWidth="1"/>
    <col min="14854" max="14854" width="15.42578125" style="166" customWidth="1"/>
    <col min="14855" max="14855" width="10.42578125" style="166" bestFit="1" customWidth="1"/>
    <col min="14856" max="14856" width="14" style="166" customWidth="1"/>
    <col min="14857" max="15104" width="9.140625" style="166"/>
    <col min="15105" max="15106" width="6" style="166" bestFit="1" customWidth="1"/>
    <col min="15107" max="15107" width="24.42578125" style="166" customWidth="1"/>
    <col min="15108" max="15108" width="19.7109375" style="166" customWidth="1"/>
    <col min="15109" max="15109" width="14.42578125" style="166" customWidth="1"/>
    <col min="15110" max="15110" width="15.42578125" style="166" customWidth="1"/>
    <col min="15111" max="15111" width="10.42578125" style="166" bestFit="1" customWidth="1"/>
    <col min="15112" max="15112" width="14" style="166" customWidth="1"/>
    <col min="15113" max="15360" width="9.140625" style="166"/>
    <col min="15361" max="15362" width="6" style="166" bestFit="1" customWidth="1"/>
    <col min="15363" max="15363" width="24.42578125" style="166" customWidth="1"/>
    <col min="15364" max="15364" width="19.7109375" style="166" customWidth="1"/>
    <col min="15365" max="15365" width="14.42578125" style="166" customWidth="1"/>
    <col min="15366" max="15366" width="15.42578125" style="166" customWidth="1"/>
    <col min="15367" max="15367" width="10.42578125" style="166" bestFit="1" customWidth="1"/>
    <col min="15368" max="15368" width="14" style="166" customWidth="1"/>
    <col min="15369" max="15616" width="9.140625" style="166"/>
    <col min="15617" max="15618" width="6" style="166" bestFit="1" customWidth="1"/>
    <col min="15619" max="15619" width="24.42578125" style="166" customWidth="1"/>
    <col min="15620" max="15620" width="19.7109375" style="166" customWidth="1"/>
    <col min="15621" max="15621" width="14.42578125" style="166" customWidth="1"/>
    <col min="15622" max="15622" width="15.42578125" style="166" customWidth="1"/>
    <col min="15623" max="15623" width="10.42578125" style="166" bestFit="1" customWidth="1"/>
    <col min="15624" max="15624" width="14" style="166" customWidth="1"/>
    <col min="15625" max="15872" width="9.140625" style="166"/>
    <col min="15873" max="15874" width="6" style="166" bestFit="1" customWidth="1"/>
    <col min="15875" max="15875" width="24.42578125" style="166" customWidth="1"/>
    <col min="15876" max="15876" width="19.7109375" style="166" customWidth="1"/>
    <col min="15877" max="15877" width="14.42578125" style="166" customWidth="1"/>
    <col min="15878" max="15878" width="15.42578125" style="166" customWidth="1"/>
    <col min="15879" max="15879" width="10.42578125" style="166" bestFit="1" customWidth="1"/>
    <col min="15880" max="15880" width="14" style="166" customWidth="1"/>
    <col min="15881" max="16128" width="9.140625" style="166"/>
    <col min="16129" max="16130" width="6" style="166" bestFit="1" customWidth="1"/>
    <col min="16131" max="16131" width="24.42578125" style="166" customWidth="1"/>
    <col min="16132" max="16132" width="19.7109375" style="166" customWidth="1"/>
    <col min="16133" max="16133" width="14.42578125" style="166" customWidth="1"/>
    <col min="16134" max="16134" width="15.42578125" style="166" customWidth="1"/>
    <col min="16135" max="16135" width="10.42578125" style="166" bestFit="1" customWidth="1"/>
    <col min="16136" max="16136" width="14" style="166" customWidth="1"/>
    <col min="16137" max="16384" width="9.140625" style="166"/>
  </cols>
  <sheetData>
    <row r="1" spans="1:10" ht="21" customHeight="1">
      <c r="A1" s="1475" t="str">
        <f>+'F5-8'!A1:K1</f>
        <v xml:space="preserve">BIHAR STATE POWER TRANSMISSION COMPANY LIMITED </v>
      </c>
      <c r="B1" s="1475"/>
      <c r="C1" s="1475"/>
      <c r="D1" s="1475"/>
      <c r="E1" s="1475"/>
      <c r="F1" s="1475"/>
      <c r="G1" s="1475"/>
      <c r="H1" s="211"/>
      <c r="I1" s="216"/>
      <c r="J1" s="212"/>
    </row>
    <row r="2" spans="1:10" ht="21" customHeight="1">
      <c r="A2" s="1527" t="s">
        <v>919</v>
      </c>
      <c r="B2" s="1528"/>
      <c r="C2" s="1528"/>
      <c r="D2" s="1528"/>
      <c r="E2" s="1528"/>
      <c r="F2" s="1525" t="s">
        <v>892</v>
      </c>
      <c r="G2" s="1525"/>
      <c r="H2" s="212"/>
      <c r="I2" s="212"/>
      <c r="J2" s="212"/>
    </row>
    <row r="3" spans="1:10" ht="21" customHeight="1">
      <c r="F3" s="1524" t="s">
        <v>345</v>
      </c>
      <c r="G3" s="1524"/>
    </row>
    <row r="4" spans="1:10" s="218" customFormat="1" ht="75">
      <c r="A4" s="224" t="s">
        <v>174</v>
      </c>
      <c r="B4" s="225" t="s">
        <v>214</v>
      </c>
      <c r="C4" s="226" t="s">
        <v>215</v>
      </c>
      <c r="D4" s="226" t="s">
        <v>216</v>
      </c>
      <c r="E4" s="226" t="s">
        <v>217</v>
      </c>
      <c r="F4" s="225" t="s">
        <v>218</v>
      </c>
      <c r="G4" s="227" t="s">
        <v>918</v>
      </c>
    </row>
    <row r="5" spans="1:10" ht="21" customHeight="1">
      <c r="A5" s="217">
        <v>1</v>
      </c>
      <c r="B5" s="1534" t="s">
        <v>2601</v>
      </c>
      <c r="C5" s="1535"/>
      <c r="D5" s="1535"/>
      <c r="E5" s="1535"/>
      <c r="F5" s="1535"/>
      <c r="G5" s="1536"/>
    </row>
    <row r="6" spans="1:10" ht="21" customHeight="1">
      <c r="A6" s="219">
        <v>2</v>
      </c>
      <c r="B6" s="1537"/>
      <c r="C6" s="1538"/>
      <c r="D6" s="1538"/>
      <c r="E6" s="1538"/>
      <c r="F6" s="1538"/>
      <c r="G6" s="1539"/>
    </row>
    <row r="7" spans="1:10" ht="21" customHeight="1">
      <c r="A7" s="217">
        <v>3</v>
      </c>
      <c r="B7" s="1537"/>
      <c r="C7" s="1538"/>
      <c r="D7" s="1538"/>
      <c r="E7" s="1538"/>
      <c r="F7" s="1538"/>
      <c r="G7" s="1539"/>
    </row>
    <row r="8" spans="1:10" ht="21" customHeight="1">
      <c r="A8" s="219">
        <v>4</v>
      </c>
      <c r="B8" s="1537"/>
      <c r="C8" s="1538"/>
      <c r="D8" s="1538"/>
      <c r="E8" s="1538"/>
      <c r="F8" s="1538"/>
      <c r="G8" s="1539"/>
    </row>
    <row r="9" spans="1:10" ht="21" customHeight="1">
      <c r="A9" s="217">
        <v>5</v>
      </c>
      <c r="B9" s="1537"/>
      <c r="C9" s="1538"/>
      <c r="D9" s="1538"/>
      <c r="E9" s="1538"/>
      <c r="F9" s="1538"/>
      <c r="G9" s="1539"/>
    </row>
    <row r="10" spans="1:10" ht="21" customHeight="1">
      <c r="A10" s="219">
        <v>6</v>
      </c>
      <c r="B10" s="1537"/>
      <c r="C10" s="1538"/>
      <c r="D10" s="1538"/>
      <c r="E10" s="1538"/>
      <c r="F10" s="1538"/>
      <c r="G10" s="1539"/>
    </row>
    <row r="11" spans="1:10" ht="21" customHeight="1">
      <c r="A11" s="217">
        <v>7</v>
      </c>
      <c r="B11" s="1537"/>
      <c r="C11" s="1538"/>
      <c r="D11" s="1538"/>
      <c r="E11" s="1538"/>
      <c r="F11" s="1538"/>
      <c r="G11" s="1539"/>
    </row>
    <row r="12" spans="1:10" ht="21" customHeight="1">
      <c r="A12" s="219">
        <v>8</v>
      </c>
      <c r="B12" s="1537"/>
      <c r="C12" s="1538"/>
      <c r="D12" s="1538"/>
      <c r="E12" s="1538"/>
      <c r="F12" s="1538"/>
      <c r="G12" s="1539"/>
    </row>
    <row r="13" spans="1:10" ht="21" customHeight="1">
      <c r="A13" s="217">
        <v>9</v>
      </c>
      <c r="B13" s="1537"/>
      <c r="C13" s="1538"/>
      <c r="D13" s="1538"/>
      <c r="E13" s="1538"/>
      <c r="F13" s="1538"/>
      <c r="G13" s="1539"/>
    </row>
    <row r="14" spans="1:10" ht="21" customHeight="1">
      <c r="A14" s="219">
        <v>10</v>
      </c>
      <c r="B14" s="1537"/>
      <c r="C14" s="1538"/>
      <c r="D14" s="1538"/>
      <c r="E14" s="1538"/>
      <c r="F14" s="1538"/>
      <c r="G14" s="1539"/>
    </row>
    <row r="15" spans="1:10" ht="21" customHeight="1">
      <c r="A15" s="217">
        <v>11</v>
      </c>
      <c r="B15" s="1537"/>
      <c r="C15" s="1538"/>
      <c r="D15" s="1538"/>
      <c r="E15" s="1538"/>
      <c r="F15" s="1538"/>
      <c r="G15" s="1539"/>
    </row>
    <row r="16" spans="1:10" ht="21" customHeight="1">
      <c r="A16" s="219">
        <v>12</v>
      </c>
      <c r="B16" s="1537"/>
      <c r="C16" s="1538"/>
      <c r="D16" s="1538"/>
      <c r="E16" s="1538"/>
      <c r="F16" s="1538"/>
      <c r="G16" s="1539"/>
    </row>
    <row r="17" spans="1:7" ht="21" customHeight="1">
      <c r="A17" s="217">
        <v>13</v>
      </c>
      <c r="B17" s="1540"/>
      <c r="C17" s="1541"/>
      <c r="D17" s="1541"/>
      <c r="E17" s="1541"/>
      <c r="F17" s="1541"/>
      <c r="G17" s="1542"/>
    </row>
    <row r="18" spans="1:7" ht="21" customHeight="1" thickBot="1">
      <c r="A18" s="220"/>
      <c r="B18" s="221"/>
      <c r="C18" s="221"/>
      <c r="D18" s="222">
        <f>SUM(D5:D17)</f>
        <v>0</v>
      </c>
      <c r="E18" s="221"/>
      <c r="F18" s="221"/>
      <c r="G18" s="222">
        <f>SUM(G5:G17)</f>
        <v>0</v>
      </c>
    </row>
    <row r="19" spans="1:7" ht="21" customHeight="1" thickTop="1"/>
    <row r="20" spans="1:7" ht="21" customHeight="1">
      <c r="A20" s="1533" t="s">
        <v>219</v>
      </c>
      <c r="B20" s="1533"/>
      <c r="C20" s="212"/>
      <c r="D20" s="212"/>
      <c r="E20" s="212"/>
      <c r="F20" s="212"/>
    </row>
    <row r="21" spans="1:7" ht="32.25" customHeight="1">
      <c r="A21" s="1529" t="s">
        <v>920</v>
      </c>
      <c r="B21" s="1529"/>
      <c r="C21" s="1529"/>
      <c r="D21" s="1529"/>
      <c r="E21" s="1529"/>
      <c r="F21" s="1529"/>
      <c r="G21" s="1530"/>
    </row>
    <row r="22" spans="1:7" ht="32.25" customHeight="1">
      <c r="A22" s="1529" t="s">
        <v>921</v>
      </c>
      <c r="B22" s="1530"/>
      <c r="C22" s="1530"/>
      <c r="D22" s="1530"/>
      <c r="E22" s="1530"/>
      <c r="F22" s="1530"/>
      <c r="G22" s="1530"/>
    </row>
    <row r="23" spans="1:7" ht="21" customHeight="1">
      <c r="A23" s="1531"/>
      <c r="B23" s="1532"/>
      <c r="C23" s="1532"/>
      <c r="D23" s="1532"/>
      <c r="E23" s="1532"/>
      <c r="F23" s="1532"/>
      <c r="G23" s="1532"/>
    </row>
    <row r="24" spans="1:7" ht="21" customHeight="1">
      <c r="A24" s="212"/>
      <c r="B24" s="212"/>
      <c r="C24" s="212"/>
      <c r="D24" s="212" t="s">
        <v>220</v>
      </c>
      <c r="E24" s="1514" t="s">
        <v>427</v>
      </c>
      <c r="F24" s="1526"/>
      <c r="G24" s="1526"/>
    </row>
    <row r="25" spans="1:7" ht="21" hidden="1" customHeight="1"/>
    <row r="26" spans="1:7" ht="21" hidden="1" customHeight="1">
      <c r="A26" s="194" t="s">
        <v>212</v>
      </c>
      <c r="B26" s="194"/>
      <c r="C26" s="194"/>
      <c r="D26" s="194"/>
      <c r="E26" s="194"/>
      <c r="F26" s="194"/>
      <c r="G26" s="194"/>
    </row>
    <row r="27" spans="1:7" ht="21" hidden="1" customHeight="1">
      <c r="A27" s="223">
        <v>1</v>
      </c>
      <c r="B27" s="214" t="s">
        <v>364</v>
      </c>
      <c r="C27" s="1510" t="s">
        <v>381</v>
      </c>
      <c r="D27" s="1512"/>
      <c r="E27" s="1512"/>
      <c r="F27" s="1512"/>
      <c r="G27" s="1513"/>
    </row>
    <row r="28" spans="1:7" ht="21" hidden="1" customHeight="1">
      <c r="A28" s="223">
        <v>2</v>
      </c>
      <c r="B28" s="215" t="s">
        <v>368</v>
      </c>
      <c r="C28" s="1515">
        <v>18</v>
      </c>
      <c r="D28" s="1517"/>
      <c r="E28" s="1517"/>
      <c r="F28" s="1517"/>
      <c r="G28" s="1518"/>
    </row>
    <row r="29" spans="1:7" ht="21" hidden="1" customHeight="1">
      <c r="A29" s="223">
        <v>3</v>
      </c>
      <c r="B29" s="215" t="s">
        <v>355</v>
      </c>
      <c r="C29" s="1510"/>
      <c r="D29" s="1512"/>
      <c r="E29" s="1512"/>
      <c r="F29" s="1512"/>
      <c r="G29" s="1513"/>
    </row>
    <row r="30" spans="1:7" ht="21" hidden="1" customHeight="1">
      <c r="A30" s="223">
        <v>4</v>
      </c>
      <c r="B30" s="215" t="s">
        <v>356</v>
      </c>
      <c r="C30" s="1510"/>
      <c r="D30" s="1512"/>
      <c r="E30" s="1512"/>
      <c r="F30" s="1512"/>
      <c r="G30" s="1513"/>
    </row>
    <row r="31" spans="1:7" ht="21" hidden="1" customHeight="1">
      <c r="A31" s="223">
        <v>5</v>
      </c>
      <c r="B31" s="215" t="s">
        <v>357</v>
      </c>
      <c r="C31" s="1510"/>
      <c r="D31" s="1512"/>
      <c r="E31" s="1512"/>
      <c r="F31" s="1512"/>
      <c r="G31" s="1513"/>
    </row>
    <row r="32" spans="1:7" ht="21" hidden="1" customHeight="1"/>
    <row r="33" ht="21" customHeight="1"/>
  </sheetData>
  <mergeCells count="15">
    <mergeCell ref="C31:G31"/>
    <mergeCell ref="A1:G1"/>
    <mergeCell ref="F3:G3"/>
    <mergeCell ref="F2:G2"/>
    <mergeCell ref="C29:G29"/>
    <mergeCell ref="C30:G30"/>
    <mergeCell ref="E24:G24"/>
    <mergeCell ref="A2:E2"/>
    <mergeCell ref="C27:G27"/>
    <mergeCell ref="C28:G28"/>
    <mergeCell ref="A21:G21"/>
    <mergeCell ref="A22:G22"/>
    <mergeCell ref="A23:G23"/>
    <mergeCell ref="A20:B20"/>
    <mergeCell ref="B5:G17"/>
  </mergeCells>
  <printOptions horizontalCentered="1" verticalCentered="1"/>
  <pageMargins left="0.25" right="0.25" top="0.75" bottom="0.75" header="0.3" footer="0.3"/>
  <pageSetup paperSize="9" scale="86"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92D050"/>
    <pageSetUpPr fitToPage="1"/>
  </sheetPr>
  <dimension ref="A1:K16"/>
  <sheetViews>
    <sheetView showGridLines="0" tabSelected="1" topLeftCell="B1" zoomScale="70" zoomScaleNormal="70" zoomScaleSheetLayoutView="80" workbookViewId="0">
      <pane xSplit="2" ySplit="5" topLeftCell="D6" activePane="bottomRight" state="frozen"/>
      <selection activeCell="B1" sqref="B1"/>
      <selection pane="topRight" activeCell="D1" sqref="D1"/>
      <selection pane="bottomLeft" activeCell="B6" sqref="B6"/>
      <selection pane="bottomRight" activeCell="I9" sqref="I9"/>
    </sheetView>
  </sheetViews>
  <sheetFormatPr defaultColWidth="9.140625" defaultRowHeight="15.75"/>
  <cols>
    <col min="1" max="1" width="3.140625" style="75" bestFit="1" customWidth="1"/>
    <col min="2" max="2" width="2.7109375" style="75" bestFit="1" customWidth="1"/>
    <col min="3" max="3" width="45.140625" style="75" bestFit="1" customWidth="1"/>
    <col min="4" max="5" width="21.28515625" style="75" customWidth="1"/>
    <col min="6" max="6" width="23.140625" style="75" bestFit="1" customWidth="1"/>
    <col min="7" max="7" width="21.42578125" style="75" hidden="1" customWidth="1"/>
    <col min="8" max="8" width="25.85546875" style="75" hidden="1" customWidth="1"/>
    <col min="9" max="9" width="17.28515625" style="75" bestFit="1" customWidth="1"/>
    <col min="10" max="11" width="21.5703125" style="75" customWidth="1"/>
    <col min="12" max="16384" width="9.140625" style="75"/>
  </cols>
  <sheetData>
    <row r="1" spans="1:11" ht="21" customHeight="1">
      <c r="A1" s="1545" t="s">
        <v>1233</v>
      </c>
      <c r="B1" s="1545"/>
      <c r="C1" s="1545"/>
      <c r="D1" s="1545"/>
      <c r="E1" s="1545"/>
      <c r="F1" s="1545"/>
      <c r="G1" s="1545"/>
      <c r="H1" s="1545"/>
      <c r="I1" s="1545"/>
      <c r="J1" s="1545"/>
      <c r="K1" s="1545"/>
    </row>
    <row r="2" spans="1:11" ht="21" customHeight="1">
      <c r="A2" s="1551" t="s">
        <v>922</v>
      </c>
      <c r="B2" s="1551"/>
      <c r="C2" s="1551"/>
      <c r="D2" s="1552"/>
      <c r="E2" s="1552"/>
      <c r="F2" s="539"/>
      <c r="G2" s="539"/>
      <c r="H2" s="539"/>
      <c r="I2" s="1552" t="s">
        <v>892</v>
      </c>
      <c r="J2" s="1552"/>
      <c r="K2" s="1552"/>
    </row>
    <row r="3" spans="1:11" ht="21" customHeight="1">
      <c r="A3" s="536"/>
      <c r="B3" s="536"/>
      <c r="C3" s="536"/>
      <c r="D3" s="1546"/>
      <c r="E3" s="1546"/>
      <c r="F3" s="538"/>
      <c r="G3" s="538"/>
      <c r="H3" s="538"/>
      <c r="J3" s="1546" t="s">
        <v>345</v>
      </c>
      <c r="K3" s="1546"/>
    </row>
    <row r="4" spans="1:11">
      <c r="A4" s="1543"/>
      <c r="B4" s="1547" t="s">
        <v>48</v>
      </c>
      <c r="C4" s="1548"/>
      <c r="D4" s="1373" t="s">
        <v>1916</v>
      </c>
      <c r="E4" s="1374"/>
      <c r="F4" s="1375" t="s">
        <v>1917</v>
      </c>
      <c r="G4" s="1376"/>
      <c r="H4" s="1376"/>
      <c r="I4" s="1377"/>
      <c r="J4" s="1365" t="s">
        <v>1918</v>
      </c>
      <c r="K4" s="1365"/>
    </row>
    <row r="5" spans="1:11" ht="31.5">
      <c r="A5" s="1544"/>
      <c r="B5" s="1549"/>
      <c r="C5" s="1550"/>
      <c r="D5" s="455" t="s">
        <v>1250</v>
      </c>
      <c r="E5" s="328" t="s">
        <v>1919</v>
      </c>
      <c r="F5" s="455" t="s">
        <v>1235</v>
      </c>
      <c r="G5" s="455" t="s">
        <v>1239</v>
      </c>
      <c r="H5" s="455" t="s">
        <v>1240</v>
      </c>
      <c r="I5" s="459" t="s">
        <v>1241</v>
      </c>
      <c r="J5" s="455" t="s">
        <v>1235</v>
      </c>
      <c r="K5" s="455" t="s">
        <v>1243</v>
      </c>
    </row>
    <row r="6" spans="1:11">
      <c r="A6" s="465" t="s">
        <v>161</v>
      </c>
      <c r="B6" s="465" t="s">
        <v>64</v>
      </c>
      <c r="C6" s="396" t="s">
        <v>635</v>
      </c>
      <c r="D6" s="540">
        <v>1543.64</v>
      </c>
      <c r="E6" s="540">
        <v>2485.06</v>
      </c>
      <c r="F6" s="540">
        <f>D12</f>
        <v>3126.76</v>
      </c>
      <c r="G6" s="545"/>
      <c r="H6" s="545"/>
      <c r="I6" s="542">
        <f>E12</f>
        <v>2291.9201521729997</v>
      </c>
      <c r="J6" s="542">
        <f>F12</f>
        <v>2086.09</v>
      </c>
      <c r="K6" s="542">
        <f>I12</f>
        <v>2231.8770401730003</v>
      </c>
    </row>
    <row r="7" spans="1:11" ht="31.5">
      <c r="A7" s="465"/>
      <c r="B7" s="465" t="s">
        <v>65</v>
      </c>
      <c r="C7" s="396" t="s">
        <v>223</v>
      </c>
      <c r="D7" s="541">
        <v>0</v>
      </c>
      <c r="E7" s="1177">
        <v>0</v>
      </c>
      <c r="F7" s="1177">
        <v>0</v>
      </c>
      <c r="G7" s="1177">
        <v>0</v>
      </c>
      <c r="H7" s="1177">
        <v>0</v>
      </c>
      <c r="I7" s="1177">
        <v>0</v>
      </c>
      <c r="J7" s="1177">
        <v>0</v>
      </c>
      <c r="K7" s="1177">
        <v>0</v>
      </c>
    </row>
    <row r="8" spans="1:11">
      <c r="A8" s="465" t="s">
        <v>166</v>
      </c>
      <c r="B8" s="465" t="s">
        <v>64</v>
      </c>
      <c r="C8" s="396" t="s">
        <v>2283</v>
      </c>
      <c r="D8" s="541">
        <v>2893.55</v>
      </c>
      <c r="E8" s="1177">
        <f>'[3]Capitalization FY 2019-20'!$L$249</f>
        <v>1695.3024462000001</v>
      </c>
      <c r="F8" s="1177">
        <v>949.78</v>
      </c>
      <c r="G8" s="1177"/>
      <c r="H8" s="1177"/>
      <c r="I8" s="1039">
        <f>SUM('[2]Capitalisation FY 2020-21'!$L$3:$L$104)+'[2]Complete List'!$E$81</f>
        <v>1572.5000000000002</v>
      </c>
      <c r="J8" s="1039">
        <v>134.44</v>
      </c>
      <c r="K8" s="1039">
        <f>'[2]Capitalisation FY 2021-22'!$L$51</f>
        <v>505.75000000000006</v>
      </c>
    </row>
    <row r="9" spans="1:11" ht="31.5">
      <c r="A9" s="465"/>
      <c r="B9" s="465" t="s">
        <v>65</v>
      </c>
      <c r="C9" s="396" t="s">
        <v>223</v>
      </c>
      <c r="D9" s="541">
        <v>0</v>
      </c>
      <c r="E9" s="1177">
        <v>0</v>
      </c>
      <c r="F9" s="1177">
        <v>0</v>
      </c>
      <c r="G9" s="1177">
        <v>0</v>
      </c>
      <c r="H9" s="1177">
        <v>0</v>
      </c>
      <c r="I9" s="1177">
        <v>0</v>
      </c>
      <c r="J9" s="1177">
        <v>0</v>
      </c>
      <c r="K9" s="1177">
        <v>0</v>
      </c>
    </row>
    <row r="10" spans="1:11">
      <c r="A10" s="465" t="s">
        <v>208</v>
      </c>
      <c r="B10" s="465" t="s">
        <v>64</v>
      </c>
      <c r="C10" s="396" t="s">
        <v>2284</v>
      </c>
      <c r="D10" s="541">
        <v>1310.43</v>
      </c>
      <c r="E10" s="1177">
        <f>(SUM('[1]PPE-2'!$E$14:$G$14)/100)-E11</f>
        <v>1830.4622940270001</v>
      </c>
      <c r="F10" s="1177">
        <v>1990.45</v>
      </c>
      <c r="G10" s="1177"/>
      <c r="H10" s="1177"/>
      <c r="I10" s="1039">
        <f>'[2]Capitalisation FY 2020-21'!$M$201</f>
        <v>1530.2499999999998</v>
      </c>
      <c r="J10" s="1039">
        <v>1842.74</v>
      </c>
      <c r="K10" s="1039">
        <f>'[2]Capitalisation FY 2021-22'!$M$51</f>
        <v>1572.05</v>
      </c>
    </row>
    <row r="11" spans="1:11" ht="31.5">
      <c r="A11" s="465"/>
      <c r="B11" s="465" t="s">
        <v>65</v>
      </c>
      <c r="C11" s="396" t="s">
        <v>1776</v>
      </c>
      <c r="D11" s="541">
        <v>0</v>
      </c>
      <c r="E11" s="1177">
        <v>57.98</v>
      </c>
      <c r="F11" s="1177">
        <v>0</v>
      </c>
      <c r="G11" s="1177"/>
      <c r="H11" s="1177"/>
      <c r="I11" s="1039">
        <f>'[2]Capitalisation FY 2020-21'!$P$201</f>
        <v>102.29311199999999</v>
      </c>
      <c r="J11" s="1177">
        <v>0</v>
      </c>
      <c r="K11" s="1177">
        <f>'[2]Capitalisation FY 2021-22'!$P$51</f>
        <v>127.36961999999998</v>
      </c>
    </row>
    <row r="12" spans="1:11">
      <c r="A12" s="465" t="s">
        <v>209</v>
      </c>
      <c r="B12" s="464" t="s">
        <v>64</v>
      </c>
      <c r="C12" s="396" t="s">
        <v>636</v>
      </c>
      <c r="D12" s="540">
        <f>D6+D8-D10</f>
        <v>3126.76</v>
      </c>
      <c r="E12" s="1178">
        <f>E6+E8-E10-E11</f>
        <v>2291.9201521729997</v>
      </c>
      <c r="F12" s="1178">
        <f t="shared" ref="F12:J12" si="0">F6+F8-F10</f>
        <v>2086.09</v>
      </c>
      <c r="G12" s="1178"/>
      <c r="H12" s="1178"/>
      <c r="I12" s="1178">
        <f>I6+I8-I10-I11</f>
        <v>2231.8770401730003</v>
      </c>
      <c r="J12" s="1178">
        <f t="shared" si="0"/>
        <v>377.79000000000019</v>
      </c>
      <c r="K12" s="1178">
        <f>K6+K8-K10-K11</f>
        <v>1038.2074201730004</v>
      </c>
    </row>
    <row r="13" spans="1:11" ht="31.5">
      <c r="A13" s="465"/>
      <c r="B13" s="464" t="s">
        <v>65</v>
      </c>
      <c r="C13" s="396" t="s">
        <v>223</v>
      </c>
      <c r="D13" s="541">
        <v>0</v>
      </c>
      <c r="E13" s="541">
        <v>0</v>
      </c>
      <c r="F13" s="541">
        <v>0</v>
      </c>
      <c r="G13" s="541">
        <v>0</v>
      </c>
      <c r="H13" s="541">
        <v>0</v>
      </c>
      <c r="I13" s="541">
        <v>0</v>
      </c>
      <c r="J13" s="541">
        <v>0</v>
      </c>
      <c r="K13" s="541">
        <v>0</v>
      </c>
    </row>
    <row r="14" spans="1:11" ht="21" customHeight="1">
      <c r="A14" s="536"/>
      <c r="B14" s="536"/>
      <c r="C14" s="537"/>
      <c r="D14" s="538"/>
      <c r="E14" s="538"/>
      <c r="F14" s="538"/>
      <c r="G14" s="538"/>
      <c r="H14" s="538"/>
    </row>
    <row r="15" spans="1:11" ht="15.75" customHeight="1"/>
    <row r="16" spans="1:11">
      <c r="I16" s="1514" t="s">
        <v>427</v>
      </c>
      <c r="J16" s="1526"/>
      <c r="K16" s="1526"/>
    </row>
  </sheetData>
  <mergeCells count="12">
    <mergeCell ref="I16:K16"/>
    <mergeCell ref="A4:A5"/>
    <mergeCell ref="A1:K1"/>
    <mergeCell ref="D3:E3"/>
    <mergeCell ref="D4:E4"/>
    <mergeCell ref="B4:C5"/>
    <mergeCell ref="J3:K3"/>
    <mergeCell ref="A2:C2"/>
    <mergeCell ref="D2:E2"/>
    <mergeCell ref="F4:I4"/>
    <mergeCell ref="J4:K4"/>
    <mergeCell ref="I2:K2"/>
  </mergeCells>
  <pageMargins left="0.23" right="0.2" top="0.74803149606299213" bottom="0.74803149606299213" header="0.31496062992125984" footer="0.31496062992125984"/>
  <pageSetup paperSize="9" scale="81"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7"/>
  <sheetViews>
    <sheetView showGridLines="0" view="pageBreakPreview" topLeftCell="A16" zoomScale="85" zoomScaleNormal="100" zoomScaleSheetLayoutView="85" workbookViewId="0">
      <selection activeCell="G7" sqref="G7"/>
    </sheetView>
  </sheetViews>
  <sheetFormatPr defaultColWidth="9.140625" defaultRowHeight="15"/>
  <cols>
    <col min="1" max="1" width="9.140625" style="174" customWidth="1"/>
    <col min="2" max="2" width="34.140625" style="174" customWidth="1"/>
    <col min="3" max="6" width="11.85546875" style="174" bestFit="1" customWidth="1"/>
    <col min="7" max="7" width="9.85546875" style="174" bestFit="1" customWidth="1"/>
    <col min="8" max="11" width="11.7109375" style="174" customWidth="1"/>
    <col min="12" max="16384" width="9.140625" style="174"/>
  </cols>
  <sheetData>
    <row r="1" spans="1:11">
      <c r="A1" s="254"/>
      <c r="B1" s="254"/>
      <c r="C1" s="254"/>
      <c r="D1" s="254"/>
      <c r="E1" s="254"/>
      <c r="F1" s="254"/>
      <c r="G1" s="254"/>
      <c r="H1" s="254"/>
      <c r="I1" s="254"/>
      <c r="J1" s="1554" t="s">
        <v>892</v>
      </c>
      <c r="K1" s="1554"/>
    </row>
    <row r="2" spans="1:11">
      <c r="A2" s="1555" t="s">
        <v>923</v>
      </c>
      <c r="B2" s="1555"/>
      <c r="C2" s="1555"/>
      <c r="D2" s="1555"/>
      <c r="E2" s="1555"/>
      <c r="F2" s="1555"/>
      <c r="G2" s="1555"/>
      <c r="H2" s="1555"/>
      <c r="I2" s="1555"/>
      <c r="J2" s="1555"/>
      <c r="K2" s="1555"/>
    </row>
    <row r="3" spans="1:11" ht="34.5" customHeight="1">
      <c r="A3" s="1556" t="s">
        <v>651</v>
      </c>
      <c r="B3" s="1556" t="s">
        <v>48</v>
      </c>
      <c r="C3" s="1553" t="s">
        <v>2285</v>
      </c>
      <c r="D3" s="1553"/>
      <c r="E3" s="1553"/>
      <c r="F3" s="1553" t="s">
        <v>2286</v>
      </c>
      <c r="G3" s="1553"/>
      <c r="H3" s="1553"/>
      <c r="I3" s="1553" t="s">
        <v>2287</v>
      </c>
      <c r="J3" s="1553"/>
      <c r="K3" s="1553"/>
    </row>
    <row r="4" spans="1:11" ht="18.75" customHeight="1">
      <c r="A4" s="1557"/>
      <c r="B4" s="1557"/>
      <c r="C4" s="1092" t="s">
        <v>653</v>
      </c>
      <c r="D4" s="1092" t="s">
        <v>2594</v>
      </c>
      <c r="E4" s="1092" t="s">
        <v>244</v>
      </c>
      <c r="F4" s="1092" t="s">
        <v>653</v>
      </c>
      <c r="G4" s="1092" t="s">
        <v>2594</v>
      </c>
      <c r="H4" s="1092" t="s">
        <v>244</v>
      </c>
      <c r="I4" s="1092" t="s">
        <v>653</v>
      </c>
      <c r="J4" s="1092" t="s">
        <v>654</v>
      </c>
      <c r="K4" s="1092" t="s">
        <v>244</v>
      </c>
    </row>
    <row r="5" spans="1:11" ht="25.5" customHeight="1">
      <c r="A5" s="1095">
        <v>1</v>
      </c>
      <c r="B5" s="230" t="s">
        <v>655</v>
      </c>
      <c r="C5" s="795">
        <f>'F5-8'!E6*70%</f>
        <v>1739.5419999999999</v>
      </c>
      <c r="D5" s="783"/>
      <c r="E5" s="795">
        <f>'F5-8'!E6*30%</f>
        <v>745.51799999999992</v>
      </c>
      <c r="F5" s="796">
        <f t="shared" ref="F5:K5" si="0">C11</f>
        <v>1534.0091065211</v>
      </c>
      <c r="G5" s="796">
        <f t="shared" si="0"/>
        <v>75.629999999999981</v>
      </c>
      <c r="H5" s="796">
        <f t="shared" si="0"/>
        <v>682.28104565190006</v>
      </c>
      <c r="I5" s="796">
        <f t="shared" si="0"/>
        <v>1526.0199945211</v>
      </c>
      <c r="J5" s="796">
        <f t="shared" si="0"/>
        <v>0</v>
      </c>
      <c r="K5" s="796">
        <f t="shared" si="0"/>
        <v>705.85704565190008</v>
      </c>
    </row>
    <row r="6" spans="1:11" ht="27" customHeight="1">
      <c r="A6" s="1095">
        <v>2</v>
      </c>
      <c r="B6" s="230" t="s">
        <v>656</v>
      </c>
      <c r="C6" s="795">
        <f>('F5-8'!E8-'F5-9'!D6)*70%</f>
        <v>1092.43571234</v>
      </c>
      <c r="D6" s="1212">
        <f>'[3]Capitalization FY 2019-20'!$L$99+'[3]Capitalization FY 2019-20'!$L$183+'[3]Capitalization FY 2019-20'!$L$184+'[3]Capitalization FY 2019-20'!$L$185+'[3]Capitalization FY 2019-20'!$L$186+'[3]Capitalization FY 2019-20'!$L$187+'[3]Capitalization FY 2019-20'!$L$189+'[3]Capitalization FY 2019-20'!$L$194+'[3]Capitalization FY 2019-20'!$L$229+'[3]Capitalization FY 2019-20'!$L$230+'[3]Capitalization FY 2019-20'!$L$231+'[3]Capitalization FY 2019-20'!$L$232+'[3]Capitalization FY 2019-20'!$L$233+'[3]Capitalization FY 2019-20'!$L$234+'[3]Capitalization FY 2019-20'!$L$235+'[3]Capitalization FY 2019-20'!$L$236+'[3]Capitalization FY 2019-20'!$L$237+'[3]Capitalization FY 2019-20'!$L$238+'[3]Capitalization FY 2019-20'!$L$239+'[3]Capitalization FY 2019-20'!$L$240+'[3]Capitalization FY 2019-20'!$L$243+'[3]Capitalization FY 2019-20'!$L$244+'[3]Capitalization FY 2019-20'!$L$246</f>
        <v>134.67999999999998</v>
      </c>
      <c r="E6" s="795">
        <f>('F5-8'!E8-'F5-9'!D6)*30%</f>
        <v>468.18673386</v>
      </c>
      <c r="F6" s="796">
        <f>'F5-8'!I8*80%</f>
        <v>1258.0000000000002</v>
      </c>
      <c r="G6" s="796"/>
      <c r="H6" s="796">
        <f>'F5-8'!I8*20%</f>
        <v>314.50000000000006</v>
      </c>
      <c r="I6" s="796">
        <f>'F5-8'!K8*80%</f>
        <v>404.60000000000008</v>
      </c>
      <c r="J6" s="235"/>
      <c r="K6" s="796">
        <f>'F5-8'!K8*20%</f>
        <v>101.15000000000002</v>
      </c>
    </row>
    <row r="7" spans="1:11" ht="24" customHeight="1">
      <c r="A7" s="1095">
        <v>3</v>
      </c>
      <c r="B7" s="230" t="s">
        <v>657</v>
      </c>
      <c r="C7" s="965"/>
      <c r="D7" s="235"/>
      <c r="E7" s="235"/>
      <c r="F7" s="235"/>
      <c r="G7" s="235"/>
      <c r="H7" s="235"/>
      <c r="I7" s="965"/>
      <c r="J7" s="965"/>
      <c r="K7" s="965"/>
    </row>
    <row r="8" spans="1:11" ht="23.25" customHeight="1">
      <c r="A8" s="1095"/>
      <c r="B8" s="230" t="s">
        <v>658</v>
      </c>
      <c r="C8" s="795">
        <f>('F5-8'!E10-'F5-9'!D8)*70%</f>
        <v>1239.9886058188999</v>
      </c>
      <c r="D8" s="1212">
        <f>'[3]Capitalization FY 2019-20'!$M$180+'[3]Capitalization FY 2019-20'!$M$185+'[3]Capitalization FY 2019-20'!$M$186+'[3]Capitalization FY 2019-20'!$M$190+'[3]Capitalization FY 2019-20'!$M$193+'[3]Capitalization FY 2019-20'!$M$194+'[3]Capitalization FY 2019-20'!$M$246</f>
        <v>59.05</v>
      </c>
      <c r="E8" s="795">
        <f>('F5-8'!E10-'F5-9'!D8)*30%</f>
        <v>531.42368820809997</v>
      </c>
      <c r="F8" s="796">
        <f>('F5-8'!I10-'F5-9'!G8)*80%</f>
        <v>1163.6959999999999</v>
      </c>
      <c r="G8" s="796">
        <f>G5</f>
        <v>75.629999999999981</v>
      </c>
      <c r="H8" s="796">
        <f>('F5-8'!I10-'F5-9'!G8)*20%</f>
        <v>290.92399999999998</v>
      </c>
      <c r="I8" s="796">
        <f>'F5-8'!K10*80%</f>
        <v>1257.6400000000001</v>
      </c>
      <c r="J8" s="235"/>
      <c r="K8" s="796">
        <f>'F5-8'!K10*20%</f>
        <v>314.41000000000003</v>
      </c>
    </row>
    <row r="9" spans="1:11" ht="23.25" customHeight="1">
      <c r="A9" s="1095"/>
      <c r="B9" s="230" t="s">
        <v>1787</v>
      </c>
      <c r="C9" s="795">
        <f>'F5-8'!E11</f>
        <v>57.98</v>
      </c>
      <c r="D9" s="235"/>
      <c r="E9" s="795"/>
      <c r="F9" s="796">
        <f>'F5-8'!I11</f>
        <v>102.29311199999999</v>
      </c>
      <c r="G9" s="796"/>
      <c r="H9" s="796"/>
      <c r="I9" s="796">
        <f>'F5-8'!K11</f>
        <v>127.36961999999998</v>
      </c>
      <c r="J9" s="235"/>
      <c r="K9" s="796"/>
    </row>
    <row r="10" spans="1:11" ht="21.75" customHeight="1">
      <c r="A10" s="1095"/>
      <c r="B10" s="230" t="s">
        <v>1788</v>
      </c>
      <c r="C10" s="965"/>
      <c r="D10" s="235"/>
      <c r="E10" s="235"/>
      <c r="F10" s="965"/>
      <c r="G10" s="965"/>
      <c r="H10" s="965"/>
      <c r="I10" s="965"/>
      <c r="J10" s="965"/>
      <c r="K10" s="965"/>
    </row>
    <row r="11" spans="1:11" ht="23.25" customHeight="1">
      <c r="A11" s="1095">
        <v>4</v>
      </c>
      <c r="B11" s="230" t="s">
        <v>659</v>
      </c>
      <c r="C11" s="795">
        <f t="shared" ref="C11:K11" si="1">C5+C6-C8-C9</f>
        <v>1534.0091065211</v>
      </c>
      <c r="D11" s="1212">
        <f t="shared" si="1"/>
        <v>75.629999999999981</v>
      </c>
      <c r="E11" s="795">
        <f t="shared" si="1"/>
        <v>682.28104565190006</v>
      </c>
      <c r="F11" s="795">
        <f t="shared" si="1"/>
        <v>1526.0199945211</v>
      </c>
      <c r="G11" s="1212">
        <f t="shared" si="1"/>
        <v>0</v>
      </c>
      <c r="H11" s="795">
        <f t="shared" si="1"/>
        <v>705.85704565190008</v>
      </c>
      <c r="I11" s="795">
        <f t="shared" si="1"/>
        <v>545.61037452110008</v>
      </c>
      <c r="J11" s="1212">
        <f t="shared" si="1"/>
        <v>0</v>
      </c>
      <c r="K11" s="795">
        <f t="shared" si="1"/>
        <v>492.59704565190003</v>
      </c>
    </row>
    <row r="12" spans="1:11">
      <c r="A12" s="1238" t="s">
        <v>2595</v>
      </c>
      <c r="B12" s="254"/>
      <c r="C12" s="1239"/>
      <c r="D12" s="1239"/>
      <c r="E12" s="1239"/>
      <c r="F12" s="254"/>
      <c r="G12" s="254"/>
      <c r="H12" s="1028"/>
      <c r="I12" s="254"/>
      <c r="J12" s="254"/>
      <c r="K12" s="254"/>
    </row>
    <row r="14" spans="1:11">
      <c r="H14" s="1514" t="s">
        <v>427</v>
      </c>
      <c r="I14" s="1526"/>
      <c r="J14" s="1526"/>
    </row>
    <row r="17" spans="5:7">
      <c r="E17" s="1237"/>
      <c r="F17" s="1237"/>
      <c r="G17" s="1237"/>
    </row>
  </sheetData>
  <mergeCells count="8">
    <mergeCell ref="H14:J14"/>
    <mergeCell ref="C3:E3"/>
    <mergeCell ref="F3:H3"/>
    <mergeCell ref="I3:K3"/>
    <mergeCell ref="J1:K1"/>
    <mergeCell ref="A2:K2"/>
    <mergeCell ref="A3:A4"/>
    <mergeCell ref="B3:B4"/>
  </mergeCells>
  <printOptions horizontalCentered="1"/>
  <pageMargins left="0.42" right="0.51" top="0.74803149606299202" bottom="0.74803149606299202" header="0.31496062992126" footer="0.31496062992126"/>
  <pageSetup paperSize="9" scale="9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2"/>
  <sheetViews>
    <sheetView showGridLines="0" view="pageBreakPreview" zoomScale="60" zoomScaleNormal="70" workbookViewId="0">
      <selection activeCell="G18" sqref="G18"/>
    </sheetView>
  </sheetViews>
  <sheetFormatPr defaultColWidth="9.140625" defaultRowHeight="15"/>
  <cols>
    <col min="1" max="1" width="6" style="766" customWidth="1"/>
    <col min="2" max="2" width="34.42578125" style="766" customWidth="1"/>
    <col min="3" max="3" width="12.28515625" style="766" customWidth="1"/>
    <col min="4" max="4" width="13.42578125" style="766" customWidth="1"/>
    <col min="5" max="5" width="13.42578125" style="766" bestFit="1" customWidth="1"/>
    <col min="6" max="6" width="15.7109375" style="766" customWidth="1"/>
    <col min="7" max="7" width="13.85546875" style="766" customWidth="1"/>
    <col min="8" max="16384" width="9.140625" style="766"/>
  </cols>
  <sheetData>
    <row r="1" spans="1:7" ht="21" customHeight="1">
      <c r="A1" s="1562" t="s">
        <v>1233</v>
      </c>
      <c r="B1" s="1563"/>
      <c r="C1" s="1563"/>
      <c r="D1" s="1563"/>
      <c r="E1" s="1563"/>
      <c r="F1" s="1563"/>
      <c r="G1" s="1563"/>
    </row>
    <row r="2" spans="1:7" ht="35.25" customHeight="1">
      <c r="A2" s="1558" t="s">
        <v>10</v>
      </c>
      <c r="B2" s="1558"/>
      <c r="C2" s="1558"/>
      <c r="D2" s="1558"/>
      <c r="E2" s="1558"/>
      <c r="F2" s="1559" t="s">
        <v>545</v>
      </c>
      <c r="G2" s="1559"/>
    </row>
    <row r="3" spans="1:7" ht="39.75" customHeight="1">
      <c r="A3" s="1564"/>
      <c r="B3" s="1565" t="s">
        <v>48</v>
      </c>
      <c r="C3" s="1565"/>
      <c r="D3" s="1566" t="s">
        <v>1173</v>
      </c>
      <c r="E3" s="1566"/>
      <c r="F3" s="1567" t="s">
        <v>1921</v>
      </c>
      <c r="G3" s="1560" t="s">
        <v>1922</v>
      </c>
    </row>
    <row r="4" spans="1:7" ht="53.25" customHeight="1">
      <c r="A4" s="1564"/>
      <c r="B4" s="1565"/>
      <c r="C4" s="1565"/>
      <c r="D4" s="757" t="s">
        <v>578</v>
      </c>
      <c r="E4" s="757" t="s">
        <v>1920</v>
      </c>
      <c r="F4" s="1568"/>
      <c r="G4" s="1561"/>
    </row>
    <row r="5" spans="1:7" ht="29.25" customHeight="1">
      <c r="A5" s="715">
        <v>1</v>
      </c>
      <c r="B5" s="716" t="s">
        <v>177</v>
      </c>
      <c r="C5" s="715" t="s">
        <v>176</v>
      </c>
      <c r="D5" s="717">
        <v>0.98</v>
      </c>
      <c r="E5" s="718">
        <f>Incentive!D20</f>
        <v>0.9947999999999998</v>
      </c>
      <c r="F5" s="718">
        <f>E5</f>
        <v>0.9947999999999998</v>
      </c>
      <c r="G5" s="718">
        <f>F5</f>
        <v>0.9947999999999998</v>
      </c>
    </row>
    <row r="6" spans="1:7" ht="28.5" customHeight="1">
      <c r="A6" s="715"/>
      <c r="B6" s="719" t="s">
        <v>437</v>
      </c>
      <c r="C6" s="715" t="s">
        <v>176</v>
      </c>
      <c r="D6" s="717"/>
      <c r="E6" s="717" t="s">
        <v>1012</v>
      </c>
      <c r="F6" s="717" t="s">
        <v>1012</v>
      </c>
      <c r="G6" s="717" t="s">
        <v>1012</v>
      </c>
    </row>
    <row r="7" spans="1:7" ht="29.25" customHeight="1">
      <c r="A7" s="715"/>
      <c r="B7" s="720" t="s">
        <v>438</v>
      </c>
      <c r="C7" s="715" t="s">
        <v>176</v>
      </c>
      <c r="D7" s="717"/>
      <c r="E7" s="717" t="s">
        <v>1012</v>
      </c>
      <c r="F7" s="717" t="s">
        <v>1012</v>
      </c>
      <c r="G7" s="717" t="s">
        <v>1012</v>
      </c>
    </row>
    <row r="8" spans="1:7" ht="27.75" customHeight="1">
      <c r="A8" s="715"/>
      <c r="B8" s="719" t="s">
        <v>439</v>
      </c>
      <c r="C8" s="715" t="s">
        <v>176</v>
      </c>
      <c r="D8" s="717"/>
      <c r="E8" s="717" t="s">
        <v>1012</v>
      </c>
      <c r="F8" s="717" t="s">
        <v>1012</v>
      </c>
      <c r="G8" s="717" t="s">
        <v>1012</v>
      </c>
    </row>
    <row r="9" spans="1:7" ht="36" customHeight="1">
      <c r="A9" s="715">
        <f>+A5+1</f>
        <v>2</v>
      </c>
      <c r="B9" s="716" t="s">
        <v>712</v>
      </c>
      <c r="C9" s="715" t="s">
        <v>345</v>
      </c>
      <c r="D9" s="721"/>
      <c r="E9" s="717" t="s">
        <v>1012</v>
      </c>
      <c r="F9" s="717" t="s">
        <v>1012</v>
      </c>
      <c r="G9" s="717" t="s">
        <v>1012</v>
      </c>
    </row>
    <row r="10" spans="1:7" ht="37.5" customHeight="1">
      <c r="A10" s="715">
        <f>+A9+1</f>
        <v>3</v>
      </c>
      <c r="B10" s="716" t="s">
        <v>713</v>
      </c>
      <c r="C10" s="715" t="s">
        <v>345</v>
      </c>
      <c r="D10" s="721"/>
      <c r="E10" s="717" t="s">
        <v>1012</v>
      </c>
      <c r="F10" s="717" t="s">
        <v>1012</v>
      </c>
      <c r="G10" s="717" t="s">
        <v>1012</v>
      </c>
    </row>
    <row r="11" spans="1:7" ht="35.25" customHeight="1">
      <c r="A11" s="715">
        <f t="shared" ref="A11:A19" si="0">+A10+1</f>
        <v>4</v>
      </c>
      <c r="B11" s="716" t="s">
        <v>714</v>
      </c>
      <c r="C11" s="715" t="s">
        <v>345</v>
      </c>
      <c r="D11" s="721"/>
      <c r="E11" s="717" t="s">
        <v>1012</v>
      </c>
      <c r="F11" s="717" t="s">
        <v>1012</v>
      </c>
      <c r="G11" s="717" t="s">
        <v>1012</v>
      </c>
    </row>
    <row r="12" spans="1:7" ht="21" customHeight="1">
      <c r="A12" s="715">
        <f t="shared" si="0"/>
        <v>5</v>
      </c>
      <c r="B12" s="716" t="s">
        <v>715</v>
      </c>
      <c r="C12" s="715" t="s">
        <v>345</v>
      </c>
      <c r="D12" s="721"/>
      <c r="E12" s="717" t="s">
        <v>1012</v>
      </c>
      <c r="F12" s="717" t="s">
        <v>1012</v>
      </c>
      <c r="G12" s="717" t="s">
        <v>1012</v>
      </c>
    </row>
    <row r="13" spans="1:7" ht="28.5" customHeight="1">
      <c r="A13" s="715">
        <f t="shared" si="0"/>
        <v>6</v>
      </c>
      <c r="B13" s="716" t="s">
        <v>351</v>
      </c>
      <c r="C13" s="715" t="s">
        <v>350</v>
      </c>
      <c r="D13" s="721"/>
      <c r="E13" s="717" t="s">
        <v>1012</v>
      </c>
      <c r="F13" s="717" t="s">
        <v>1012</v>
      </c>
      <c r="G13" s="717" t="s">
        <v>1012</v>
      </c>
    </row>
    <row r="14" spans="1:7" ht="36" customHeight="1">
      <c r="A14" s="715">
        <f t="shared" si="0"/>
        <v>7</v>
      </c>
      <c r="B14" s="716" t="s">
        <v>716</v>
      </c>
      <c r="C14" s="715" t="s">
        <v>178</v>
      </c>
      <c r="D14" s="721"/>
      <c r="E14" s="717" t="s">
        <v>1012</v>
      </c>
      <c r="F14" s="717" t="s">
        <v>1012</v>
      </c>
      <c r="G14" s="717" t="s">
        <v>1012</v>
      </c>
    </row>
    <row r="15" spans="1:7" ht="32.25" customHeight="1">
      <c r="A15" s="715">
        <f t="shared" si="0"/>
        <v>8</v>
      </c>
      <c r="B15" s="716" t="s">
        <v>179</v>
      </c>
      <c r="C15" s="715" t="s">
        <v>180</v>
      </c>
      <c r="D15" s="721"/>
      <c r="E15" s="717" t="s">
        <v>1012</v>
      </c>
      <c r="F15" s="717" t="s">
        <v>1012</v>
      </c>
      <c r="G15" s="717" t="s">
        <v>1012</v>
      </c>
    </row>
    <row r="16" spans="1:7" ht="33.75" customHeight="1">
      <c r="A16" s="715">
        <f t="shared" si="0"/>
        <v>9</v>
      </c>
      <c r="B16" s="716" t="s">
        <v>660</v>
      </c>
      <c r="C16" s="715" t="s">
        <v>176</v>
      </c>
      <c r="D16" s="797">
        <v>0.155</v>
      </c>
      <c r="E16" s="798">
        <f>'F10'!D33</f>
        <v>0.12117099651027531</v>
      </c>
      <c r="F16" s="798">
        <f>'F10'!I33</f>
        <v>0.18781049315400458</v>
      </c>
      <c r="G16" s="1179">
        <f>'F10'!J33</f>
        <v>0.12117099651027531</v>
      </c>
    </row>
    <row r="17" spans="1:7" ht="30" customHeight="1">
      <c r="A17" s="715">
        <f>+A16+1</f>
        <v>10</v>
      </c>
      <c r="B17" s="716" t="s">
        <v>386</v>
      </c>
      <c r="C17" s="715" t="s">
        <v>176</v>
      </c>
      <c r="D17" s="721"/>
      <c r="E17" s="721"/>
      <c r="F17" s="721"/>
      <c r="G17" s="715"/>
    </row>
    <row r="18" spans="1:7" ht="33.75" customHeight="1">
      <c r="A18" s="715">
        <f t="shared" si="0"/>
        <v>11</v>
      </c>
      <c r="B18" s="716" t="s">
        <v>994</v>
      </c>
      <c r="C18" s="715" t="s">
        <v>176</v>
      </c>
      <c r="D18" s="798">
        <v>9.0999999999999998E-2</v>
      </c>
      <c r="E18" s="798">
        <v>8.1600000000000006E-2</v>
      </c>
      <c r="F18" s="798">
        <v>7.0000000000000007E-2</v>
      </c>
      <c r="G18" s="798">
        <v>7.0000000000000007E-2</v>
      </c>
    </row>
    <row r="19" spans="1:7" ht="27.75" customHeight="1">
      <c r="A19" s="715">
        <f t="shared" si="0"/>
        <v>12</v>
      </c>
      <c r="B19" s="716" t="s">
        <v>588</v>
      </c>
      <c r="C19" s="715" t="s">
        <v>176</v>
      </c>
      <c r="D19" s="721"/>
      <c r="E19" s="721"/>
      <c r="F19" s="721"/>
      <c r="G19" s="715"/>
    </row>
    <row r="20" spans="1:7" ht="27.75" customHeight="1">
      <c r="A20" s="231"/>
      <c r="B20" s="232"/>
      <c r="C20" s="233"/>
      <c r="D20" s="233"/>
      <c r="E20" s="233"/>
      <c r="F20" s="233"/>
      <c r="G20" s="234"/>
    </row>
    <row r="21" spans="1:7" ht="21" hidden="1" customHeight="1">
      <c r="A21" s="231"/>
      <c r="B21" s="232"/>
      <c r="C21" s="233"/>
      <c r="D21" s="233"/>
      <c r="E21" s="233"/>
      <c r="F21" s="233"/>
      <c r="G21" s="234"/>
    </row>
    <row r="22" spans="1:7" ht="21" hidden="1" customHeight="1">
      <c r="A22" s="194" t="s">
        <v>212</v>
      </c>
      <c r="B22" s="194"/>
      <c r="C22" s="194"/>
      <c r="D22" s="194"/>
      <c r="E22" s="194"/>
      <c r="F22" s="194"/>
      <c r="G22" s="194"/>
    </row>
    <row r="23" spans="1:7" ht="21" hidden="1" customHeight="1">
      <c r="A23" s="761">
        <v>1</v>
      </c>
      <c r="B23" s="214" t="s">
        <v>364</v>
      </c>
      <c r="C23" s="1510" t="s">
        <v>381</v>
      </c>
      <c r="D23" s="1569"/>
      <c r="E23" s="1569"/>
      <c r="F23" s="1569"/>
      <c r="G23" s="1569"/>
    </row>
    <row r="24" spans="1:7" ht="21" hidden="1" customHeight="1">
      <c r="A24" s="761">
        <v>2</v>
      </c>
      <c r="B24" s="215" t="s">
        <v>368</v>
      </c>
      <c r="C24" s="1510"/>
      <c r="D24" s="1569"/>
      <c r="E24" s="1569"/>
      <c r="F24" s="1569"/>
      <c r="G24" s="1569"/>
    </row>
    <row r="25" spans="1:7" ht="21" hidden="1" customHeight="1">
      <c r="A25" s="761">
        <v>3</v>
      </c>
      <c r="B25" s="215" t="s">
        <v>355</v>
      </c>
      <c r="C25" s="1510" t="s">
        <v>360</v>
      </c>
      <c r="D25" s="1569"/>
      <c r="E25" s="1569"/>
      <c r="F25" s="1569"/>
      <c r="G25" s="1569"/>
    </row>
    <row r="26" spans="1:7" ht="21" hidden="1" customHeight="1">
      <c r="A26" s="761">
        <v>4</v>
      </c>
      <c r="B26" s="215" t="s">
        <v>356</v>
      </c>
      <c r="C26" s="1570" t="s">
        <v>383</v>
      </c>
      <c r="D26" s="1571"/>
      <c r="E26" s="1571"/>
      <c r="F26" s="1571"/>
      <c r="G26" s="1571"/>
    </row>
    <row r="27" spans="1:7" ht="21" hidden="1" customHeight="1">
      <c r="A27" s="761">
        <v>5</v>
      </c>
      <c r="B27" s="215" t="s">
        <v>357</v>
      </c>
      <c r="C27" s="1510"/>
      <c r="D27" s="1569"/>
      <c r="E27" s="1569"/>
      <c r="F27" s="1569"/>
      <c r="G27" s="1569"/>
    </row>
    <row r="28" spans="1:7" hidden="1"/>
    <row r="29" spans="1:7" hidden="1"/>
    <row r="30" spans="1:7" hidden="1"/>
    <row r="32" spans="1:7">
      <c r="E32" s="1514" t="s">
        <v>427</v>
      </c>
      <c r="F32" s="1526"/>
      <c r="G32" s="1526"/>
    </row>
  </sheetData>
  <mergeCells count="15">
    <mergeCell ref="E32:G32"/>
    <mergeCell ref="C23:G23"/>
    <mergeCell ref="C24:G24"/>
    <mergeCell ref="C25:G25"/>
    <mergeCell ref="C26:G26"/>
    <mergeCell ref="C27:G27"/>
    <mergeCell ref="A2:E2"/>
    <mergeCell ref="F2:G2"/>
    <mergeCell ref="G3:G4"/>
    <mergeCell ref="A1:G1"/>
    <mergeCell ref="A3:A4"/>
    <mergeCell ref="B3:B4"/>
    <mergeCell ref="C3:C4"/>
    <mergeCell ref="D3:E3"/>
    <mergeCell ref="F3:F4"/>
  </mergeCells>
  <pageMargins left="0.34" right="0.3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0" zoomScaleNormal="80" zoomScaleSheetLayoutView="115" workbookViewId="0">
      <selection activeCell="A4" sqref="A4:B5"/>
    </sheetView>
  </sheetViews>
  <sheetFormatPr defaultRowHeight="15"/>
  <cols>
    <col min="1" max="1" width="9.140625" style="69"/>
    <col min="2" max="2" width="0" style="69" hidden="1" customWidth="1"/>
    <col min="3" max="3" width="14.42578125" style="69" customWidth="1"/>
    <col min="4" max="4" width="86.42578125" style="5" bestFit="1" customWidth="1"/>
    <col min="5" max="217" width="9.140625" style="5"/>
    <col min="218" max="218" width="12.28515625" style="5" customWidth="1"/>
    <col min="219" max="219" width="60" style="5" customWidth="1"/>
    <col min="220" max="473" width="9.140625" style="5"/>
    <col min="474" max="474" width="12.28515625" style="5" customWidth="1"/>
    <col min="475" max="475" width="60" style="5" customWidth="1"/>
    <col min="476" max="729" width="9.140625" style="5"/>
    <col min="730" max="730" width="12.28515625" style="5" customWidth="1"/>
    <col min="731" max="731" width="60" style="5" customWidth="1"/>
    <col min="732" max="985" width="9.140625" style="5"/>
    <col min="986" max="986" width="12.28515625" style="5" customWidth="1"/>
    <col min="987" max="987" width="60" style="5" customWidth="1"/>
    <col min="988" max="1241" width="9.140625" style="5"/>
    <col min="1242" max="1242" width="12.28515625" style="5" customWidth="1"/>
    <col min="1243" max="1243" width="60" style="5" customWidth="1"/>
    <col min="1244" max="1497" width="9.140625" style="5"/>
    <col min="1498" max="1498" width="12.28515625" style="5" customWidth="1"/>
    <col min="1499" max="1499" width="60" style="5" customWidth="1"/>
    <col min="1500" max="1753" width="9.140625" style="5"/>
    <col min="1754" max="1754" width="12.28515625" style="5" customWidth="1"/>
    <col min="1755" max="1755" width="60" style="5" customWidth="1"/>
    <col min="1756" max="2009" width="9.140625" style="5"/>
    <col min="2010" max="2010" width="12.28515625" style="5" customWidth="1"/>
    <col min="2011" max="2011" width="60" style="5" customWidth="1"/>
    <col min="2012" max="2265" width="9.140625" style="5"/>
    <col min="2266" max="2266" width="12.28515625" style="5" customWidth="1"/>
    <col min="2267" max="2267" width="60" style="5" customWidth="1"/>
    <col min="2268" max="2521" width="9.140625" style="5"/>
    <col min="2522" max="2522" width="12.28515625" style="5" customWidth="1"/>
    <col min="2523" max="2523" width="60" style="5" customWidth="1"/>
    <col min="2524" max="2777" width="9.140625" style="5"/>
    <col min="2778" max="2778" width="12.28515625" style="5" customWidth="1"/>
    <col min="2779" max="2779" width="60" style="5" customWidth="1"/>
    <col min="2780" max="3033" width="9.140625" style="5"/>
    <col min="3034" max="3034" width="12.28515625" style="5" customWidth="1"/>
    <col min="3035" max="3035" width="60" style="5" customWidth="1"/>
    <col min="3036" max="3289" width="9.140625" style="5"/>
    <col min="3290" max="3290" width="12.28515625" style="5" customWidth="1"/>
    <col min="3291" max="3291" width="60" style="5" customWidth="1"/>
    <col min="3292" max="3545" width="9.140625" style="5"/>
    <col min="3546" max="3546" width="12.28515625" style="5" customWidth="1"/>
    <col min="3547" max="3547" width="60" style="5" customWidth="1"/>
    <col min="3548" max="3801" width="9.140625" style="5"/>
    <col min="3802" max="3802" width="12.28515625" style="5" customWidth="1"/>
    <col min="3803" max="3803" width="60" style="5" customWidth="1"/>
    <col min="3804" max="4057" width="9.140625" style="5"/>
    <col min="4058" max="4058" width="12.28515625" style="5" customWidth="1"/>
    <col min="4059" max="4059" width="60" style="5" customWidth="1"/>
    <col min="4060" max="4313" width="9.140625" style="5"/>
    <col min="4314" max="4314" width="12.28515625" style="5" customWidth="1"/>
    <col min="4315" max="4315" width="60" style="5" customWidth="1"/>
    <col min="4316" max="4569" width="9.140625" style="5"/>
    <col min="4570" max="4570" width="12.28515625" style="5" customWidth="1"/>
    <col min="4571" max="4571" width="60" style="5" customWidth="1"/>
    <col min="4572" max="4825" width="9.140625" style="5"/>
    <col min="4826" max="4826" width="12.28515625" style="5" customWidth="1"/>
    <col min="4827" max="4827" width="60" style="5" customWidth="1"/>
    <col min="4828" max="5081" width="9.140625" style="5"/>
    <col min="5082" max="5082" width="12.28515625" style="5" customWidth="1"/>
    <col min="5083" max="5083" width="60" style="5" customWidth="1"/>
    <col min="5084" max="5337" width="9.140625" style="5"/>
    <col min="5338" max="5338" width="12.28515625" style="5" customWidth="1"/>
    <col min="5339" max="5339" width="60" style="5" customWidth="1"/>
    <col min="5340" max="5593" width="9.140625" style="5"/>
    <col min="5594" max="5594" width="12.28515625" style="5" customWidth="1"/>
    <col min="5595" max="5595" width="60" style="5" customWidth="1"/>
    <col min="5596" max="5849" width="9.140625" style="5"/>
    <col min="5850" max="5850" width="12.28515625" style="5" customWidth="1"/>
    <col min="5851" max="5851" width="60" style="5" customWidth="1"/>
    <col min="5852" max="6105" width="9.140625" style="5"/>
    <col min="6106" max="6106" width="12.28515625" style="5" customWidth="1"/>
    <col min="6107" max="6107" width="60" style="5" customWidth="1"/>
    <col min="6108" max="6361" width="9.140625" style="5"/>
    <col min="6362" max="6362" width="12.28515625" style="5" customWidth="1"/>
    <col min="6363" max="6363" width="60" style="5" customWidth="1"/>
    <col min="6364" max="6617" width="9.140625" style="5"/>
    <col min="6618" max="6618" width="12.28515625" style="5" customWidth="1"/>
    <col min="6619" max="6619" width="60" style="5" customWidth="1"/>
    <col min="6620" max="6873" width="9.140625" style="5"/>
    <col min="6874" max="6874" width="12.28515625" style="5" customWidth="1"/>
    <col min="6875" max="6875" width="60" style="5" customWidth="1"/>
    <col min="6876" max="7129" width="9.140625" style="5"/>
    <col min="7130" max="7130" width="12.28515625" style="5" customWidth="1"/>
    <col min="7131" max="7131" width="60" style="5" customWidth="1"/>
    <col min="7132" max="7385" width="9.140625" style="5"/>
    <col min="7386" max="7386" width="12.28515625" style="5" customWidth="1"/>
    <col min="7387" max="7387" width="60" style="5" customWidth="1"/>
    <col min="7388" max="7641" width="9.140625" style="5"/>
    <col min="7642" max="7642" width="12.28515625" style="5" customWidth="1"/>
    <col min="7643" max="7643" width="60" style="5" customWidth="1"/>
    <col min="7644" max="7897" width="9.140625" style="5"/>
    <col min="7898" max="7898" width="12.28515625" style="5" customWidth="1"/>
    <col min="7899" max="7899" width="60" style="5" customWidth="1"/>
    <col min="7900" max="8153" width="9.140625" style="5"/>
    <col min="8154" max="8154" width="12.28515625" style="5" customWidth="1"/>
    <col min="8155" max="8155" width="60" style="5" customWidth="1"/>
    <col min="8156" max="8409" width="9.140625" style="5"/>
    <col min="8410" max="8410" width="12.28515625" style="5" customWidth="1"/>
    <col min="8411" max="8411" width="60" style="5" customWidth="1"/>
    <col min="8412" max="8665" width="9.140625" style="5"/>
    <col min="8666" max="8666" width="12.28515625" style="5" customWidth="1"/>
    <col min="8667" max="8667" width="60" style="5" customWidth="1"/>
    <col min="8668" max="8921" width="9.140625" style="5"/>
    <col min="8922" max="8922" width="12.28515625" style="5" customWidth="1"/>
    <col min="8923" max="8923" width="60" style="5" customWidth="1"/>
    <col min="8924" max="9177" width="9.140625" style="5"/>
    <col min="9178" max="9178" width="12.28515625" style="5" customWidth="1"/>
    <col min="9179" max="9179" width="60" style="5" customWidth="1"/>
    <col min="9180" max="9433" width="9.140625" style="5"/>
    <col min="9434" max="9434" width="12.28515625" style="5" customWidth="1"/>
    <col min="9435" max="9435" width="60" style="5" customWidth="1"/>
    <col min="9436" max="9689" width="9.140625" style="5"/>
    <col min="9690" max="9690" width="12.28515625" style="5" customWidth="1"/>
    <col min="9691" max="9691" width="60" style="5" customWidth="1"/>
    <col min="9692" max="9945" width="9.140625" style="5"/>
    <col min="9946" max="9946" width="12.28515625" style="5" customWidth="1"/>
    <col min="9947" max="9947" width="60" style="5" customWidth="1"/>
    <col min="9948" max="10201" width="9.140625" style="5"/>
    <col min="10202" max="10202" width="12.28515625" style="5" customWidth="1"/>
    <col min="10203" max="10203" width="60" style="5" customWidth="1"/>
    <col min="10204" max="10457" width="9.140625" style="5"/>
    <col min="10458" max="10458" width="12.28515625" style="5" customWidth="1"/>
    <col min="10459" max="10459" width="60" style="5" customWidth="1"/>
    <col min="10460" max="10713" width="9.140625" style="5"/>
    <col min="10714" max="10714" width="12.28515625" style="5" customWidth="1"/>
    <col min="10715" max="10715" width="60" style="5" customWidth="1"/>
    <col min="10716" max="10969" width="9.140625" style="5"/>
    <col min="10970" max="10970" width="12.28515625" style="5" customWidth="1"/>
    <col min="10971" max="10971" width="60" style="5" customWidth="1"/>
    <col min="10972" max="11225" width="9.140625" style="5"/>
    <col min="11226" max="11226" width="12.28515625" style="5" customWidth="1"/>
    <col min="11227" max="11227" width="60" style="5" customWidth="1"/>
    <col min="11228" max="11481" width="9.140625" style="5"/>
    <col min="11482" max="11482" width="12.28515625" style="5" customWidth="1"/>
    <col min="11483" max="11483" width="60" style="5" customWidth="1"/>
    <col min="11484" max="11737" width="9.140625" style="5"/>
    <col min="11738" max="11738" width="12.28515625" style="5" customWidth="1"/>
    <col min="11739" max="11739" width="60" style="5" customWidth="1"/>
    <col min="11740" max="11993" width="9.140625" style="5"/>
    <col min="11994" max="11994" width="12.28515625" style="5" customWidth="1"/>
    <col min="11995" max="11995" width="60" style="5" customWidth="1"/>
    <col min="11996" max="12249" width="9.140625" style="5"/>
    <col min="12250" max="12250" width="12.28515625" style="5" customWidth="1"/>
    <col min="12251" max="12251" width="60" style="5" customWidth="1"/>
    <col min="12252" max="12505" width="9.140625" style="5"/>
    <col min="12506" max="12506" width="12.28515625" style="5" customWidth="1"/>
    <col min="12507" max="12507" width="60" style="5" customWidth="1"/>
    <col min="12508" max="12761" width="9.140625" style="5"/>
    <col min="12762" max="12762" width="12.28515625" style="5" customWidth="1"/>
    <col min="12763" max="12763" width="60" style="5" customWidth="1"/>
    <col min="12764" max="13017" width="9.140625" style="5"/>
    <col min="13018" max="13018" width="12.28515625" style="5" customWidth="1"/>
    <col min="13019" max="13019" width="60" style="5" customWidth="1"/>
    <col min="13020" max="13273" width="9.140625" style="5"/>
    <col min="13274" max="13274" width="12.28515625" style="5" customWidth="1"/>
    <col min="13275" max="13275" width="60" style="5" customWidth="1"/>
    <col min="13276" max="13529" width="9.140625" style="5"/>
    <col min="13530" max="13530" width="12.28515625" style="5" customWidth="1"/>
    <col min="13531" max="13531" width="60" style="5" customWidth="1"/>
    <col min="13532" max="13785" width="9.140625" style="5"/>
    <col min="13786" max="13786" width="12.28515625" style="5" customWidth="1"/>
    <col min="13787" max="13787" width="60" style="5" customWidth="1"/>
    <col min="13788" max="14041" width="9.140625" style="5"/>
    <col min="14042" max="14042" width="12.28515625" style="5" customWidth="1"/>
    <col min="14043" max="14043" width="60" style="5" customWidth="1"/>
    <col min="14044" max="14297" width="9.140625" style="5"/>
    <col min="14298" max="14298" width="12.28515625" style="5" customWidth="1"/>
    <col min="14299" max="14299" width="60" style="5" customWidth="1"/>
    <col min="14300" max="14553" width="9.140625" style="5"/>
    <col min="14554" max="14554" width="12.28515625" style="5" customWidth="1"/>
    <col min="14555" max="14555" width="60" style="5" customWidth="1"/>
    <col min="14556" max="14809" width="9.140625" style="5"/>
    <col min="14810" max="14810" width="12.28515625" style="5" customWidth="1"/>
    <col min="14811" max="14811" width="60" style="5" customWidth="1"/>
    <col min="14812" max="15065" width="9.140625" style="5"/>
    <col min="15066" max="15066" width="12.28515625" style="5" customWidth="1"/>
    <col min="15067" max="15067" width="60" style="5" customWidth="1"/>
    <col min="15068" max="15321" width="9.140625" style="5"/>
    <col min="15322" max="15322" width="12.28515625" style="5" customWidth="1"/>
    <col min="15323" max="15323" width="60" style="5" customWidth="1"/>
    <col min="15324" max="15577" width="9.140625" style="5"/>
    <col min="15578" max="15578" width="12.28515625" style="5" customWidth="1"/>
    <col min="15579" max="15579" width="60" style="5" customWidth="1"/>
    <col min="15580" max="15833" width="9.140625" style="5"/>
    <col min="15834" max="15834" width="12.28515625" style="5" customWidth="1"/>
    <col min="15835" max="15835" width="60" style="5" customWidth="1"/>
    <col min="15836" max="16089" width="9.140625" style="5"/>
    <col min="16090" max="16090" width="12.28515625" style="5" customWidth="1"/>
    <col min="16091" max="16091" width="60" style="5" customWidth="1"/>
    <col min="16092" max="16384" width="9.140625" style="5"/>
  </cols>
  <sheetData>
    <row r="1" spans="1:4" ht="46.5" customHeight="1">
      <c r="A1" s="1306" t="s">
        <v>944</v>
      </c>
      <c r="B1" s="1306"/>
      <c r="C1" s="1306"/>
      <c r="D1" s="1306"/>
    </row>
    <row r="2" spans="1:4">
      <c r="A2" s="1306"/>
      <c r="B2" s="1306"/>
      <c r="C2" s="1306"/>
      <c r="D2" s="1306"/>
    </row>
    <row r="3" spans="1:4" s="59" customFormat="1" ht="15.75">
      <c r="A3" s="1301" t="s">
        <v>520</v>
      </c>
      <c r="B3" s="1301"/>
      <c r="C3" s="1301"/>
      <c r="D3" s="1301"/>
    </row>
    <row r="4" spans="1:4" s="59" customFormat="1" ht="20.100000000000001" customHeight="1">
      <c r="A4" s="60">
        <v>1</v>
      </c>
      <c r="B4" s="60" t="s">
        <v>521</v>
      </c>
      <c r="C4" s="60" t="s">
        <v>522</v>
      </c>
      <c r="D4" s="65" t="s">
        <v>506</v>
      </c>
    </row>
    <row r="5" spans="1:4" s="59" customFormat="1" ht="20.100000000000001" customHeight="1">
      <c r="A5" s="60">
        <f>A4+1</f>
        <v>2</v>
      </c>
      <c r="B5" s="60" t="s">
        <v>521</v>
      </c>
      <c r="C5" s="60" t="s">
        <v>523</v>
      </c>
      <c r="D5" s="65" t="s">
        <v>517</v>
      </c>
    </row>
    <row r="6" spans="1:4" s="59" customFormat="1" ht="20.100000000000001" customHeight="1">
      <c r="A6" s="60">
        <v>3</v>
      </c>
      <c r="B6" s="60" t="s">
        <v>521</v>
      </c>
      <c r="C6" s="60" t="s">
        <v>524</v>
      </c>
      <c r="D6" s="65" t="s">
        <v>525</v>
      </c>
    </row>
    <row r="7" spans="1:4" s="59" customFormat="1" ht="20.100000000000001" customHeight="1">
      <c r="A7" s="1302" t="s">
        <v>526</v>
      </c>
      <c r="B7" s="1302"/>
      <c r="C7" s="1302"/>
      <c r="D7" s="1302"/>
    </row>
    <row r="8" spans="1:4" s="59" customFormat="1" ht="20.100000000000001" customHeight="1">
      <c r="A8" s="61">
        <v>4</v>
      </c>
      <c r="B8" s="60" t="s">
        <v>521</v>
      </c>
      <c r="C8" s="60" t="s">
        <v>100</v>
      </c>
      <c r="D8" s="66" t="s">
        <v>540</v>
      </c>
    </row>
    <row r="9" spans="1:4" s="59" customFormat="1" ht="20.100000000000001" customHeight="1">
      <c r="A9" s="61">
        <f>+A8+1</f>
        <v>5</v>
      </c>
      <c r="B9" s="61" t="s">
        <v>521</v>
      </c>
      <c r="C9" s="61" t="s">
        <v>102</v>
      </c>
      <c r="D9" s="67" t="s">
        <v>584</v>
      </c>
    </row>
    <row r="10" spans="1:4" s="59" customFormat="1" ht="20.100000000000001" customHeight="1">
      <c r="A10" s="61">
        <f>+A9+1</f>
        <v>6</v>
      </c>
      <c r="B10" s="60" t="s">
        <v>521</v>
      </c>
      <c r="C10" s="60" t="s">
        <v>104</v>
      </c>
      <c r="D10" s="66" t="s">
        <v>7</v>
      </c>
    </row>
    <row r="11" spans="1:4" s="59" customFormat="1" ht="20.100000000000001" customHeight="1">
      <c r="A11" s="61">
        <f t="shared" ref="A11:A31" si="0">+A10+1</f>
        <v>7</v>
      </c>
      <c r="B11" s="60" t="s">
        <v>521</v>
      </c>
      <c r="C11" s="60" t="s">
        <v>106</v>
      </c>
      <c r="D11" s="66" t="s">
        <v>599</v>
      </c>
    </row>
    <row r="12" spans="1:4" s="59" customFormat="1" ht="20.100000000000001" customHeight="1">
      <c r="A12" s="61">
        <f t="shared" si="0"/>
        <v>8</v>
      </c>
      <c r="B12" s="60" t="s">
        <v>521</v>
      </c>
      <c r="C12" s="60" t="s">
        <v>105</v>
      </c>
      <c r="D12" s="65" t="s">
        <v>817</v>
      </c>
    </row>
    <row r="13" spans="1:4" s="59" customFormat="1" ht="20.100000000000001" customHeight="1">
      <c r="A13" s="61">
        <f t="shared" si="0"/>
        <v>9</v>
      </c>
      <c r="B13" s="60" t="s">
        <v>521</v>
      </c>
      <c r="C13" s="60" t="s">
        <v>124</v>
      </c>
      <c r="D13" s="65" t="s">
        <v>10</v>
      </c>
    </row>
    <row r="14" spans="1:4" s="59" customFormat="1" ht="20.100000000000001" customHeight="1">
      <c r="A14" s="61">
        <f t="shared" si="0"/>
        <v>10</v>
      </c>
      <c r="B14" s="60" t="s">
        <v>521</v>
      </c>
      <c r="C14" s="61" t="s">
        <v>113</v>
      </c>
      <c r="D14" s="68" t="s">
        <v>821</v>
      </c>
    </row>
    <row r="15" spans="1:4" s="59" customFormat="1" ht="20.100000000000001" customHeight="1">
      <c r="A15" s="61">
        <f t="shared" si="0"/>
        <v>11</v>
      </c>
      <c r="B15" s="60" t="s">
        <v>521</v>
      </c>
      <c r="C15" s="60" t="s">
        <v>116</v>
      </c>
      <c r="D15" s="65" t="s">
        <v>641</v>
      </c>
    </row>
    <row r="16" spans="1:4" s="59" customFormat="1" ht="20.100000000000001" customHeight="1">
      <c r="A16" s="61">
        <f t="shared" si="0"/>
        <v>12</v>
      </c>
      <c r="B16" s="60" t="s">
        <v>521</v>
      </c>
      <c r="C16" s="60" t="s">
        <v>117</v>
      </c>
      <c r="D16" s="65" t="s">
        <v>818</v>
      </c>
    </row>
    <row r="17" spans="1:4" s="59" customFormat="1" ht="20.100000000000001" customHeight="1">
      <c r="A17" s="61">
        <f t="shared" si="0"/>
        <v>13</v>
      </c>
      <c r="B17" s="60" t="s">
        <v>521</v>
      </c>
      <c r="C17" s="60" t="s">
        <v>125</v>
      </c>
      <c r="D17" s="65" t="s">
        <v>638</v>
      </c>
    </row>
    <row r="18" spans="1:4" s="59" customFormat="1" ht="20.100000000000001" customHeight="1">
      <c r="A18" s="61">
        <f t="shared" si="0"/>
        <v>14</v>
      </c>
      <c r="B18" s="60" t="s">
        <v>521</v>
      </c>
      <c r="C18" s="60" t="s">
        <v>126</v>
      </c>
      <c r="D18" s="65" t="s">
        <v>819</v>
      </c>
    </row>
    <row r="19" spans="1:4" s="59" customFormat="1" ht="20.100000000000001" customHeight="1">
      <c r="A19" s="61">
        <f t="shared" si="0"/>
        <v>15</v>
      </c>
      <c r="B19" s="60" t="s">
        <v>521</v>
      </c>
      <c r="C19" s="60" t="s">
        <v>128</v>
      </c>
      <c r="D19" s="65" t="s">
        <v>820</v>
      </c>
    </row>
    <row r="20" spans="1:4" s="59" customFormat="1" ht="20.100000000000001" customHeight="1">
      <c r="A20" s="61">
        <f t="shared" si="0"/>
        <v>16</v>
      </c>
      <c r="B20" s="60" t="s">
        <v>521</v>
      </c>
      <c r="C20" s="60" t="s">
        <v>110</v>
      </c>
      <c r="D20" s="65" t="s">
        <v>76</v>
      </c>
    </row>
    <row r="21" spans="1:4" s="59" customFormat="1" ht="20.100000000000001" customHeight="1">
      <c r="A21" s="61">
        <f t="shared" si="0"/>
        <v>17</v>
      </c>
      <c r="B21" s="60" t="s">
        <v>521</v>
      </c>
      <c r="C21" s="60" t="s">
        <v>109</v>
      </c>
      <c r="D21" s="65" t="s">
        <v>541</v>
      </c>
    </row>
    <row r="22" spans="1:4" s="59" customFormat="1" ht="20.100000000000001" customHeight="1">
      <c r="A22" s="61">
        <f t="shared" si="0"/>
        <v>18</v>
      </c>
      <c r="B22" s="60" t="s">
        <v>521</v>
      </c>
      <c r="C22" s="60" t="s">
        <v>120</v>
      </c>
      <c r="D22" s="65" t="s">
        <v>25</v>
      </c>
    </row>
    <row r="23" spans="1:4" s="59" customFormat="1" ht="20.100000000000001" customHeight="1">
      <c r="A23" s="61">
        <f t="shared" si="0"/>
        <v>19</v>
      </c>
      <c r="B23" s="60" t="s">
        <v>521</v>
      </c>
      <c r="C23" s="60" t="s">
        <v>107</v>
      </c>
      <c r="D23" s="68" t="s">
        <v>527</v>
      </c>
    </row>
    <row r="24" spans="1:4" s="59" customFormat="1" ht="20.100000000000001" customHeight="1">
      <c r="A24" s="61">
        <f t="shared" si="0"/>
        <v>20</v>
      </c>
      <c r="B24" s="60" t="s">
        <v>521</v>
      </c>
      <c r="C24" s="60" t="s">
        <v>121</v>
      </c>
      <c r="D24" s="68" t="s">
        <v>424</v>
      </c>
    </row>
    <row r="25" spans="1:4" s="59" customFormat="1" ht="20.100000000000001" customHeight="1">
      <c r="A25" s="61">
        <f t="shared" si="0"/>
        <v>21</v>
      </c>
      <c r="B25" s="60" t="s">
        <v>521</v>
      </c>
      <c r="C25" s="60" t="s">
        <v>134</v>
      </c>
      <c r="D25" s="68" t="s">
        <v>34</v>
      </c>
    </row>
    <row r="26" spans="1:4" s="59" customFormat="1" ht="20.100000000000001" customHeight="1">
      <c r="A26" s="61">
        <f t="shared" si="0"/>
        <v>22</v>
      </c>
      <c r="B26" s="60" t="s">
        <v>521</v>
      </c>
      <c r="C26" s="60" t="s">
        <v>131</v>
      </c>
      <c r="D26" s="68" t="s">
        <v>834</v>
      </c>
    </row>
    <row r="27" spans="1:4" s="59" customFormat="1" ht="20.100000000000001" customHeight="1">
      <c r="A27" s="61">
        <f t="shared" si="0"/>
        <v>23</v>
      </c>
      <c r="B27" s="60" t="s">
        <v>521</v>
      </c>
      <c r="C27" s="60" t="s">
        <v>135</v>
      </c>
      <c r="D27" s="68" t="s">
        <v>35</v>
      </c>
    </row>
    <row r="28" spans="1:4" s="59" customFormat="1" ht="20.100000000000001" customHeight="1">
      <c r="A28" s="61">
        <f t="shared" si="0"/>
        <v>24</v>
      </c>
      <c r="B28" s="60" t="s">
        <v>521</v>
      </c>
      <c r="C28" s="60" t="s">
        <v>136</v>
      </c>
      <c r="D28" s="68" t="s">
        <v>36</v>
      </c>
    </row>
    <row r="29" spans="1:4" s="59" customFormat="1" ht="20.100000000000001" customHeight="1">
      <c r="A29" s="61">
        <f t="shared" si="0"/>
        <v>25</v>
      </c>
      <c r="B29" s="60" t="s">
        <v>521</v>
      </c>
      <c r="C29" s="60" t="s">
        <v>137</v>
      </c>
      <c r="D29" s="68" t="s">
        <v>847</v>
      </c>
    </row>
    <row r="30" spans="1:4" s="59" customFormat="1" ht="20.100000000000001" customHeight="1">
      <c r="A30" s="61">
        <f t="shared" si="0"/>
        <v>26</v>
      </c>
      <c r="B30" s="60" t="s">
        <v>521</v>
      </c>
      <c r="C30" s="60" t="s">
        <v>139</v>
      </c>
      <c r="D30" s="68" t="s">
        <v>887</v>
      </c>
    </row>
    <row r="31" spans="1:4" s="59" customFormat="1" ht="20.100000000000001" customHeight="1" thickBot="1">
      <c r="A31" s="61">
        <f t="shared" si="0"/>
        <v>27</v>
      </c>
      <c r="B31" s="60" t="s">
        <v>521</v>
      </c>
      <c r="C31" s="60" t="s">
        <v>140</v>
      </c>
      <c r="D31" s="68" t="s">
        <v>542</v>
      </c>
    </row>
    <row r="32" spans="1:4" s="59" customFormat="1" ht="20.100000000000001" customHeight="1" thickBot="1">
      <c r="A32" s="1303" t="s">
        <v>528</v>
      </c>
      <c r="B32" s="1304"/>
      <c r="C32" s="1304"/>
      <c r="D32" s="1305"/>
    </row>
    <row r="33" spans="1:4" s="59" customFormat="1" ht="20.100000000000001" customHeight="1">
      <c r="A33" s="60">
        <f>+A31+1</f>
        <v>28</v>
      </c>
      <c r="B33" s="63" t="s">
        <v>521</v>
      </c>
      <c r="C33" s="63" t="s">
        <v>529</v>
      </c>
      <c r="D33" s="68" t="s">
        <v>456</v>
      </c>
    </row>
    <row r="34" spans="1:4" s="59" customFormat="1" ht="20.100000000000001" customHeight="1">
      <c r="A34" s="60">
        <f>+A33+1</f>
        <v>29</v>
      </c>
      <c r="B34" s="60" t="s">
        <v>521</v>
      </c>
      <c r="C34" s="60" t="s">
        <v>530</v>
      </c>
      <c r="D34" s="68" t="s">
        <v>459</v>
      </c>
    </row>
    <row r="35" spans="1:4" s="59" customFormat="1" ht="20.100000000000001" customHeight="1">
      <c r="A35" s="60">
        <f t="shared" ref="A35:A44" si="1">+A34+1</f>
        <v>30</v>
      </c>
      <c r="B35" s="60" t="s">
        <v>521</v>
      </c>
      <c r="C35" s="60" t="s">
        <v>531</v>
      </c>
      <c r="D35" s="68" t="s">
        <v>463</v>
      </c>
    </row>
    <row r="36" spans="1:4" s="59" customFormat="1" ht="20.100000000000001" customHeight="1">
      <c r="A36" s="60">
        <f t="shared" si="1"/>
        <v>31</v>
      </c>
      <c r="B36" s="60" t="s">
        <v>521</v>
      </c>
      <c r="C36" s="64" t="s">
        <v>532</v>
      </c>
      <c r="D36" s="68" t="s">
        <v>474</v>
      </c>
    </row>
    <row r="37" spans="1:4" s="59" customFormat="1" ht="20.100000000000001" customHeight="1">
      <c r="A37" s="60">
        <f t="shared" si="1"/>
        <v>32</v>
      </c>
      <c r="B37" s="60" t="s">
        <v>521</v>
      </c>
      <c r="C37" s="60" t="s">
        <v>533</v>
      </c>
      <c r="D37" s="68" t="s">
        <v>469</v>
      </c>
    </row>
    <row r="38" spans="1:4" s="59" customFormat="1" ht="20.100000000000001" customHeight="1">
      <c r="A38" s="60">
        <f t="shared" si="1"/>
        <v>33</v>
      </c>
      <c r="B38" s="60" t="s">
        <v>521</v>
      </c>
      <c r="C38" s="60" t="s">
        <v>534</v>
      </c>
      <c r="D38" s="68" t="s">
        <v>470</v>
      </c>
    </row>
    <row r="39" spans="1:4" s="59" customFormat="1" ht="20.100000000000001" customHeight="1">
      <c r="A39" s="60">
        <f t="shared" si="1"/>
        <v>34</v>
      </c>
      <c r="B39" s="60" t="s">
        <v>521</v>
      </c>
      <c r="C39" s="60" t="s">
        <v>535</v>
      </c>
      <c r="D39" s="68" t="s">
        <v>475</v>
      </c>
    </row>
    <row r="40" spans="1:4" s="59" customFormat="1" ht="20.100000000000001" customHeight="1">
      <c r="A40" s="60">
        <f t="shared" si="1"/>
        <v>35</v>
      </c>
      <c r="B40" s="60" t="s">
        <v>521</v>
      </c>
      <c r="C40" s="60" t="s">
        <v>536</v>
      </c>
      <c r="D40" s="68" t="s">
        <v>481</v>
      </c>
    </row>
    <row r="41" spans="1:4" s="59" customFormat="1" ht="20.100000000000001" customHeight="1">
      <c r="A41" s="60">
        <f t="shared" si="1"/>
        <v>36</v>
      </c>
      <c r="B41" s="60" t="s">
        <v>521</v>
      </c>
      <c r="C41" s="60" t="s">
        <v>537</v>
      </c>
      <c r="D41" s="68" t="s">
        <v>482</v>
      </c>
    </row>
    <row r="42" spans="1:4" s="59" customFormat="1" ht="20.100000000000001" customHeight="1">
      <c r="A42" s="60">
        <f t="shared" si="1"/>
        <v>37</v>
      </c>
      <c r="B42" s="60" t="s">
        <v>521</v>
      </c>
      <c r="C42" s="60" t="s">
        <v>538</v>
      </c>
      <c r="D42" s="68" t="s">
        <v>487</v>
      </c>
    </row>
    <row r="43" spans="1:4" s="59" customFormat="1" ht="20.100000000000001" customHeight="1">
      <c r="A43" s="60">
        <f t="shared" si="1"/>
        <v>38</v>
      </c>
      <c r="B43" s="60" t="s">
        <v>521</v>
      </c>
      <c r="C43" s="60" t="s">
        <v>539</v>
      </c>
      <c r="D43" s="68" t="s">
        <v>453</v>
      </c>
    </row>
    <row r="44" spans="1:4" s="59" customFormat="1" ht="20.100000000000001" customHeight="1">
      <c r="A44" s="60">
        <f t="shared" si="1"/>
        <v>39</v>
      </c>
      <c r="B44" s="60" t="s">
        <v>521</v>
      </c>
      <c r="C44" s="60" t="s">
        <v>543</v>
      </c>
      <c r="D44" s="68" t="s">
        <v>489</v>
      </c>
    </row>
  </sheetData>
  <mergeCells count="4">
    <mergeCell ref="A3:D3"/>
    <mergeCell ref="A7:D7"/>
    <mergeCell ref="A32:D32"/>
    <mergeCell ref="A1:D2"/>
  </mergeCells>
  <printOptions horizontalCentered="1"/>
  <pageMargins left="0.28000000000000003" right="0.24" top="0.35" bottom="0.74803149606299202" header="0.31496062992126" footer="0.31496062992126"/>
  <pageSetup paperSize="9" scale="79"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L29"/>
  <sheetViews>
    <sheetView showGridLines="0" view="pageBreakPreview" zoomScale="70" zoomScaleNormal="80" zoomScaleSheetLayoutView="70" workbookViewId="0">
      <selection activeCell="D17" sqref="D17"/>
    </sheetView>
  </sheetViews>
  <sheetFormatPr defaultColWidth="9.140625" defaultRowHeight="15.75"/>
  <cols>
    <col min="1" max="1" width="7.28515625" style="75" bestFit="1" customWidth="1"/>
    <col min="2" max="2" width="63.42578125" style="75" customWidth="1"/>
    <col min="3" max="3" width="16.140625" style="75" customWidth="1"/>
    <col min="4" max="4" width="13.7109375" style="75" bestFit="1" customWidth="1"/>
    <col min="5" max="5" width="16.140625" style="75" customWidth="1"/>
    <col min="6" max="7" width="16.140625" style="75" hidden="1" customWidth="1"/>
    <col min="8" max="10" width="16.140625" style="75" customWidth="1"/>
    <col min="11" max="11" width="9.140625" style="75"/>
    <col min="12" max="12" width="12.7109375" style="75" bestFit="1" customWidth="1"/>
    <col min="13" max="16384" width="9.140625" style="75"/>
  </cols>
  <sheetData>
    <row r="1" spans="1:12" ht="21" customHeight="1">
      <c r="A1" s="1573" t="s">
        <v>1233</v>
      </c>
      <c r="B1" s="1574"/>
      <c r="C1" s="1574"/>
      <c r="D1" s="1574"/>
      <c r="E1" s="1574"/>
      <c r="F1" s="1574"/>
      <c r="G1" s="1574"/>
      <c r="H1" s="1574"/>
    </row>
    <row r="2" spans="1:12">
      <c r="A2" s="1578" t="s">
        <v>930</v>
      </c>
      <c r="B2" s="1578"/>
      <c r="C2" s="550"/>
      <c r="D2" s="550"/>
      <c r="E2" s="550"/>
      <c r="F2" s="550"/>
      <c r="G2" s="1559"/>
      <c r="H2" s="1559"/>
      <c r="I2" s="1559" t="s">
        <v>894</v>
      </c>
      <c r="J2" s="1559"/>
    </row>
    <row r="3" spans="1:12">
      <c r="A3" s="1579"/>
      <c r="B3" s="1579"/>
      <c r="C3" s="551"/>
      <c r="D3" s="551"/>
      <c r="E3" s="551"/>
      <c r="F3" s="1433" t="s">
        <v>345</v>
      </c>
      <c r="G3" s="1433"/>
      <c r="H3" s="1433"/>
    </row>
    <row r="4" spans="1:12" ht="39" customHeight="1">
      <c r="A4" s="1575"/>
      <c r="B4" s="1577" t="s">
        <v>48</v>
      </c>
      <c r="C4" s="1431" t="s">
        <v>1916</v>
      </c>
      <c r="D4" s="1432"/>
      <c r="E4" s="1375" t="s">
        <v>1917</v>
      </c>
      <c r="F4" s="1376"/>
      <c r="G4" s="1376"/>
      <c r="H4" s="1377"/>
      <c r="I4" s="1365" t="s">
        <v>1918</v>
      </c>
      <c r="J4" s="1365"/>
    </row>
    <row r="5" spans="1:12" ht="44.25" customHeight="1">
      <c r="A5" s="1576"/>
      <c r="B5" s="1577"/>
      <c r="C5" s="455" t="s">
        <v>1250</v>
      </c>
      <c r="D5" s="328" t="s">
        <v>1305</v>
      </c>
      <c r="E5" s="455" t="s">
        <v>1235</v>
      </c>
      <c r="F5" s="455" t="s">
        <v>1239</v>
      </c>
      <c r="G5" s="455" t="s">
        <v>1240</v>
      </c>
      <c r="H5" s="459" t="s">
        <v>1241</v>
      </c>
      <c r="I5" s="455" t="s">
        <v>1235</v>
      </c>
      <c r="J5" s="455" t="s">
        <v>1243</v>
      </c>
    </row>
    <row r="6" spans="1:12">
      <c r="A6" s="148" t="s">
        <v>161</v>
      </c>
      <c r="B6" s="495" t="s">
        <v>612</v>
      </c>
      <c r="C6" s="1034"/>
      <c r="D6" s="1035"/>
      <c r="E6" s="1035"/>
      <c r="F6" s="1035"/>
      <c r="G6" s="1035"/>
      <c r="H6" s="1035"/>
      <c r="I6" s="1036"/>
      <c r="J6" s="1036"/>
    </row>
    <row r="7" spans="1:12">
      <c r="A7" s="148"/>
      <c r="B7" s="478" t="s">
        <v>924</v>
      </c>
      <c r="C7" s="1034">
        <v>8518</v>
      </c>
      <c r="D7" s="1034">
        <v>7617.4</v>
      </c>
      <c r="E7" s="1034">
        <f>C17</f>
        <v>9828.43</v>
      </c>
      <c r="F7" s="1037"/>
      <c r="G7" s="1037"/>
      <c r="H7" s="1037">
        <f>D17</f>
        <v>9552.2990544310014</v>
      </c>
      <c r="I7" s="1038">
        <f>E17</f>
        <v>11818.880000000001</v>
      </c>
      <c r="J7" s="1038">
        <f>H17</f>
        <v>11184.842166431001</v>
      </c>
    </row>
    <row r="8" spans="1:12" ht="31.5">
      <c r="A8" s="148"/>
      <c r="B8" s="478" t="s">
        <v>925</v>
      </c>
      <c r="C8" s="1035"/>
      <c r="D8" s="1035"/>
      <c r="E8" s="1035"/>
      <c r="F8" s="1035"/>
      <c r="G8" s="1035"/>
      <c r="H8" s="1035"/>
      <c r="I8" s="1036"/>
      <c r="J8" s="1036"/>
    </row>
    <row r="9" spans="1:12" ht="31.5">
      <c r="A9" s="148"/>
      <c r="B9" s="478" t="s">
        <v>926</v>
      </c>
      <c r="C9" s="1035"/>
      <c r="D9" s="1035"/>
      <c r="E9" s="1035"/>
      <c r="F9" s="1035"/>
      <c r="G9" s="1035"/>
      <c r="H9" s="1035"/>
      <c r="I9" s="1036"/>
      <c r="J9" s="1036"/>
    </row>
    <row r="10" spans="1:12">
      <c r="A10" s="148"/>
      <c r="B10" s="495" t="s">
        <v>614</v>
      </c>
      <c r="C10" s="1037">
        <f>C7+C8-C9</f>
        <v>8518</v>
      </c>
      <c r="D10" s="1037">
        <f t="shared" ref="D10:J10" si="0">D7+D8-D9</f>
        <v>7617.4</v>
      </c>
      <c r="E10" s="1037">
        <f t="shared" si="0"/>
        <v>9828.43</v>
      </c>
      <c r="F10" s="1037"/>
      <c r="G10" s="1037"/>
      <c r="H10" s="1037">
        <f t="shared" si="0"/>
        <v>9552.2990544310014</v>
      </c>
      <c r="I10" s="1037">
        <f t="shared" si="0"/>
        <v>11818.880000000001</v>
      </c>
      <c r="J10" s="1037">
        <f t="shared" si="0"/>
        <v>11184.842166431001</v>
      </c>
    </row>
    <row r="11" spans="1:12" ht="31.5">
      <c r="A11" s="148" t="s">
        <v>166</v>
      </c>
      <c r="B11" s="495" t="s">
        <v>613</v>
      </c>
      <c r="C11" s="1035"/>
      <c r="D11" s="1035"/>
      <c r="E11" s="1035"/>
      <c r="F11" s="1035"/>
      <c r="G11" s="1035"/>
      <c r="H11" s="1035"/>
      <c r="I11" s="1036"/>
      <c r="J11" s="1036"/>
    </row>
    <row r="12" spans="1:12" ht="31.5">
      <c r="A12" s="148"/>
      <c r="B12" s="478" t="s">
        <v>927</v>
      </c>
      <c r="C12" s="1034">
        <v>1310.43</v>
      </c>
      <c r="D12" s="1037">
        <f>'F7-2'!D16</f>
        <v>1946.0080753310003</v>
      </c>
      <c r="E12" s="1034">
        <v>1990.45</v>
      </c>
      <c r="F12" s="1034">
        <f>'F5-8'!G10+'F5-8'!G11</f>
        <v>0</v>
      </c>
      <c r="G12" s="1034">
        <f>'F5-8'!H10+'F5-8'!H11</f>
        <v>0</v>
      </c>
      <c r="H12" s="1180">
        <f>'F5-8'!I10+'F5-8'!I11</f>
        <v>1632.5431119999998</v>
      </c>
      <c r="I12" s="1039">
        <v>1842.74</v>
      </c>
      <c r="J12" s="1034">
        <f>'F5-8'!K10+'F5-8'!K11</f>
        <v>1699.4196199999999</v>
      </c>
    </row>
    <row r="13" spans="1:12" ht="31.5">
      <c r="A13" s="148"/>
      <c r="B13" s="478" t="s">
        <v>928</v>
      </c>
      <c r="C13" s="1035"/>
      <c r="D13" s="1035"/>
      <c r="E13" s="1035"/>
      <c r="F13" s="1035"/>
      <c r="G13" s="1035"/>
      <c r="H13" s="1035"/>
      <c r="I13" s="1036"/>
      <c r="J13" s="1036"/>
    </row>
    <row r="14" spans="1:12" ht="31.5">
      <c r="A14" s="148"/>
      <c r="B14" s="478" t="s">
        <v>929</v>
      </c>
      <c r="C14" s="1035"/>
      <c r="D14" s="1035"/>
      <c r="E14" s="1035"/>
      <c r="F14" s="1035"/>
      <c r="G14" s="1035"/>
      <c r="H14" s="1035"/>
      <c r="I14" s="1036"/>
      <c r="J14" s="1036"/>
      <c r="L14" s="640"/>
    </row>
    <row r="15" spans="1:12" s="710" customFormat="1">
      <c r="A15" s="148"/>
      <c r="B15" s="532" t="s">
        <v>1407</v>
      </c>
      <c r="C15" s="1035"/>
      <c r="D15" s="1035"/>
      <c r="E15" s="1035"/>
      <c r="F15" s="1035"/>
      <c r="G15" s="1035"/>
      <c r="H15" s="1037">
        <f>'F7-2'!H32</f>
        <v>0</v>
      </c>
      <c r="I15" s="1036"/>
      <c r="J15" s="1037">
        <f>'F7-2'!J32</f>
        <v>0</v>
      </c>
      <c r="L15" s="640"/>
    </row>
    <row r="16" spans="1:12">
      <c r="A16" s="148"/>
      <c r="B16" s="532" t="s">
        <v>1306</v>
      </c>
      <c r="C16" s="1035"/>
      <c r="D16" s="1037">
        <f>'F7-2'!E16</f>
        <v>11.109020899999999</v>
      </c>
      <c r="E16" s="1035"/>
      <c r="F16" s="1035"/>
      <c r="G16" s="1035"/>
      <c r="H16" s="1035"/>
      <c r="I16" s="1036"/>
      <c r="J16" s="1036"/>
    </row>
    <row r="17" spans="1:10" ht="32.25" thickBot="1">
      <c r="A17" s="148" t="s">
        <v>208</v>
      </c>
      <c r="B17" s="552" t="s">
        <v>1392</v>
      </c>
      <c r="C17" s="1037">
        <f t="shared" ref="C17:I17" si="1">C10+C12+C13-C14-C16</f>
        <v>9828.43</v>
      </c>
      <c r="D17" s="1037">
        <f t="shared" si="1"/>
        <v>9552.2990544310014</v>
      </c>
      <c r="E17" s="1037">
        <f t="shared" si="1"/>
        <v>11818.880000000001</v>
      </c>
      <c r="F17" s="1037">
        <f t="shared" si="1"/>
        <v>0</v>
      </c>
      <c r="G17" s="1037">
        <f t="shared" si="1"/>
        <v>0</v>
      </c>
      <c r="H17" s="1037">
        <f t="shared" si="1"/>
        <v>11184.842166431001</v>
      </c>
      <c r="I17" s="1037">
        <f t="shared" si="1"/>
        <v>13661.62</v>
      </c>
      <c r="J17" s="1037">
        <f>J10+J12+J13-J14-J16+J15</f>
        <v>12884.261786431001</v>
      </c>
    </row>
    <row r="18" spans="1:10" ht="21" customHeight="1" thickTop="1">
      <c r="B18" s="553"/>
      <c r="C18" s="341"/>
      <c r="D18" s="341"/>
      <c r="E18" s="341"/>
      <c r="F18" s="341"/>
      <c r="G18" s="341"/>
      <c r="H18" s="341"/>
    </row>
    <row r="19" spans="1:10" ht="21" customHeight="1"/>
    <row r="20" spans="1:10" ht="21" customHeight="1">
      <c r="E20" s="1572" t="s">
        <v>427</v>
      </c>
      <c r="F20" s="1572"/>
      <c r="G20" s="1572"/>
      <c r="H20" s="1572"/>
    </row>
    <row r="21" spans="1:10" ht="21" customHeight="1">
      <c r="G21" s="453"/>
      <c r="H21" s="453"/>
    </row>
    <row r="22" spans="1:10" ht="21" hidden="1" customHeight="1">
      <c r="G22" s="453"/>
      <c r="H22" s="453"/>
    </row>
    <row r="23" spans="1:10" ht="21" hidden="1" customHeight="1">
      <c r="A23" s="554" t="s">
        <v>212</v>
      </c>
      <c r="B23" s="554"/>
      <c r="C23" s="554"/>
      <c r="D23" s="554"/>
      <c r="E23" s="554"/>
      <c r="F23" s="554"/>
      <c r="G23" s="554"/>
    </row>
    <row r="24" spans="1:10" ht="21" hidden="1" customHeight="1">
      <c r="A24" s="555">
        <v>1</v>
      </c>
      <c r="B24" s="556" t="s">
        <v>364</v>
      </c>
      <c r="C24" s="555" t="s">
        <v>398</v>
      </c>
      <c r="D24" s="557"/>
      <c r="E24" s="557"/>
      <c r="F24" s="557"/>
      <c r="G24" s="558"/>
    </row>
    <row r="25" spans="1:10" ht="21" hidden="1" customHeight="1">
      <c r="A25" s="555">
        <v>2</v>
      </c>
      <c r="B25" s="559" t="s">
        <v>368</v>
      </c>
      <c r="C25" s="555" t="s">
        <v>353</v>
      </c>
      <c r="D25" s="557"/>
      <c r="E25" s="557"/>
      <c r="F25" s="557"/>
      <c r="G25" s="558"/>
    </row>
    <row r="26" spans="1:10" ht="21" hidden="1" customHeight="1">
      <c r="A26" s="555">
        <v>3</v>
      </c>
      <c r="B26" s="559" t="s">
        <v>355</v>
      </c>
      <c r="C26" s="555" t="s">
        <v>353</v>
      </c>
      <c r="D26" s="557"/>
      <c r="E26" s="557"/>
      <c r="F26" s="557"/>
      <c r="G26" s="558"/>
    </row>
    <row r="27" spans="1:10" ht="21" hidden="1" customHeight="1">
      <c r="A27" s="555">
        <v>4</v>
      </c>
      <c r="B27" s="559" t="s">
        <v>356</v>
      </c>
      <c r="C27" s="555" t="s">
        <v>428</v>
      </c>
      <c r="D27" s="557"/>
      <c r="E27" s="557"/>
      <c r="F27" s="557"/>
      <c r="G27" s="558"/>
    </row>
    <row r="28" spans="1:10" ht="21" hidden="1" customHeight="1">
      <c r="A28" s="555">
        <v>5</v>
      </c>
      <c r="B28" s="559" t="s">
        <v>357</v>
      </c>
      <c r="C28" s="555"/>
      <c r="D28" s="557"/>
      <c r="E28" s="557"/>
      <c r="F28" s="557"/>
      <c r="G28" s="558"/>
    </row>
    <row r="29" spans="1:10" ht="21" hidden="1" customHeight="1"/>
  </sheetData>
  <mergeCells count="11">
    <mergeCell ref="I4:J4"/>
    <mergeCell ref="I2:J2"/>
    <mergeCell ref="E20:H20"/>
    <mergeCell ref="A1:H1"/>
    <mergeCell ref="A4:A5"/>
    <mergeCell ref="B4:B5"/>
    <mergeCell ref="G2:H2"/>
    <mergeCell ref="C4:D4"/>
    <mergeCell ref="F3:H3"/>
    <mergeCell ref="A2:B3"/>
    <mergeCell ref="E4:H4"/>
  </mergeCells>
  <pageMargins left="0.4" right="0.38" top="0.51" bottom="0.74803149606299213" header="0.31496062992125984" footer="0.31496062992125984"/>
  <pageSetup paperSize="9" scale="84"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92D050"/>
    <pageSetUpPr fitToPage="1"/>
  </sheetPr>
  <dimension ref="A1:N60"/>
  <sheetViews>
    <sheetView showGridLines="0" view="pageBreakPreview" topLeftCell="A16" zoomScale="55" zoomScaleNormal="70" zoomScaleSheetLayoutView="55" workbookViewId="0">
      <selection activeCell="Q47" sqref="Q47"/>
    </sheetView>
  </sheetViews>
  <sheetFormatPr defaultRowHeight="15.75"/>
  <cols>
    <col min="1" max="1" width="5.85546875" style="1120" customWidth="1"/>
    <col min="2" max="2" width="55.140625" style="1120" customWidth="1"/>
    <col min="3" max="3" width="20.7109375" style="1135" customWidth="1"/>
    <col min="4" max="4" width="20.7109375" style="1120" customWidth="1"/>
    <col min="5" max="5" width="24.5703125" style="1120" customWidth="1"/>
    <col min="6" max="6" width="20.7109375" style="1120" customWidth="1"/>
    <col min="7" max="7" width="15.85546875" style="1120" bestFit="1" customWidth="1"/>
    <col min="8" max="8" width="14.5703125" style="1120" customWidth="1"/>
    <col min="9" max="12" width="15.140625" style="1120" customWidth="1"/>
    <col min="13" max="14" width="15.140625" style="1120" hidden="1" customWidth="1"/>
    <col min="15" max="246" width="9.140625" style="1120"/>
    <col min="247" max="247" width="2.5703125" style="1120" bestFit="1" customWidth="1"/>
    <col min="248" max="248" width="2.140625" style="1120" bestFit="1" customWidth="1"/>
    <col min="249" max="249" width="66.7109375" style="1120" bestFit="1" customWidth="1"/>
    <col min="250" max="250" width="11.28515625" style="1120" bestFit="1" customWidth="1"/>
    <col min="251" max="251" width="9" style="1120" bestFit="1" customWidth="1"/>
    <col min="252" max="502" width="9.140625" style="1120"/>
    <col min="503" max="503" width="2.5703125" style="1120" bestFit="1" customWidth="1"/>
    <col min="504" max="504" width="2.140625" style="1120" bestFit="1" customWidth="1"/>
    <col min="505" max="505" width="66.7109375" style="1120" bestFit="1" customWidth="1"/>
    <col min="506" max="506" width="11.28515625" style="1120" bestFit="1" customWidth="1"/>
    <col min="507" max="507" width="9" style="1120" bestFit="1" customWidth="1"/>
    <col min="508" max="758" width="9.140625" style="1120"/>
    <col min="759" max="759" width="2.5703125" style="1120" bestFit="1" customWidth="1"/>
    <col min="760" max="760" width="2.140625" style="1120" bestFit="1" customWidth="1"/>
    <col min="761" max="761" width="66.7109375" style="1120" bestFit="1" customWidth="1"/>
    <col min="762" max="762" width="11.28515625" style="1120" bestFit="1" customWidth="1"/>
    <col min="763" max="763" width="9" style="1120" bestFit="1" customWidth="1"/>
    <col min="764" max="1014" width="9.140625" style="1120"/>
    <col min="1015" max="1015" width="2.5703125" style="1120" bestFit="1" customWidth="1"/>
    <col min="1016" max="1016" width="2.140625" style="1120" bestFit="1" customWidth="1"/>
    <col min="1017" max="1017" width="66.7109375" style="1120" bestFit="1" customWidth="1"/>
    <col min="1018" max="1018" width="11.28515625" style="1120" bestFit="1" customWidth="1"/>
    <col min="1019" max="1019" width="9" style="1120" bestFit="1" customWidth="1"/>
    <col min="1020" max="1270" width="9.140625" style="1120"/>
    <col min="1271" max="1271" width="2.5703125" style="1120" bestFit="1" customWidth="1"/>
    <col min="1272" max="1272" width="2.140625" style="1120" bestFit="1" customWidth="1"/>
    <col min="1273" max="1273" width="66.7109375" style="1120" bestFit="1" customWidth="1"/>
    <col min="1274" max="1274" width="11.28515625" style="1120" bestFit="1" customWidth="1"/>
    <col min="1275" max="1275" width="9" style="1120" bestFit="1" customWidth="1"/>
    <col min="1276" max="1526" width="9.140625" style="1120"/>
    <col min="1527" max="1527" width="2.5703125" style="1120" bestFit="1" customWidth="1"/>
    <col min="1528" max="1528" width="2.140625" style="1120" bestFit="1" customWidth="1"/>
    <col min="1529" max="1529" width="66.7109375" style="1120" bestFit="1" customWidth="1"/>
    <col min="1530" max="1530" width="11.28515625" style="1120" bestFit="1" customWidth="1"/>
    <col min="1531" max="1531" width="9" style="1120" bestFit="1" customWidth="1"/>
    <col min="1532" max="1782" width="9.140625" style="1120"/>
    <col min="1783" max="1783" width="2.5703125" style="1120" bestFit="1" customWidth="1"/>
    <col min="1784" max="1784" width="2.140625" style="1120" bestFit="1" customWidth="1"/>
    <col min="1785" max="1785" width="66.7109375" style="1120" bestFit="1" customWidth="1"/>
    <col min="1786" max="1786" width="11.28515625" style="1120" bestFit="1" customWidth="1"/>
    <col min="1787" max="1787" width="9" style="1120" bestFit="1" customWidth="1"/>
    <col min="1788" max="2038" width="9.140625" style="1120"/>
    <col min="2039" max="2039" width="2.5703125" style="1120" bestFit="1" customWidth="1"/>
    <col min="2040" max="2040" width="2.140625" style="1120" bestFit="1" customWidth="1"/>
    <col min="2041" max="2041" width="66.7109375" style="1120" bestFit="1" customWidth="1"/>
    <col min="2042" max="2042" width="11.28515625" style="1120" bestFit="1" customWidth="1"/>
    <col min="2043" max="2043" width="9" style="1120" bestFit="1" customWidth="1"/>
    <col min="2044" max="2294" width="9.140625" style="1120"/>
    <col min="2295" max="2295" width="2.5703125" style="1120" bestFit="1" customWidth="1"/>
    <col min="2296" max="2296" width="2.140625" style="1120" bestFit="1" customWidth="1"/>
    <col min="2297" max="2297" width="66.7109375" style="1120" bestFit="1" customWidth="1"/>
    <col min="2298" max="2298" width="11.28515625" style="1120" bestFit="1" customWidth="1"/>
    <col min="2299" max="2299" width="9" style="1120" bestFit="1" customWidth="1"/>
    <col min="2300" max="2550" width="9.140625" style="1120"/>
    <col min="2551" max="2551" width="2.5703125" style="1120" bestFit="1" customWidth="1"/>
    <col min="2552" max="2552" width="2.140625" style="1120" bestFit="1" customWidth="1"/>
    <col min="2553" max="2553" width="66.7109375" style="1120" bestFit="1" customWidth="1"/>
    <col min="2554" max="2554" width="11.28515625" style="1120" bestFit="1" customWidth="1"/>
    <col min="2555" max="2555" width="9" style="1120" bestFit="1" customWidth="1"/>
    <col min="2556" max="2806" width="9.140625" style="1120"/>
    <col min="2807" max="2807" width="2.5703125" style="1120" bestFit="1" customWidth="1"/>
    <col min="2808" max="2808" width="2.140625" style="1120" bestFit="1" customWidth="1"/>
    <col min="2809" max="2809" width="66.7109375" style="1120" bestFit="1" customWidth="1"/>
    <col min="2810" max="2810" width="11.28515625" style="1120" bestFit="1" customWidth="1"/>
    <col min="2811" max="2811" width="9" style="1120" bestFit="1" customWidth="1"/>
    <col min="2812" max="3062" width="9.140625" style="1120"/>
    <col min="3063" max="3063" width="2.5703125" style="1120" bestFit="1" customWidth="1"/>
    <col min="3064" max="3064" width="2.140625" style="1120" bestFit="1" customWidth="1"/>
    <col min="3065" max="3065" width="66.7109375" style="1120" bestFit="1" customWidth="1"/>
    <col min="3066" max="3066" width="11.28515625" style="1120" bestFit="1" customWidth="1"/>
    <col min="3067" max="3067" width="9" style="1120" bestFit="1" customWidth="1"/>
    <col min="3068" max="3318" width="9.140625" style="1120"/>
    <col min="3319" max="3319" width="2.5703125" style="1120" bestFit="1" customWidth="1"/>
    <col min="3320" max="3320" width="2.140625" style="1120" bestFit="1" customWidth="1"/>
    <col min="3321" max="3321" width="66.7109375" style="1120" bestFit="1" customWidth="1"/>
    <col min="3322" max="3322" width="11.28515625" style="1120" bestFit="1" customWidth="1"/>
    <col min="3323" max="3323" width="9" style="1120" bestFit="1" customWidth="1"/>
    <col min="3324" max="3574" width="9.140625" style="1120"/>
    <col min="3575" max="3575" width="2.5703125" style="1120" bestFit="1" customWidth="1"/>
    <col min="3576" max="3576" width="2.140625" style="1120" bestFit="1" customWidth="1"/>
    <col min="3577" max="3577" width="66.7109375" style="1120" bestFit="1" customWidth="1"/>
    <col min="3578" max="3578" width="11.28515625" style="1120" bestFit="1" customWidth="1"/>
    <col min="3579" max="3579" width="9" style="1120" bestFit="1" customWidth="1"/>
    <col min="3580" max="3830" width="9.140625" style="1120"/>
    <col min="3831" max="3831" width="2.5703125" style="1120" bestFit="1" customWidth="1"/>
    <col min="3832" max="3832" width="2.140625" style="1120" bestFit="1" customWidth="1"/>
    <col min="3833" max="3833" width="66.7109375" style="1120" bestFit="1" customWidth="1"/>
    <col min="3834" max="3834" width="11.28515625" style="1120" bestFit="1" customWidth="1"/>
    <col min="3835" max="3835" width="9" style="1120" bestFit="1" customWidth="1"/>
    <col min="3836" max="4086" width="9.140625" style="1120"/>
    <col min="4087" max="4087" width="2.5703125" style="1120" bestFit="1" customWidth="1"/>
    <col min="4088" max="4088" width="2.140625" style="1120" bestFit="1" customWidth="1"/>
    <col min="4089" max="4089" width="66.7109375" style="1120" bestFit="1" customWidth="1"/>
    <col min="4090" max="4090" width="11.28515625" style="1120" bestFit="1" customWidth="1"/>
    <col min="4091" max="4091" width="9" style="1120" bestFit="1" customWidth="1"/>
    <col min="4092" max="4342" width="9.140625" style="1120"/>
    <col min="4343" max="4343" width="2.5703125" style="1120" bestFit="1" customWidth="1"/>
    <col min="4344" max="4344" width="2.140625" style="1120" bestFit="1" customWidth="1"/>
    <col min="4345" max="4345" width="66.7109375" style="1120" bestFit="1" customWidth="1"/>
    <col min="4346" max="4346" width="11.28515625" style="1120" bestFit="1" customWidth="1"/>
    <col min="4347" max="4347" width="9" style="1120" bestFit="1" customWidth="1"/>
    <col min="4348" max="4598" width="9.140625" style="1120"/>
    <col min="4599" max="4599" width="2.5703125" style="1120" bestFit="1" customWidth="1"/>
    <col min="4600" max="4600" width="2.140625" style="1120" bestFit="1" customWidth="1"/>
    <col min="4601" max="4601" width="66.7109375" style="1120" bestFit="1" customWidth="1"/>
    <col min="4602" max="4602" width="11.28515625" style="1120" bestFit="1" customWidth="1"/>
    <col min="4603" max="4603" width="9" style="1120" bestFit="1" customWidth="1"/>
    <col min="4604" max="4854" width="9.140625" style="1120"/>
    <col min="4855" max="4855" width="2.5703125" style="1120" bestFit="1" customWidth="1"/>
    <col min="4856" max="4856" width="2.140625" style="1120" bestFit="1" customWidth="1"/>
    <col min="4857" max="4857" width="66.7109375" style="1120" bestFit="1" customWidth="1"/>
    <col min="4858" max="4858" width="11.28515625" style="1120" bestFit="1" customWidth="1"/>
    <col min="4859" max="4859" width="9" style="1120" bestFit="1" customWidth="1"/>
    <col min="4860" max="5110" width="9.140625" style="1120"/>
    <col min="5111" max="5111" width="2.5703125" style="1120" bestFit="1" customWidth="1"/>
    <col min="5112" max="5112" width="2.140625" style="1120" bestFit="1" customWidth="1"/>
    <col min="5113" max="5113" width="66.7109375" style="1120" bestFit="1" customWidth="1"/>
    <col min="5114" max="5114" width="11.28515625" style="1120" bestFit="1" customWidth="1"/>
    <col min="5115" max="5115" width="9" style="1120" bestFit="1" customWidth="1"/>
    <col min="5116" max="5366" width="9.140625" style="1120"/>
    <col min="5367" max="5367" width="2.5703125" style="1120" bestFit="1" customWidth="1"/>
    <col min="5368" max="5368" width="2.140625" style="1120" bestFit="1" customWidth="1"/>
    <col min="5369" max="5369" width="66.7109375" style="1120" bestFit="1" customWidth="1"/>
    <col min="5370" max="5370" width="11.28515625" style="1120" bestFit="1" customWidth="1"/>
    <col min="5371" max="5371" width="9" style="1120" bestFit="1" customWidth="1"/>
    <col min="5372" max="5622" width="9.140625" style="1120"/>
    <col min="5623" max="5623" width="2.5703125" style="1120" bestFit="1" customWidth="1"/>
    <col min="5624" max="5624" width="2.140625" style="1120" bestFit="1" customWidth="1"/>
    <col min="5625" max="5625" width="66.7109375" style="1120" bestFit="1" customWidth="1"/>
    <col min="5626" max="5626" width="11.28515625" style="1120" bestFit="1" customWidth="1"/>
    <col min="5627" max="5627" width="9" style="1120" bestFit="1" customWidth="1"/>
    <col min="5628" max="5878" width="9.140625" style="1120"/>
    <col min="5879" max="5879" width="2.5703125" style="1120" bestFit="1" customWidth="1"/>
    <col min="5880" max="5880" width="2.140625" style="1120" bestFit="1" customWidth="1"/>
    <col min="5881" max="5881" width="66.7109375" style="1120" bestFit="1" customWidth="1"/>
    <col min="5882" max="5882" width="11.28515625" style="1120" bestFit="1" customWidth="1"/>
    <col min="5883" max="5883" width="9" style="1120" bestFit="1" customWidth="1"/>
    <col min="5884" max="6134" width="9.140625" style="1120"/>
    <col min="6135" max="6135" width="2.5703125" style="1120" bestFit="1" customWidth="1"/>
    <col min="6136" max="6136" width="2.140625" style="1120" bestFit="1" customWidth="1"/>
    <col min="6137" max="6137" width="66.7109375" style="1120" bestFit="1" customWidth="1"/>
    <col min="6138" max="6138" width="11.28515625" style="1120" bestFit="1" customWidth="1"/>
    <col min="6139" max="6139" width="9" style="1120" bestFit="1" customWidth="1"/>
    <col min="6140" max="6390" width="9.140625" style="1120"/>
    <col min="6391" max="6391" width="2.5703125" style="1120" bestFit="1" customWidth="1"/>
    <col min="6392" max="6392" width="2.140625" style="1120" bestFit="1" customWidth="1"/>
    <col min="6393" max="6393" width="66.7109375" style="1120" bestFit="1" customWidth="1"/>
    <col min="6394" max="6394" width="11.28515625" style="1120" bestFit="1" customWidth="1"/>
    <col min="6395" max="6395" width="9" style="1120" bestFit="1" customWidth="1"/>
    <col min="6396" max="6646" width="9.140625" style="1120"/>
    <col min="6647" max="6647" width="2.5703125" style="1120" bestFit="1" customWidth="1"/>
    <col min="6648" max="6648" width="2.140625" style="1120" bestFit="1" customWidth="1"/>
    <col min="6649" max="6649" width="66.7109375" style="1120" bestFit="1" customWidth="1"/>
    <col min="6650" max="6650" width="11.28515625" style="1120" bestFit="1" customWidth="1"/>
    <col min="6651" max="6651" width="9" style="1120" bestFit="1" customWidth="1"/>
    <col min="6652" max="6902" width="9.140625" style="1120"/>
    <col min="6903" max="6903" width="2.5703125" style="1120" bestFit="1" customWidth="1"/>
    <col min="6904" max="6904" width="2.140625" style="1120" bestFit="1" customWidth="1"/>
    <col min="6905" max="6905" width="66.7109375" style="1120" bestFit="1" customWidth="1"/>
    <col min="6906" max="6906" width="11.28515625" style="1120" bestFit="1" customWidth="1"/>
    <col min="6907" max="6907" width="9" style="1120" bestFit="1" customWidth="1"/>
    <col min="6908" max="7158" width="9.140625" style="1120"/>
    <col min="7159" max="7159" width="2.5703125" style="1120" bestFit="1" customWidth="1"/>
    <col min="7160" max="7160" width="2.140625" style="1120" bestFit="1" customWidth="1"/>
    <col min="7161" max="7161" width="66.7109375" style="1120" bestFit="1" customWidth="1"/>
    <col min="7162" max="7162" width="11.28515625" style="1120" bestFit="1" customWidth="1"/>
    <col min="7163" max="7163" width="9" style="1120" bestFit="1" customWidth="1"/>
    <col min="7164" max="7414" width="9.140625" style="1120"/>
    <col min="7415" max="7415" width="2.5703125" style="1120" bestFit="1" customWidth="1"/>
    <col min="7416" max="7416" width="2.140625" style="1120" bestFit="1" customWidth="1"/>
    <col min="7417" max="7417" width="66.7109375" style="1120" bestFit="1" customWidth="1"/>
    <col min="7418" max="7418" width="11.28515625" style="1120" bestFit="1" customWidth="1"/>
    <col min="7419" max="7419" width="9" style="1120" bestFit="1" customWidth="1"/>
    <col min="7420" max="7670" width="9.140625" style="1120"/>
    <col min="7671" max="7671" width="2.5703125" style="1120" bestFit="1" customWidth="1"/>
    <col min="7672" max="7672" width="2.140625" style="1120" bestFit="1" customWidth="1"/>
    <col min="7673" max="7673" width="66.7109375" style="1120" bestFit="1" customWidth="1"/>
    <col min="7674" max="7674" width="11.28515625" style="1120" bestFit="1" customWidth="1"/>
    <col min="7675" max="7675" width="9" style="1120" bestFit="1" customWidth="1"/>
    <col min="7676" max="7926" width="9.140625" style="1120"/>
    <col min="7927" max="7927" width="2.5703125" style="1120" bestFit="1" customWidth="1"/>
    <col min="7928" max="7928" width="2.140625" style="1120" bestFit="1" customWidth="1"/>
    <col min="7929" max="7929" width="66.7109375" style="1120" bestFit="1" customWidth="1"/>
    <col min="7930" max="7930" width="11.28515625" style="1120" bestFit="1" customWidth="1"/>
    <col min="7931" max="7931" width="9" style="1120" bestFit="1" customWidth="1"/>
    <col min="7932" max="8182" width="9.140625" style="1120"/>
    <col min="8183" max="8183" width="2.5703125" style="1120" bestFit="1" customWidth="1"/>
    <col min="8184" max="8184" width="2.140625" style="1120" bestFit="1" customWidth="1"/>
    <col min="8185" max="8185" width="66.7109375" style="1120" bestFit="1" customWidth="1"/>
    <col min="8186" max="8186" width="11.28515625" style="1120" bestFit="1" customWidth="1"/>
    <col min="8187" max="8187" width="9" style="1120" bestFit="1" customWidth="1"/>
    <col min="8188" max="8438" width="9.140625" style="1120"/>
    <col min="8439" max="8439" width="2.5703125" style="1120" bestFit="1" customWidth="1"/>
    <col min="8440" max="8440" width="2.140625" style="1120" bestFit="1" customWidth="1"/>
    <col min="8441" max="8441" width="66.7109375" style="1120" bestFit="1" customWidth="1"/>
    <col min="8442" max="8442" width="11.28515625" style="1120" bestFit="1" customWidth="1"/>
    <col min="8443" max="8443" width="9" style="1120" bestFit="1" customWidth="1"/>
    <col min="8444" max="8694" width="9.140625" style="1120"/>
    <col min="8695" max="8695" width="2.5703125" style="1120" bestFit="1" customWidth="1"/>
    <col min="8696" max="8696" width="2.140625" style="1120" bestFit="1" customWidth="1"/>
    <col min="8697" max="8697" width="66.7109375" style="1120" bestFit="1" customWidth="1"/>
    <col min="8698" max="8698" width="11.28515625" style="1120" bestFit="1" customWidth="1"/>
    <col min="8699" max="8699" width="9" style="1120" bestFit="1" customWidth="1"/>
    <col min="8700" max="8950" width="9.140625" style="1120"/>
    <col min="8951" max="8951" width="2.5703125" style="1120" bestFit="1" customWidth="1"/>
    <col min="8952" max="8952" width="2.140625" style="1120" bestFit="1" customWidth="1"/>
    <col min="8953" max="8953" width="66.7109375" style="1120" bestFit="1" customWidth="1"/>
    <col min="8954" max="8954" width="11.28515625" style="1120" bestFit="1" customWidth="1"/>
    <col min="8955" max="8955" width="9" style="1120" bestFit="1" customWidth="1"/>
    <col min="8956" max="9206" width="9.140625" style="1120"/>
    <col min="9207" max="9207" width="2.5703125" style="1120" bestFit="1" customWidth="1"/>
    <col min="9208" max="9208" width="2.140625" style="1120" bestFit="1" customWidth="1"/>
    <col min="9209" max="9209" width="66.7109375" style="1120" bestFit="1" customWidth="1"/>
    <col min="9210" max="9210" width="11.28515625" style="1120" bestFit="1" customWidth="1"/>
    <col min="9211" max="9211" width="9" style="1120" bestFit="1" customWidth="1"/>
    <col min="9212" max="9462" width="9.140625" style="1120"/>
    <col min="9463" max="9463" width="2.5703125" style="1120" bestFit="1" customWidth="1"/>
    <col min="9464" max="9464" width="2.140625" style="1120" bestFit="1" customWidth="1"/>
    <col min="9465" max="9465" width="66.7109375" style="1120" bestFit="1" customWidth="1"/>
    <col min="9466" max="9466" width="11.28515625" style="1120" bestFit="1" customWidth="1"/>
    <col min="9467" max="9467" width="9" style="1120" bestFit="1" customWidth="1"/>
    <col min="9468" max="9718" width="9.140625" style="1120"/>
    <col min="9719" max="9719" width="2.5703125" style="1120" bestFit="1" customWidth="1"/>
    <col min="9720" max="9720" width="2.140625" style="1120" bestFit="1" customWidth="1"/>
    <col min="9721" max="9721" width="66.7109375" style="1120" bestFit="1" customWidth="1"/>
    <col min="9722" max="9722" width="11.28515625" style="1120" bestFit="1" customWidth="1"/>
    <col min="9723" max="9723" width="9" style="1120" bestFit="1" customWidth="1"/>
    <col min="9724" max="9974" width="9.140625" style="1120"/>
    <col min="9975" max="9975" width="2.5703125" style="1120" bestFit="1" customWidth="1"/>
    <col min="9976" max="9976" width="2.140625" style="1120" bestFit="1" customWidth="1"/>
    <col min="9977" max="9977" width="66.7109375" style="1120" bestFit="1" customWidth="1"/>
    <col min="9978" max="9978" width="11.28515625" style="1120" bestFit="1" customWidth="1"/>
    <col min="9979" max="9979" width="9" style="1120" bestFit="1" customWidth="1"/>
    <col min="9980" max="10230" width="9.140625" style="1120"/>
    <col min="10231" max="10231" width="2.5703125" style="1120" bestFit="1" customWidth="1"/>
    <col min="10232" max="10232" width="2.140625" style="1120" bestFit="1" customWidth="1"/>
    <col min="10233" max="10233" width="66.7109375" style="1120" bestFit="1" customWidth="1"/>
    <col min="10234" max="10234" width="11.28515625" style="1120" bestFit="1" customWidth="1"/>
    <col min="10235" max="10235" width="9" style="1120" bestFit="1" customWidth="1"/>
    <col min="10236" max="10486" width="9.140625" style="1120"/>
    <col min="10487" max="10487" width="2.5703125" style="1120" bestFit="1" customWidth="1"/>
    <col min="10488" max="10488" width="2.140625" style="1120" bestFit="1" customWidth="1"/>
    <col min="10489" max="10489" width="66.7109375" style="1120" bestFit="1" customWidth="1"/>
    <col min="10490" max="10490" width="11.28515625" style="1120" bestFit="1" customWidth="1"/>
    <col min="10491" max="10491" width="9" style="1120" bestFit="1" customWidth="1"/>
    <col min="10492" max="10742" width="9.140625" style="1120"/>
    <col min="10743" max="10743" width="2.5703125" style="1120" bestFit="1" customWidth="1"/>
    <col min="10744" max="10744" width="2.140625" style="1120" bestFit="1" customWidth="1"/>
    <col min="10745" max="10745" width="66.7109375" style="1120" bestFit="1" customWidth="1"/>
    <col min="10746" max="10746" width="11.28515625" style="1120" bestFit="1" customWidth="1"/>
    <col min="10747" max="10747" width="9" style="1120" bestFit="1" customWidth="1"/>
    <col min="10748" max="10998" width="9.140625" style="1120"/>
    <col min="10999" max="10999" width="2.5703125" style="1120" bestFit="1" customWidth="1"/>
    <col min="11000" max="11000" width="2.140625" style="1120" bestFit="1" customWidth="1"/>
    <col min="11001" max="11001" width="66.7109375" style="1120" bestFit="1" customWidth="1"/>
    <col min="11002" max="11002" width="11.28515625" style="1120" bestFit="1" customWidth="1"/>
    <col min="11003" max="11003" width="9" style="1120" bestFit="1" customWidth="1"/>
    <col min="11004" max="11254" width="9.140625" style="1120"/>
    <col min="11255" max="11255" width="2.5703125" style="1120" bestFit="1" customWidth="1"/>
    <col min="11256" max="11256" width="2.140625" style="1120" bestFit="1" customWidth="1"/>
    <col min="11257" max="11257" width="66.7109375" style="1120" bestFit="1" customWidth="1"/>
    <col min="11258" max="11258" width="11.28515625" style="1120" bestFit="1" customWidth="1"/>
    <col min="11259" max="11259" width="9" style="1120" bestFit="1" customWidth="1"/>
    <col min="11260" max="11510" width="9.140625" style="1120"/>
    <col min="11511" max="11511" width="2.5703125" style="1120" bestFit="1" customWidth="1"/>
    <col min="11512" max="11512" width="2.140625" style="1120" bestFit="1" customWidth="1"/>
    <col min="11513" max="11513" width="66.7109375" style="1120" bestFit="1" customWidth="1"/>
    <col min="11514" max="11514" width="11.28515625" style="1120" bestFit="1" customWidth="1"/>
    <col min="11515" max="11515" width="9" style="1120" bestFit="1" customWidth="1"/>
    <col min="11516" max="11766" width="9.140625" style="1120"/>
    <col min="11767" max="11767" width="2.5703125" style="1120" bestFit="1" customWidth="1"/>
    <col min="11768" max="11768" width="2.140625" style="1120" bestFit="1" customWidth="1"/>
    <col min="11769" max="11769" width="66.7109375" style="1120" bestFit="1" customWidth="1"/>
    <col min="11770" max="11770" width="11.28515625" style="1120" bestFit="1" customWidth="1"/>
    <col min="11771" max="11771" width="9" style="1120" bestFit="1" customWidth="1"/>
    <col min="11772" max="12022" width="9.140625" style="1120"/>
    <col min="12023" max="12023" width="2.5703125" style="1120" bestFit="1" customWidth="1"/>
    <col min="12024" max="12024" width="2.140625" style="1120" bestFit="1" customWidth="1"/>
    <col min="12025" max="12025" width="66.7109375" style="1120" bestFit="1" customWidth="1"/>
    <col min="12026" max="12026" width="11.28515625" style="1120" bestFit="1" customWidth="1"/>
    <col min="12027" max="12027" width="9" style="1120" bestFit="1" customWidth="1"/>
    <col min="12028" max="12278" width="9.140625" style="1120"/>
    <col min="12279" max="12279" width="2.5703125" style="1120" bestFit="1" customWidth="1"/>
    <col min="12280" max="12280" width="2.140625" style="1120" bestFit="1" customWidth="1"/>
    <col min="12281" max="12281" width="66.7109375" style="1120" bestFit="1" customWidth="1"/>
    <col min="12282" max="12282" width="11.28515625" style="1120" bestFit="1" customWidth="1"/>
    <col min="12283" max="12283" width="9" style="1120" bestFit="1" customWidth="1"/>
    <col min="12284" max="12534" width="9.140625" style="1120"/>
    <col min="12535" max="12535" width="2.5703125" style="1120" bestFit="1" customWidth="1"/>
    <col min="12536" max="12536" width="2.140625" style="1120" bestFit="1" customWidth="1"/>
    <col min="12537" max="12537" width="66.7109375" style="1120" bestFit="1" customWidth="1"/>
    <col min="12538" max="12538" width="11.28515625" style="1120" bestFit="1" customWidth="1"/>
    <col min="12539" max="12539" width="9" style="1120" bestFit="1" customWidth="1"/>
    <col min="12540" max="12790" width="9.140625" style="1120"/>
    <col min="12791" max="12791" width="2.5703125" style="1120" bestFit="1" customWidth="1"/>
    <col min="12792" max="12792" width="2.140625" style="1120" bestFit="1" customWidth="1"/>
    <col min="12793" max="12793" width="66.7109375" style="1120" bestFit="1" customWidth="1"/>
    <col min="12794" max="12794" width="11.28515625" style="1120" bestFit="1" customWidth="1"/>
    <col min="12795" max="12795" width="9" style="1120" bestFit="1" customWidth="1"/>
    <col min="12796" max="13046" width="9.140625" style="1120"/>
    <col min="13047" max="13047" width="2.5703125" style="1120" bestFit="1" customWidth="1"/>
    <col min="13048" max="13048" width="2.140625" style="1120" bestFit="1" customWidth="1"/>
    <col min="13049" max="13049" width="66.7109375" style="1120" bestFit="1" customWidth="1"/>
    <col min="13050" max="13050" width="11.28515625" style="1120" bestFit="1" customWidth="1"/>
    <col min="13051" max="13051" width="9" style="1120" bestFit="1" customWidth="1"/>
    <col min="13052" max="13302" width="9.140625" style="1120"/>
    <col min="13303" max="13303" width="2.5703125" style="1120" bestFit="1" customWidth="1"/>
    <col min="13304" max="13304" width="2.140625" style="1120" bestFit="1" customWidth="1"/>
    <col min="13305" max="13305" width="66.7109375" style="1120" bestFit="1" customWidth="1"/>
    <col min="13306" max="13306" width="11.28515625" style="1120" bestFit="1" customWidth="1"/>
    <col min="13307" max="13307" width="9" style="1120" bestFit="1" customWidth="1"/>
    <col min="13308" max="13558" width="9.140625" style="1120"/>
    <col min="13559" max="13559" width="2.5703125" style="1120" bestFit="1" customWidth="1"/>
    <col min="13560" max="13560" width="2.140625" style="1120" bestFit="1" customWidth="1"/>
    <col min="13561" max="13561" width="66.7109375" style="1120" bestFit="1" customWidth="1"/>
    <col min="13562" max="13562" width="11.28515625" style="1120" bestFit="1" customWidth="1"/>
    <col min="13563" max="13563" width="9" style="1120" bestFit="1" customWidth="1"/>
    <col min="13564" max="13814" width="9.140625" style="1120"/>
    <col min="13815" max="13815" width="2.5703125" style="1120" bestFit="1" customWidth="1"/>
    <col min="13816" max="13816" width="2.140625" style="1120" bestFit="1" customWidth="1"/>
    <col min="13817" max="13817" width="66.7109375" style="1120" bestFit="1" customWidth="1"/>
    <col min="13818" max="13818" width="11.28515625" style="1120" bestFit="1" customWidth="1"/>
    <col min="13819" max="13819" width="9" style="1120" bestFit="1" customWidth="1"/>
    <col min="13820" max="14070" width="9.140625" style="1120"/>
    <col min="14071" max="14071" width="2.5703125" style="1120" bestFit="1" customWidth="1"/>
    <col min="14072" max="14072" width="2.140625" style="1120" bestFit="1" customWidth="1"/>
    <col min="14073" max="14073" width="66.7109375" style="1120" bestFit="1" customWidth="1"/>
    <col min="14074" max="14074" width="11.28515625" style="1120" bestFit="1" customWidth="1"/>
    <col min="14075" max="14075" width="9" style="1120" bestFit="1" customWidth="1"/>
    <col min="14076" max="14326" width="9.140625" style="1120"/>
    <col min="14327" max="14327" width="2.5703125" style="1120" bestFit="1" customWidth="1"/>
    <col min="14328" max="14328" width="2.140625" style="1120" bestFit="1" customWidth="1"/>
    <col min="14329" max="14329" width="66.7109375" style="1120" bestFit="1" customWidth="1"/>
    <col min="14330" max="14330" width="11.28515625" style="1120" bestFit="1" customWidth="1"/>
    <col min="14331" max="14331" width="9" style="1120" bestFit="1" customWidth="1"/>
    <col min="14332" max="14582" width="9.140625" style="1120"/>
    <col min="14583" max="14583" width="2.5703125" style="1120" bestFit="1" customWidth="1"/>
    <col min="14584" max="14584" width="2.140625" style="1120" bestFit="1" customWidth="1"/>
    <col min="14585" max="14585" width="66.7109375" style="1120" bestFit="1" customWidth="1"/>
    <col min="14586" max="14586" width="11.28515625" style="1120" bestFit="1" customWidth="1"/>
    <col min="14587" max="14587" width="9" style="1120" bestFit="1" customWidth="1"/>
    <col min="14588" max="14838" width="9.140625" style="1120"/>
    <col min="14839" max="14839" width="2.5703125" style="1120" bestFit="1" customWidth="1"/>
    <col min="14840" max="14840" width="2.140625" style="1120" bestFit="1" customWidth="1"/>
    <col min="14841" max="14841" width="66.7109375" style="1120" bestFit="1" customWidth="1"/>
    <col min="14842" max="14842" width="11.28515625" style="1120" bestFit="1" customWidth="1"/>
    <col min="14843" max="14843" width="9" style="1120" bestFit="1" customWidth="1"/>
    <col min="14844" max="15094" width="9.140625" style="1120"/>
    <col min="15095" max="15095" width="2.5703125" style="1120" bestFit="1" customWidth="1"/>
    <col min="15096" max="15096" width="2.140625" style="1120" bestFit="1" customWidth="1"/>
    <col min="15097" max="15097" width="66.7109375" style="1120" bestFit="1" customWidth="1"/>
    <col min="15098" max="15098" width="11.28515625" style="1120" bestFit="1" customWidth="1"/>
    <col min="15099" max="15099" width="9" style="1120" bestFit="1" customWidth="1"/>
    <col min="15100" max="15350" width="9.140625" style="1120"/>
    <col min="15351" max="15351" width="2.5703125" style="1120" bestFit="1" customWidth="1"/>
    <col min="15352" max="15352" width="2.140625" style="1120" bestFit="1" customWidth="1"/>
    <col min="15353" max="15353" width="66.7109375" style="1120" bestFit="1" customWidth="1"/>
    <col min="15354" max="15354" width="11.28515625" style="1120" bestFit="1" customWidth="1"/>
    <col min="15355" max="15355" width="9" style="1120" bestFit="1" customWidth="1"/>
    <col min="15356" max="15606" width="9.140625" style="1120"/>
    <col min="15607" max="15607" width="2.5703125" style="1120" bestFit="1" customWidth="1"/>
    <col min="15608" max="15608" width="2.140625" style="1120" bestFit="1" customWidth="1"/>
    <col min="15609" max="15609" width="66.7109375" style="1120" bestFit="1" customWidth="1"/>
    <col min="15610" max="15610" width="11.28515625" style="1120" bestFit="1" customWidth="1"/>
    <col min="15611" max="15611" width="9" style="1120" bestFit="1" customWidth="1"/>
    <col min="15612" max="15862" width="9.140625" style="1120"/>
    <col min="15863" max="15863" width="2.5703125" style="1120" bestFit="1" customWidth="1"/>
    <col min="15864" max="15864" width="2.140625" style="1120" bestFit="1" customWidth="1"/>
    <col min="15865" max="15865" width="66.7109375" style="1120" bestFit="1" customWidth="1"/>
    <col min="15866" max="15866" width="11.28515625" style="1120" bestFit="1" customWidth="1"/>
    <col min="15867" max="15867" width="9" style="1120" bestFit="1" customWidth="1"/>
    <col min="15868" max="16118" width="9.140625" style="1120"/>
    <col min="16119" max="16119" width="2.5703125" style="1120" bestFit="1" customWidth="1"/>
    <col min="16120" max="16120" width="2.140625" style="1120" bestFit="1" customWidth="1"/>
    <col min="16121" max="16121" width="66.7109375" style="1120" bestFit="1" customWidth="1"/>
    <col min="16122" max="16122" width="11.28515625" style="1120" bestFit="1" customWidth="1"/>
    <col min="16123" max="16123" width="9" style="1120" bestFit="1" customWidth="1"/>
    <col min="16124" max="16384" width="9.140625" style="1120"/>
  </cols>
  <sheetData>
    <row r="1" spans="1:14" ht="21" customHeight="1">
      <c r="A1" s="1118" t="s">
        <v>1233</v>
      </c>
      <c r="B1" s="1119"/>
      <c r="C1" s="1119"/>
      <c r="D1" s="1119"/>
      <c r="E1" s="1119"/>
      <c r="F1" s="1119"/>
      <c r="G1" s="1119"/>
      <c r="H1" s="1119"/>
      <c r="I1" s="1119"/>
    </row>
    <row r="2" spans="1:14" s="1122" customFormat="1" ht="57.75" customHeight="1">
      <c r="A2" s="1580" t="s">
        <v>931</v>
      </c>
      <c r="B2" s="1580"/>
      <c r="C2" s="1121"/>
      <c r="D2" s="1121"/>
      <c r="E2" s="1121"/>
      <c r="F2" s="1121"/>
      <c r="G2" s="1121"/>
      <c r="H2" s="1121"/>
      <c r="I2" s="1121"/>
      <c r="J2" s="1121"/>
      <c r="K2" s="1121"/>
      <c r="L2" s="1121"/>
      <c r="M2" s="1121"/>
      <c r="N2" s="1121"/>
    </row>
    <row r="3" spans="1:14" s="1122" customFormat="1">
      <c r="A3" s="1123"/>
      <c r="B3" s="1123"/>
      <c r="C3" s="1121"/>
      <c r="D3" s="1121"/>
      <c r="E3" s="1121"/>
      <c r="F3" s="1121"/>
      <c r="G3" s="1121"/>
      <c r="H3" s="1121"/>
      <c r="I3" s="1581" t="s">
        <v>894</v>
      </c>
      <c r="J3" s="1581"/>
      <c r="K3" s="1124"/>
      <c r="L3" s="1581"/>
      <c r="M3" s="1581"/>
      <c r="N3" s="1121"/>
    </row>
    <row r="4" spans="1:14" ht="63">
      <c r="A4" s="1125" t="s">
        <v>651</v>
      </c>
      <c r="B4" s="1125" t="s">
        <v>780</v>
      </c>
      <c r="C4" s="1126" t="s">
        <v>781</v>
      </c>
      <c r="D4" s="1126" t="s">
        <v>782</v>
      </c>
      <c r="E4" s="1126" t="s">
        <v>783</v>
      </c>
      <c r="F4" s="1126" t="s">
        <v>784</v>
      </c>
    </row>
    <row r="5" spans="1:14">
      <c r="A5" s="1127">
        <v>1</v>
      </c>
      <c r="B5" s="1127">
        <v>2</v>
      </c>
      <c r="C5" s="1128"/>
      <c r="D5" s="1128"/>
      <c r="E5" s="1128"/>
      <c r="F5" s="1129"/>
    </row>
    <row r="6" spans="1:14">
      <c r="A6" s="1127">
        <v>1</v>
      </c>
      <c r="B6" s="1130" t="s">
        <v>787</v>
      </c>
      <c r="C6" s="1131">
        <f>'[1]PPE-2'!B13/'[1]PPE-2'!$L$13*$C$16</f>
        <v>1629.6696142940525</v>
      </c>
      <c r="D6" s="1131">
        <f>'[1]PPE-2'!$B$14/100</f>
        <v>54.7593362</v>
      </c>
      <c r="E6" s="1131"/>
      <c r="F6" s="1132">
        <f t="shared" ref="F6:F15" si="0">C6+D6-E6</f>
        <v>1684.4289504940525</v>
      </c>
    </row>
    <row r="7" spans="1:14">
      <c r="A7" s="1127">
        <v>2</v>
      </c>
      <c r="B7" s="1130" t="s">
        <v>788</v>
      </c>
      <c r="C7" s="1131">
        <f>'[1]PPE-2'!C13/'[1]PPE-2'!$L$13*$C$16</f>
        <v>40.470665013113319</v>
      </c>
      <c r="D7" s="1131">
        <f>'[1]PPE-2'!$C$14/100</f>
        <v>0.49359319999999995</v>
      </c>
      <c r="E7" s="1131"/>
      <c r="F7" s="1132">
        <f t="shared" si="0"/>
        <v>40.964258213113318</v>
      </c>
    </row>
    <row r="8" spans="1:14">
      <c r="A8" s="1127">
        <v>3</v>
      </c>
      <c r="B8" s="1130" t="s">
        <v>789</v>
      </c>
      <c r="C8" s="1131">
        <f>'[1]PPE-2'!D13/'[1]PPE-2'!$L$13*$C$16</f>
        <v>5.0778698840476533E-3</v>
      </c>
      <c r="D8" s="1131">
        <f>'[1]PPE-2'!$D$14/100</f>
        <v>0</v>
      </c>
      <c r="E8" s="1131"/>
      <c r="F8" s="1132">
        <f t="shared" si="0"/>
        <v>5.0778698840476533E-3</v>
      </c>
    </row>
    <row r="9" spans="1:14">
      <c r="A9" s="1127">
        <v>4</v>
      </c>
      <c r="B9" s="1130" t="s">
        <v>790</v>
      </c>
      <c r="C9" s="1131">
        <f>'[1]PPE-2'!E13/'[1]PPE-2'!$L$13*$C$16</f>
        <v>240.99723773219367</v>
      </c>
      <c r="D9" s="1131">
        <f>'[1]PPE-2'!$E$14/100</f>
        <v>27.693796238000001</v>
      </c>
      <c r="E9" s="1131"/>
      <c r="F9" s="1132">
        <f t="shared" si="0"/>
        <v>268.69103397019364</v>
      </c>
    </row>
    <row r="10" spans="1:14">
      <c r="A10" s="1127">
        <v>5</v>
      </c>
      <c r="B10" s="1130" t="s">
        <v>791</v>
      </c>
      <c r="C10" s="1131">
        <f>'[1]PPE-2'!F13/'[1]PPE-2'!$L$13*$C$16</f>
        <v>2789.890346562077</v>
      </c>
      <c r="D10" s="1131">
        <f>'[1]PPE-2'!$F$14/100</f>
        <v>1182.0908471390001</v>
      </c>
      <c r="E10" s="1131">
        <f>'[1]PPE-2'!$F$15/100</f>
        <v>0.98033550000000003</v>
      </c>
      <c r="F10" s="1132">
        <f t="shared" si="0"/>
        <v>3971.0008582010773</v>
      </c>
    </row>
    <row r="11" spans="1:14">
      <c r="A11" s="1127">
        <v>6</v>
      </c>
      <c r="B11" s="1130" t="s">
        <v>792</v>
      </c>
      <c r="C11" s="1131">
        <f>'[1]PPE-2'!G13/'[1]PPE-2'!$L$13*$C$16</f>
        <v>2903.8209167391078</v>
      </c>
      <c r="D11" s="1131">
        <f>'[1]PPE-2'!$G$14/100</f>
        <v>678.65765065000005</v>
      </c>
      <c r="E11" s="1131">
        <f>'[1]PPE-2'!$G$15/100</f>
        <v>10.1230654</v>
      </c>
      <c r="F11" s="1132">
        <f t="shared" si="0"/>
        <v>3572.3555019891078</v>
      </c>
    </row>
    <row r="12" spans="1:14">
      <c r="A12" s="1127">
        <v>7</v>
      </c>
      <c r="B12" s="1130" t="s">
        <v>684</v>
      </c>
      <c r="C12" s="1131">
        <f>'[1]PPE-2'!H13/'[1]PPE-2'!$L$13*$C$16</f>
        <v>0</v>
      </c>
      <c r="D12" s="1131">
        <f>'[1]PPE-2'!$H$14/100</f>
        <v>0</v>
      </c>
      <c r="E12" s="1131"/>
      <c r="F12" s="1132">
        <f t="shared" si="0"/>
        <v>0</v>
      </c>
    </row>
    <row r="13" spans="1:14">
      <c r="A13" s="1127">
        <v>8</v>
      </c>
      <c r="B13" s="1130" t="s">
        <v>793</v>
      </c>
      <c r="C13" s="1131">
        <f>'[1]PPE-2'!I13/'[1]PPE-2'!$L$13*$C$16</f>
        <v>8.4112881868907952</v>
      </c>
      <c r="D13" s="1131">
        <f>'[1]PPE-2'!$I$14/100</f>
        <v>0.94228780000000001</v>
      </c>
      <c r="E13" s="1131">
        <f>'[1]PPE-2'!$I$15/100</f>
        <v>2.9999999999999997E-4</v>
      </c>
      <c r="F13" s="1132">
        <f t="shared" si="0"/>
        <v>9.3532759868907966</v>
      </c>
    </row>
    <row r="14" spans="1:14">
      <c r="A14" s="1127">
        <v>9</v>
      </c>
      <c r="B14" s="1130" t="s">
        <v>794</v>
      </c>
      <c r="C14" s="1131">
        <f>'[1]PPE-2'!J13/'[1]PPE-2'!$L$13*$C$16</f>
        <v>1.7863498376815297</v>
      </c>
      <c r="D14" s="1131">
        <f>'[1]PPE-2'!$J$14/100</f>
        <v>0.63545980400000002</v>
      </c>
      <c r="E14" s="1131"/>
      <c r="F14" s="1132">
        <f t="shared" si="0"/>
        <v>2.4218096416815298</v>
      </c>
    </row>
    <row r="15" spans="1:14">
      <c r="A15" s="1127">
        <v>10</v>
      </c>
      <c r="B15" s="1130" t="s">
        <v>2310</v>
      </c>
      <c r="C15" s="1131">
        <f>'[1]PPE-2'!K13/'[1]PPE-2'!$L$13*$C$16</f>
        <v>2.3485037649985112</v>
      </c>
      <c r="D15" s="1131">
        <f>'[1]PPE-2'!$K$14/100</f>
        <v>0.73510430000000004</v>
      </c>
      <c r="E15" s="1131">
        <f>'[1]PPE-2'!$K$15/100</f>
        <v>5.3200000000000001E-3</v>
      </c>
      <c r="F15" s="1132">
        <f t="shared" si="0"/>
        <v>3.0782880649985112</v>
      </c>
    </row>
    <row r="16" spans="1:14">
      <c r="A16" s="1127"/>
      <c r="B16" s="1133" t="s">
        <v>68</v>
      </c>
      <c r="C16" s="1134">
        <f>'F7-1'!D7</f>
        <v>7617.4</v>
      </c>
      <c r="D16" s="1134">
        <f>SUM(D6:D15)</f>
        <v>1946.0080753310003</v>
      </c>
      <c r="E16" s="1134">
        <f>SUM(E6:E15)</f>
        <v>11.109020899999999</v>
      </c>
      <c r="F16" s="1134">
        <f>SUM(F6:F15)</f>
        <v>9552.2990544309978</v>
      </c>
    </row>
    <row r="17" spans="1:14" ht="21" customHeight="1">
      <c r="K17" s="1136"/>
    </row>
    <row r="18" spans="1:14" ht="33" customHeight="1">
      <c r="A18" s="1585" t="s">
        <v>651</v>
      </c>
      <c r="B18" s="1584" t="s">
        <v>48</v>
      </c>
      <c r="C18" s="1582" t="s">
        <v>1916</v>
      </c>
      <c r="D18" s="1583"/>
      <c r="E18" s="1421" t="s">
        <v>1917</v>
      </c>
      <c r="F18" s="1422"/>
      <c r="G18" s="1422"/>
      <c r="H18" s="1423"/>
      <c r="I18" s="1424" t="s">
        <v>1918</v>
      </c>
      <c r="J18" s="1424"/>
    </row>
    <row r="19" spans="1:14" s="1139" customFormat="1" ht="31.5">
      <c r="A19" s="1417"/>
      <c r="B19" s="1584"/>
      <c r="C19" s="463" t="s">
        <v>1250</v>
      </c>
      <c r="D19" s="1137" t="s">
        <v>1305</v>
      </c>
      <c r="E19" s="463" t="s">
        <v>1235</v>
      </c>
      <c r="F19" s="463"/>
      <c r="G19" s="463"/>
      <c r="H19" s="1138" t="s">
        <v>1241</v>
      </c>
      <c r="I19" s="463" t="s">
        <v>1235</v>
      </c>
      <c r="J19" s="463" t="s">
        <v>1243</v>
      </c>
    </row>
    <row r="20" spans="1:14" ht="21" customHeight="1">
      <c r="A20" s="1140">
        <v>1</v>
      </c>
      <c r="B20" s="1141" t="s">
        <v>632</v>
      </c>
      <c r="C20" s="1142">
        <v>8518</v>
      </c>
      <c r="D20" s="1142">
        <f>'F7-1'!D7</f>
        <v>7617.4</v>
      </c>
      <c r="E20" s="1142">
        <f>'F7-1'!E7</f>
        <v>9828.43</v>
      </c>
      <c r="F20" s="1142"/>
      <c r="G20" s="1142"/>
      <c r="H20" s="1142">
        <f>'F7-1'!H7</f>
        <v>9552.2990544310014</v>
      </c>
      <c r="I20" s="1142">
        <f>'F7-1'!I7</f>
        <v>11818.880000000001</v>
      </c>
      <c r="J20" s="1142">
        <f>'F7-1'!J7</f>
        <v>11184.842166431001</v>
      </c>
      <c r="M20" s="1120" t="s">
        <v>1021</v>
      </c>
      <c r="N20" s="1143">
        <v>1006.9</v>
      </c>
    </row>
    <row r="21" spans="1:14" s="1147" customFormat="1" ht="16.5">
      <c r="A21" s="1140" t="s">
        <v>64</v>
      </c>
      <c r="B21" s="1141" t="s">
        <v>633</v>
      </c>
      <c r="C21" s="1142">
        <f>'F7-1'!C12</f>
        <v>1310.43</v>
      </c>
      <c r="D21" s="1142">
        <f>'F7-1'!D12-'F5-8'!E11</f>
        <v>1888.0280753310003</v>
      </c>
      <c r="E21" s="1142">
        <f>'F7-1'!E12</f>
        <v>1990.45</v>
      </c>
      <c r="F21" s="1142"/>
      <c r="G21" s="1142"/>
      <c r="H21" s="1142">
        <f>'F7-1'!H12-'F5-8'!I11</f>
        <v>1530.2499999999998</v>
      </c>
      <c r="I21" s="1142">
        <f>'F7-1'!I12</f>
        <v>1842.74</v>
      </c>
      <c r="J21" s="1142">
        <f>'F5-8'!K10</f>
        <v>1572.05</v>
      </c>
      <c r="K21" s="1144"/>
      <c r="L21" s="1145"/>
      <c r="M21" s="1120" t="s">
        <v>2299</v>
      </c>
      <c r="N21" s="1146">
        <v>419.51</v>
      </c>
    </row>
    <row r="22" spans="1:14" s="1155" customFormat="1" ht="31.5">
      <c r="A22" s="1148" t="s">
        <v>65</v>
      </c>
      <c r="B22" s="1149" t="s">
        <v>221</v>
      </c>
      <c r="C22" s="1142"/>
      <c r="D22" s="1150">
        <f>'F5-8'!E11</f>
        <v>57.98</v>
      </c>
      <c r="E22" s="1151"/>
      <c r="F22" s="1151"/>
      <c r="G22" s="1151"/>
      <c r="H22" s="1150">
        <f>'F5-8'!I11</f>
        <v>102.29311199999999</v>
      </c>
      <c r="I22" s="1152"/>
      <c r="J22" s="1153">
        <f>'F5-8'!K11</f>
        <v>127.36961999999998</v>
      </c>
      <c r="K22" s="1154"/>
      <c r="M22" s="1155" t="s">
        <v>2300</v>
      </c>
      <c r="N22" s="1156">
        <v>13.67</v>
      </c>
    </row>
    <row r="23" spans="1:14" s="1155" customFormat="1" ht="31.5">
      <c r="A23" s="1148" t="s">
        <v>66</v>
      </c>
      <c r="B23" s="1149" t="s">
        <v>222</v>
      </c>
      <c r="C23" s="1157"/>
      <c r="D23" s="1151"/>
      <c r="E23" s="1151"/>
      <c r="F23" s="1151"/>
      <c r="G23" s="1151"/>
      <c r="H23" s="1151"/>
      <c r="I23" s="1152"/>
      <c r="J23" s="1152"/>
      <c r="K23" s="1158"/>
      <c r="M23" s="1155" t="s">
        <v>2301</v>
      </c>
      <c r="N23" s="1156">
        <v>20.61</v>
      </c>
    </row>
    <row r="24" spans="1:14" s="1155" customFormat="1">
      <c r="A24" s="1148" t="s">
        <v>797</v>
      </c>
      <c r="B24" s="1149" t="s">
        <v>1406</v>
      </c>
      <c r="C24" s="1157"/>
      <c r="D24" s="1151"/>
      <c r="E24" s="1151"/>
      <c r="F24" s="1151"/>
      <c r="G24" s="1151"/>
      <c r="H24" s="1159"/>
      <c r="I24" s="1152"/>
      <c r="J24" s="1159"/>
      <c r="M24" s="1155" t="s">
        <v>1020</v>
      </c>
      <c r="N24" s="1156">
        <v>38.44</v>
      </c>
    </row>
    <row r="25" spans="1:14">
      <c r="A25" s="1140" t="s">
        <v>797</v>
      </c>
      <c r="B25" s="1141" t="s">
        <v>798</v>
      </c>
      <c r="C25" s="1142">
        <f>'F7-1'!C16</f>
        <v>0</v>
      </c>
      <c r="D25" s="1142">
        <f>'F7-1'!D16</f>
        <v>11.109020899999999</v>
      </c>
      <c r="E25" s="1142">
        <f>'F7-1'!E16</f>
        <v>0</v>
      </c>
      <c r="F25" s="1142"/>
      <c r="G25" s="1142"/>
      <c r="H25" s="1142">
        <f>'F7-1'!H16</f>
        <v>0</v>
      </c>
      <c r="I25" s="1142">
        <f>'F7-1'!I16</f>
        <v>0</v>
      </c>
      <c r="J25" s="1142">
        <f>'F7-1'!J16</f>
        <v>0</v>
      </c>
      <c r="M25" s="1120" t="s">
        <v>952</v>
      </c>
      <c r="N25" s="1143">
        <f>331.08+57.98</f>
        <v>389.06</v>
      </c>
    </row>
    <row r="26" spans="1:14">
      <c r="A26" s="1140">
        <v>2</v>
      </c>
      <c r="B26" s="1141" t="s">
        <v>634</v>
      </c>
      <c r="C26" s="1160">
        <f>SUM(C20+C21+C22+C23-C25)</f>
        <v>9828.43</v>
      </c>
      <c r="D26" s="1160">
        <f>SUM(D20+D21+D22+D23-D25)</f>
        <v>9552.2990544309996</v>
      </c>
      <c r="E26" s="1160">
        <f t="shared" ref="E26:I26" si="1">SUM(E20+E21+E22+E23-E25)</f>
        <v>11818.880000000001</v>
      </c>
      <c r="F26" s="1160"/>
      <c r="G26" s="1160"/>
      <c r="H26" s="1160">
        <f>SUM(H20+H21+H22+H23-H25+H24)</f>
        <v>11184.842166431001</v>
      </c>
      <c r="I26" s="1160">
        <f t="shared" si="1"/>
        <v>13661.62</v>
      </c>
      <c r="J26" s="1160">
        <f>SUM(J20+J21+J22+J23-J25+J24)</f>
        <v>12884.261786431</v>
      </c>
    </row>
    <row r="27" spans="1:14">
      <c r="C27" s="1161"/>
      <c r="D27" s="1162"/>
      <c r="E27" s="1162"/>
      <c r="F27" s="1162"/>
      <c r="G27" s="1162"/>
      <c r="H27" s="1162"/>
    </row>
    <row r="28" spans="1:14">
      <c r="A28" s="1129">
        <v>1</v>
      </c>
      <c r="B28" s="1163" t="s">
        <v>799</v>
      </c>
      <c r="C28" s="1142">
        <f>C20</f>
        <v>8518</v>
      </c>
      <c r="D28" s="1164">
        <f>D20</f>
        <v>7617.4</v>
      </c>
      <c r="E28" s="1142">
        <f t="shared" ref="E28:J28" si="2">E20</f>
        <v>9828.43</v>
      </c>
      <c r="F28" s="1164"/>
      <c r="G28" s="1142"/>
      <c r="H28" s="1164">
        <f>H20</f>
        <v>9552.2990544310014</v>
      </c>
      <c r="I28" s="1142">
        <f t="shared" si="2"/>
        <v>11818.880000000001</v>
      </c>
      <c r="J28" s="1164">
        <f t="shared" si="2"/>
        <v>11184.842166431001</v>
      </c>
      <c r="L28" s="1146"/>
    </row>
    <row r="29" spans="1:14">
      <c r="A29" s="1129"/>
      <c r="B29" s="1163" t="s">
        <v>807</v>
      </c>
      <c r="C29" s="1142">
        <f>C28-7112.7</f>
        <v>1405.3000000000002</v>
      </c>
      <c r="D29" s="1164">
        <f>'[1]PPE-2'!$B$13/100</f>
        <v>1415.0054045290003</v>
      </c>
      <c r="E29" s="1164">
        <f>E28-8393.13</f>
        <v>1435.3000000000011</v>
      </c>
      <c r="F29" s="1164"/>
      <c r="G29" s="1164"/>
      <c r="H29" s="1164">
        <f>'[4]PPE 19-20'!$B$31/10000000</f>
        <v>1469.7647407290001</v>
      </c>
      <c r="I29" s="1165">
        <f>I28-10255.58</f>
        <v>1563.3000000000011</v>
      </c>
      <c r="J29" s="1165">
        <f>J28-H36</f>
        <v>1469.7647407290006</v>
      </c>
      <c r="K29" s="1146"/>
      <c r="L29" s="1146"/>
    </row>
    <row r="30" spans="1:14">
      <c r="A30" s="1129"/>
      <c r="B30" s="1163" t="s">
        <v>1307</v>
      </c>
      <c r="C30" s="1142">
        <f>C28-C29</f>
        <v>7112.7</v>
      </c>
      <c r="D30" s="1142">
        <f>D28-D29</f>
        <v>6202.3945954709998</v>
      </c>
      <c r="E30" s="1142">
        <v>7579.23</v>
      </c>
      <c r="F30" s="1142"/>
      <c r="G30" s="1142"/>
      <c r="H30" s="1142">
        <f>H28-H29</f>
        <v>8082.5343137020009</v>
      </c>
      <c r="I30" s="1142">
        <f t="shared" ref="I30:J30" si="3">I28-I29</f>
        <v>10255.58</v>
      </c>
      <c r="J30" s="1142">
        <f t="shared" si="3"/>
        <v>9715.0774257020003</v>
      </c>
      <c r="K30" s="1146"/>
      <c r="L30" s="1146"/>
    </row>
    <row r="31" spans="1:14">
      <c r="A31" s="1129">
        <v>2</v>
      </c>
      <c r="B31" s="1163" t="s">
        <v>800</v>
      </c>
      <c r="C31" s="1142">
        <f>C21-30</f>
        <v>1280.43</v>
      </c>
      <c r="D31" s="1164">
        <f>D21-('[1]PPE-2'!$B$14/100)</f>
        <v>1833.2687391310003</v>
      </c>
      <c r="E31" s="1164">
        <v>1629.99</v>
      </c>
      <c r="F31" s="1164"/>
      <c r="G31" s="1164"/>
      <c r="H31" s="1164">
        <f>H21</f>
        <v>1530.2499999999998</v>
      </c>
      <c r="I31" s="1164">
        <f>I21-(I21-1726.14)</f>
        <v>1726.14</v>
      </c>
      <c r="J31" s="1164">
        <f>J21</f>
        <v>1572.05</v>
      </c>
      <c r="K31" s="1146"/>
      <c r="L31" s="1146"/>
    </row>
    <row r="32" spans="1:14">
      <c r="A32" s="1129"/>
      <c r="B32" s="1163" t="s">
        <v>807</v>
      </c>
      <c r="C32" s="1142"/>
      <c r="D32" s="1164">
        <f>'[4]PPE 19-20'!$B$15/10000000</f>
        <v>0</v>
      </c>
      <c r="E32" s="1166"/>
      <c r="F32" s="1166"/>
      <c r="G32" s="1166"/>
      <c r="H32" s="1166">
        <f>D32/D31*H31</f>
        <v>0</v>
      </c>
      <c r="I32" s="1165"/>
      <c r="J32" s="1165">
        <f>D32/D31*J31</f>
        <v>0</v>
      </c>
      <c r="L32" s="1146"/>
    </row>
    <row r="33" spans="1:11">
      <c r="A33" s="1129" t="s">
        <v>805</v>
      </c>
      <c r="B33" s="1163" t="s">
        <v>803</v>
      </c>
      <c r="C33" s="1142"/>
      <c r="D33" s="1167">
        <f>D22</f>
        <v>57.98</v>
      </c>
      <c r="E33" s="1168"/>
      <c r="F33" s="1168"/>
      <c r="G33" s="1168"/>
      <c r="H33" s="1167">
        <f>H22</f>
        <v>102.29311199999999</v>
      </c>
      <c r="I33" s="1141"/>
      <c r="J33" s="1167">
        <f>J22</f>
        <v>127.36961999999998</v>
      </c>
      <c r="K33" s="1146"/>
    </row>
    <row r="34" spans="1:11">
      <c r="A34" s="1129" t="s">
        <v>806</v>
      </c>
      <c r="B34" s="1163" t="s">
        <v>804</v>
      </c>
      <c r="C34" s="1157"/>
      <c r="D34" s="1168"/>
      <c r="E34" s="1168"/>
      <c r="F34" s="1168"/>
      <c r="G34" s="1168"/>
      <c r="H34" s="1168"/>
      <c r="I34" s="1141"/>
      <c r="J34" s="1141"/>
      <c r="K34" s="1146"/>
    </row>
    <row r="35" spans="1:11">
      <c r="A35" s="1129">
        <v>4</v>
      </c>
      <c r="B35" s="1163" t="s">
        <v>796</v>
      </c>
      <c r="C35" s="1157"/>
      <c r="D35" s="1164">
        <f>D25</f>
        <v>11.109020899999999</v>
      </c>
      <c r="E35" s="1168"/>
      <c r="F35" s="1168"/>
      <c r="G35" s="1168"/>
      <c r="H35" s="1168"/>
      <c r="I35" s="1141"/>
      <c r="J35" s="1141"/>
    </row>
    <row r="36" spans="1:11">
      <c r="A36" s="1129">
        <v>5</v>
      </c>
      <c r="B36" s="1163" t="s">
        <v>801</v>
      </c>
      <c r="C36" s="1160">
        <f>C28-C29+C31-C32+C33+C34-C35</f>
        <v>8393.1299999999992</v>
      </c>
      <c r="D36" s="1160">
        <f>D28-D29+D31-D32+D33+D34-D35</f>
        <v>8082.5343137019991</v>
      </c>
      <c r="E36" s="1160">
        <f>E30+E31</f>
        <v>9209.2199999999993</v>
      </c>
      <c r="F36" s="1160"/>
      <c r="G36" s="1160"/>
      <c r="H36" s="1160">
        <f>H28-H29+H31-H32+H33+H34-H35</f>
        <v>9715.0774257020003</v>
      </c>
      <c r="I36" s="1160">
        <f t="shared" ref="I36" si="4">I28-I29+I31-I32+I33+I34-I35</f>
        <v>11981.72</v>
      </c>
      <c r="J36" s="1160">
        <f>J28-J29+J31-J32+J33+J34-J35</f>
        <v>11414.497045701999</v>
      </c>
      <c r="K36" s="1146"/>
    </row>
    <row r="37" spans="1:11">
      <c r="A37" s="1129">
        <v>6</v>
      </c>
      <c r="B37" s="1163" t="s">
        <v>808</v>
      </c>
      <c r="C37" s="1169">
        <f>AVERAGE(C30,C36)</f>
        <v>7752.9149999999991</v>
      </c>
      <c r="D37" s="1169">
        <f>AVERAGE(D30,D36)</f>
        <v>7142.4644545864994</v>
      </c>
      <c r="E37" s="1169"/>
      <c r="F37" s="1169"/>
      <c r="G37" s="1169"/>
      <c r="H37" s="1169">
        <f>AVERAGE(H30,H36)</f>
        <v>8898.8058697020006</v>
      </c>
      <c r="I37" s="1169">
        <f>AVERAGE(I30,I36)</f>
        <v>11118.65</v>
      </c>
      <c r="J37" s="1169">
        <f t="shared" ref="J37" si="5">AVERAGE(J30,J36)</f>
        <v>10564.787235701999</v>
      </c>
    </row>
    <row r="38" spans="1:11">
      <c r="A38" s="1129">
        <v>7</v>
      </c>
      <c r="B38" s="1163" t="s">
        <v>2314</v>
      </c>
      <c r="C38" s="1170">
        <v>5.1299999999999998E-2</v>
      </c>
      <c r="D38" s="1171">
        <f>(320.4+29.58)/('[1]PPE-2'!$L$13/100)</f>
        <v>5.2914894510713045E-2</v>
      </c>
      <c r="E38" s="1171">
        <v>4.8399999999999999E-2</v>
      </c>
      <c r="F38" s="1171"/>
      <c r="G38" s="1171"/>
      <c r="H38" s="1171">
        <f>D38</f>
        <v>5.2914894510713045E-2</v>
      </c>
      <c r="I38" s="1171">
        <f>C38</f>
        <v>5.1299999999999998E-2</v>
      </c>
      <c r="J38" s="1171">
        <f>H38</f>
        <v>5.2914894510713045E-2</v>
      </c>
      <c r="K38" s="1146"/>
    </row>
    <row r="39" spans="1:11">
      <c r="A39" s="1129"/>
      <c r="B39" s="1163" t="s">
        <v>2288</v>
      </c>
      <c r="C39" s="1170">
        <f>3.77%</f>
        <v>3.7699999999999997E-2</v>
      </c>
      <c r="D39" s="1171">
        <f>78.19/('[1]PPE-2'!$L$14/100)</f>
        <v>4.0179689381145307E-2</v>
      </c>
      <c r="E39" s="1171">
        <v>3.4200000000000001E-2</v>
      </c>
      <c r="F39" s="1171"/>
      <c r="G39" s="1171"/>
      <c r="H39" s="1171">
        <f>D39</f>
        <v>4.0179689381145307E-2</v>
      </c>
      <c r="I39" s="1171">
        <f>C39</f>
        <v>3.7699999999999997E-2</v>
      </c>
      <c r="J39" s="1171">
        <f>H39</f>
        <v>4.0179689381145307E-2</v>
      </c>
      <c r="K39" s="1146"/>
    </row>
    <row r="40" spans="1:11">
      <c r="A40" s="1129">
        <v>8</v>
      </c>
      <c r="B40" s="1163" t="s">
        <v>1399</v>
      </c>
      <c r="C40" s="1172">
        <f>C38*C30</f>
        <v>364.88150999999999</v>
      </c>
      <c r="D40" s="1172">
        <f>D38*D30</f>
        <v>328.19905573316464</v>
      </c>
      <c r="E40" s="1172">
        <f>E38*E30</f>
        <v>366.83473199999997</v>
      </c>
      <c r="F40" s="1171"/>
      <c r="G40" s="1171"/>
      <c r="H40" s="1172">
        <f>H38*H30</f>
        <v>427.68645058875984</v>
      </c>
      <c r="I40" s="1172">
        <f>I38*I30</f>
        <v>526.11125400000003</v>
      </c>
      <c r="J40" s="1172">
        <f>J38*J30</f>
        <v>514.07229714443099</v>
      </c>
      <c r="K40" s="1146"/>
    </row>
    <row r="41" spans="1:11">
      <c r="A41" s="1129">
        <v>9</v>
      </c>
      <c r="B41" s="1163" t="s">
        <v>1400</v>
      </c>
      <c r="C41" s="1173">
        <f>(C31/2)*C39</f>
        <v>24.136105499999999</v>
      </c>
      <c r="D41" s="1172">
        <f>D39*(D31+D33-D35)</f>
        <v>75.543429871675656</v>
      </c>
      <c r="E41" s="1172">
        <f>E39*(E31+E33-E35)</f>
        <v>55.745657999999999</v>
      </c>
      <c r="F41" s="1171"/>
      <c r="G41" s="1171"/>
      <c r="H41" s="1172">
        <f>H39*(H31+H33-H35)</f>
        <v>65.595075141488309</v>
      </c>
      <c r="I41" s="1173">
        <f>(I31/2)*I39</f>
        <v>32.537739000000002</v>
      </c>
      <c r="J41" s="1172">
        <f>J39*(J31+J33-J35)</f>
        <v>68.28215245982399</v>
      </c>
      <c r="K41" s="1146"/>
    </row>
    <row r="42" spans="1:11">
      <c r="A42" s="1129">
        <v>10</v>
      </c>
      <c r="B42" s="1163" t="s">
        <v>1770</v>
      </c>
      <c r="C42" s="1142">
        <f>SUM(C40:C41)</f>
        <v>389.01761549999998</v>
      </c>
      <c r="D42" s="1142">
        <f>SUM(D40:D41)</f>
        <v>403.74248560484028</v>
      </c>
      <c r="E42" s="1142">
        <f>SUM(E40:E41)</f>
        <v>422.58038999999997</v>
      </c>
      <c r="F42" s="1167"/>
      <c r="G42" s="1167"/>
      <c r="H42" s="1142">
        <f>SUM(H40:H41)</f>
        <v>493.28152573024818</v>
      </c>
      <c r="I42" s="1174">
        <f>I40+I41</f>
        <v>558.64899300000002</v>
      </c>
      <c r="J42" s="1142">
        <f>SUM(J40:J41)</f>
        <v>582.35444960425502</v>
      </c>
    </row>
    <row r="43" spans="1:11">
      <c r="A43" s="1129">
        <v>11</v>
      </c>
      <c r="B43" s="1163" t="s">
        <v>1401</v>
      </c>
      <c r="C43" s="1142">
        <f>413.15</f>
        <v>413.15</v>
      </c>
      <c r="D43" s="1167">
        <f>(D30*D38)+((D31+D33-D35)*D39)</f>
        <v>403.74248560484028</v>
      </c>
      <c r="E43" s="1167">
        <f>(E30*E38)+((E31+E33-E35)*E39)</f>
        <v>422.58038999999997</v>
      </c>
      <c r="F43" s="1167"/>
      <c r="G43" s="1167"/>
      <c r="H43" s="1167">
        <f>(H30*H38)+((H31+H33-H35)*H39)</f>
        <v>493.28152573024818</v>
      </c>
      <c r="I43" s="1175">
        <v>591.19000000000005</v>
      </c>
      <c r="J43" s="1167">
        <f>(J30*J38)+((J31+J33)*J39)</f>
        <v>582.35444960425502</v>
      </c>
    </row>
    <row r="44" spans="1:11">
      <c r="A44" s="1129">
        <v>12</v>
      </c>
      <c r="B44" s="1163" t="s">
        <v>809</v>
      </c>
      <c r="C44" s="1142">
        <v>1919.09</v>
      </c>
      <c r="D44" s="1167">
        <v>1856.4</v>
      </c>
      <c r="E44" s="1167">
        <v>1856.4</v>
      </c>
      <c r="F44" s="1166"/>
      <c r="G44" s="1166"/>
      <c r="H44" s="1166">
        <f>D48</f>
        <v>1915.45</v>
      </c>
      <c r="I44" s="1165">
        <f>E48</f>
        <v>1922.0700000000002</v>
      </c>
      <c r="J44" s="1165">
        <f>H48</f>
        <v>2063.09</v>
      </c>
    </row>
    <row r="45" spans="1:11">
      <c r="A45" s="1129">
        <v>13</v>
      </c>
      <c r="B45" s="1163" t="s">
        <v>810</v>
      </c>
      <c r="C45" s="1142">
        <v>19.02</v>
      </c>
      <c r="D45" s="1167">
        <v>20.61</v>
      </c>
      <c r="E45" s="1167">
        <v>65.67</v>
      </c>
      <c r="F45" s="1166"/>
      <c r="G45" s="1166"/>
      <c r="H45" s="1166">
        <f>'[2]Capitalisation FY 2020-21'!$M$53</f>
        <v>65.94</v>
      </c>
      <c r="I45" s="1175">
        <v>0</v>
      </c>
      <c r="J45" s="1165"/>
    </row>
    <row r="46" spans="1:11">
      <c r="A46" s="1129">
        <v>14</v>
      </c>
      <c r="B46" s="1163" t="s">
        <v>2313</v>
      </c>
      <c r="C46" s="1142"/>
      <c r="D46" s="1167">
        <v>38.44</v>
      </c>
      <c r="E46" s="1167"/>
      <c r="F46" s="1166"/>
      <c r="G46" s="1166"/>
      <c r="H46" s="1166">
        <f>SUM('[2]Capitalisation FY 2020-21'!$M$96:$M$104)</f>
        <v>81.7</v>
      </c>
      <c r="I46" s="1175"/>
      <c r="J46" s="1165"/>
    </row>
    <row r="47" spans="1:11">
      <c r="A47" s="1129">
        <v>15</v>
      </c>
      <c r="B47" s="1163" t="s">
        <v>796</v>
      </c>
      <c r="C47" s="1142">
        <v>0</v>
      </c>
      <c r="D47" s="1168"/>
      <c r="E47" s="1168"/>
      <c r="F47" s="1168"/>
      <c r="G47" s="1168"/>
      <c r="H47" s="1168"/>
      <c r="I47" s="1141"/>
      <c r="J47" s="1141"/>
    </row>
    <row r="48" spans="1:11">
      <c r="A48" s="1129">
        <v>16</v>
      </c>
      <c r="B48" s="1163" t="s">
        <v>811</v>
      </c>
      <c r="C48" s="1160">
        <f>C44+C45-C47</f>
        <v>1938.11</v>
      </c>
      <c r="D48" s="1160">
        <f>D44+D45+D46-D47</f>
        <v>1915.45</v>
      </c>
      <c r="E48" s="1160">
        <f>E44+E45-E47</f>
        <v>1922.0700000000002</v>
      </c>
      <c r="F48" s="1160"/>
      <c r="G48" s="1160"/>
      <c r="H48" s="1160">
        <f>H44+H45+H46-H47</f>
        <v>2063.09</v>
      </c>
      <c r="I48" s="1160">
        <f>I44+I45-I47</f>
        <v>1922.0700000000002</v>
      </c>
      <c r="J48" s="1160">
        <f t="shared" ref="J48" si="6">J44+J45-J47</f>
        <v>2063.09</v>
      </c>
    </row>
    <row r="49" spans="1:12">
      <c r="A49" s="1129">
        <v>17</v>
      </c>
      <c r="B49" s="1163" t="s">
        <v>812</v>
      </c>
      <c r="C49" s="1169">
        <f>AVERAGE(C44,C48)</f>
        <v>1928.6</v>
      </c>
      <c r="D49" s="1169">
        <f>AVERAGE(D44,D48)</f>
        <v>1885.9250000000002</v>
      </c>
      <c r="E49" s="1169">
        <f>AVERAGE(E44,E48)</f>
        <v>1889.2350000000001</v>
      </c>
      <c r="F49" s="1157"/>
      <c r="G49" s="1157"/>
      <c r="H49" s="1160">
        <f>AVERAGE(H44,H48)</f>
        <v>1989.27</v>
      </c>
      <c r="I49" s="1169">
        <f>AVERAGE(I44,I48)</f>
        <v>1922.0700000000002</v>
      </c>
      <c r="J49" s="1160">
        <f>AVERAGE(J44,J48)</f>
        <v>2063.09</v>
      </c>
    </row>
    <row r="50" spans="1:12">
      <c r="A50" s="1129">
        <v>18</v>
      </c>
      <c r="B50" s="1163" t="s">
        <v>2315</v>
      </c>
      <c r="C50" s="1169"/>
      <c r="D50" s="1169">
        <f>D44*D38</f>
        <v>98.231210169687699</v>
      </c>
      <c r="E50" s="1169">
        <f>E44*E38</f>
        <v>89.849760000000003</v>
      </c>
      <c r="F50" s="1157"/>
      <c r="G50" s="1157"/>
      <c r="H50" s="1169">
        <f>H44*H38</f>
        <v>101.35583469054531</v>
      </c>
      <c r="I50" s="1169">
        <f>I44*I38</f>
        <v>98.602191000000005</v>
      </c>
      <c r="J50" s="1169">
        <f>J44*J38</f>
        <v>109.16818971610698</v>
      </c>
    </row>
    <row r="51" spans="1:12">
      <c r="A51" s="1129">
        <v>19</v>
      </c>
      <c r="B51" s="1163" t="s">
        <v>2316</v>
      </c>
      <c r="C51" s="1169"/>
      <c r="D51" s="1169">
        <f>(SUM(D45:D46)-D47)*D39</f>
        <v>2.3726106579566304</v>
      </c>
      <c r="E51" s="1169">
        <f>(SUM(E45:E46)-E47)*E39</f>
        <v>2.245914</v>
      </c>
      <c r="F51" s="1157"/>
      <c r="G51" s="1157"/>
      <c r="H51" s="1169">
        <f>(SUM(H45:H46)-H47)*H39</f>
        <v>5.9321293402322928</v>
      </c>
      <c r="I51" s="1169">
        <f>(I45*I39)*0</f>
        <v>0</v>
      </c>
      <c r="J51" s="1169">
        <f>(SUM(J45:J46)-J47)*J39</f>
        <v>0</v>
      </c>
    </row>
    <row r="52" spans="1:12" hidden="1">
      <c r="A52" s="1129"/>
      <c r="B52" s="1163"/>
      <c r="C52" s="1170"/>
      <c r="D52" s="1170"/>
      <c r="E52" s="1170"/>
      <c r="F52" s="1170"/>
      <c r="G52" s="1170"/>
      <c r="H52" s="1170"/>
      <c r="I52" s="1170"/>
      <c r="J52" s="1170"/>
    </row>
    <row r="53" spans="1:12">
      <c r="A53" s="1129">
        <v>20</v>
      </c>
      <c r="B53" s="1163" t="s">
        <v>802</v>
      </c>
      <c r="C53" s="1142">
        <v>99.17</v>
      </c>
      <c r="D53" s="1142">
        <f>D50+D51</f>
        <v>100.60382082764433</v>
      </c>
      <c r="E53" s="1142">
        <f>E50+E51</f>
        <v>92.095674000000002</v>
      </c>
      <c r="F53" s="1142"/>
      <c r="G53" s="1142"/>
      <c r="H53" s="1142">
        <f>H50+H51</f>
        <v>107.2879640307776</v>
      </c>
      <c r="I53" s="1142">
        <f>I49*I52</f>
        <v>0</v>
      </c>
      <c r="J53" s="1142">
        <f>J50+J51</f>
        <v>109.16818971610698</v>
      </c>
      <c r="L53" s="1146"/>
    </row>
    <row r="54" spans="1:12">
      <c r="A54" s="1129">
        <v>21</v>
      </c>
      <c r="B54" s="1163" t="s">
        <v>2317</v>
      </c>
      <c r="C54" s="1160">
        <f>C43-C53</f>
        <v>313.97999999999996</v>
      </c>
      <c r="D54" s="1160">
        <f>D43</f>
        <v>403.74248560484028</v>
      </c>
      <c r="E54" s="1160">
        <f>E43-E53</f>
        <v>330.48471599999993</v>
      </c>
      <c r="F54" s="1160"/>
      <c r="G54" s="1160"/>
      <c r="H54" s="1160">
        <f>H43</f>
        <v>493.28152573024818</v>
      </c>
      <c r="I54" s="1160">
        <f>I43-I53</f>
        <v>591.19000000000005</v>
      </c>
      <c r="J54" s="1160">
        <f>J43</f>
        <v>582.35444960425502</v>
      </c>
    </row>
    <row r="55" spans="1:12">
      <c r="A55" s="1129">
        <v>22</v>
      </c>
      <c r="B55" s="1163" t="s">
        <v>1402</v>
      </c>
      <c r="C55" s="1160"/>
      <c r="D55" s="1160">
        <f>D53</f>
        <v>100.60382082764433</v>
      </c>
      <c r="E55" s="1160"/>
      <c r="F55" s="1160"/>
      <c r="G55" s="1160"/>
      <c r="H55" s="1160">
        <f>H53</f>
        <v>107.2879640307776</v>
      </c>
      <c r="I55" s="1160"/>
      <c r="J55" s="1160">
        <f>J53</f>
        <v>109.16818971610698</v>
      </c>
    </row>
    <row r="56" spans="1:12">
      <c r="A56" s="1129">
        <v>23</v>
      </c>
      <c r="B56" s="1163" t="s">
        <v>1403</v>
      </c>
      <c r="C56" s="1160"/>
      <c r="D56" s="1160">
        <f>D54-D55</f>
        <v>303.13866477719597</v>
      </c>
      <c r="E56" s="1160"/>
      <c r="F56" s="1160"/>
      <c r="G56" s="1160"/>
      <c r="H56" s="1160">
        <f>H54-H55</f>
        <v>385.99356169947055</v>
      </c>
      <c r="I56" s="1160"/>
      <c r="J56" s="1160">
        <f>J54-J55</f>
        <v>473.18625988814802</v>
      </c>
    </row>
    <row r="57" spans="1:12">
      <c r="A57" s="1120" t="s">
        <v>2318</v>
      </c>
      <c r="D57" s="1146"/>
    </row>
    <row r="60" spans="1:12">
      <c r="J60" s="1176" t="s">
        <v>427</v>
      </c>
    </row>
  </sheetData>
  <mergeCells count="8">
    <mergeCell ref="A2:B2"/>
    <mergeCell ref="L3:M3"/>
    <mergeCell ref="I3:J3"/>
    <mergeCell ref="C18:D18"/>
    <mergeCell ref="E18:H18"/>
    <mergeCell ref="I18:J18"/>
    <mergeCell ref="B18:B19"/>
    <mergeCell ref="A18:A19"/>
  </mergeCells>
  <pageMargins left="0.25" right="0.25" top="0.75" bottom="0.75" header="0.3" footer="0.3"/>
  <pageSetup paperSize="9" scale="63" fitToHeight="0"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pageSetUpPr fitToPage="1"/>
  </sheetPr>
  <dimension ref="A1:V23"/>
  <sheetViews>
    <sheetView showGridLines="0" view="pageBreakPreview" topLeftCell="F1" zoomScaleNormal="100" zoomScaleSheetLayoutView="100" workbookViewId="0">
      <selection activeCell="K11" sqref="K11"/>
    </sheetView>
  </sheetViews>
  <sheetFormatPr defaultColWidth="9.140625" defaultRowHeight="15"/>
  <cols>
    <col min="1" max="1" width="9.140625" style="54"/>
    <col min="2" max="2" width="25.85546875" style="54" bestFit="1" customWidth="1"/>
    <col min="3" max="3" width="11.140625" style="54" bestFit="1" customWidth="1"/>
    <col min="4" max="4" width="10" style="54" bestFit="1" customWidth="1"/>
    <col min="5" max="5" width="7.7109375" style="54" bestFit="1" customWidth="1"/>
    <col min="6" max="7" width="10.28515625" style="54" bestFit="1" customWidth="1"/>
    <col min="8" max="8" width="9.28515625" style="54" bestFit="1" customWidth="1"/>
    <col min="9" max="9" width="8.7109375" style="54" bestFit="1" customWidth="1"/>
    <col min="10" max="10" width="9.28515625" style="54" bestFit="1" customWidth="1"/>
    <col min="11" max="12" width="10.28515625" style="54" bestFit="1" customWidth="1"/>
    <col min="13" max="13" width="9.28515625" style="54" bestFit="1" customWidth="1"/>
    <col min="14" max="14" width="8.7109375" style="54" bestFit="1" customWidth="1"/>
    <col min="15" max="15" width="5.5703125" style="54" bestFit="1" customWidth="1"/>
    <col min="16" max="17" width="6.140625" style="54" bestFit="1" customWidth="1"/>
    <col min="18" max="18" width="9.28515625" style="54" bestFit="1" customWidth="1"/>
    <col min="19" max="19" width="8.7109375" style="54" bestFit="1" customWidth="1"/>
    <col min="20" max="20" width="6.7109375" style="54" bestFit="1" customWidth="1"/>
    <col min="21" max="21" width="9.28515625" style="54" bestFit="1" customWidth="1"/>
    <col min="22" max="22" width="10.7109375" style="54" bestFit="1" customWidth="1"/>
    <col min="23" max="16384" width="9.140625" style="54"/>
  </cols>
  <sheetData>
    <row r="1" spans="1:22" ht="21" customHeight="1">
      <c r="A1" s="1586" t="s">
        <v>1233</v>
      </c>
      <c r="B1" s="1586"/>
      <c r="C1" s="1586"/>
      <c r="D1" s="1586"/>
      <c r="E1" s="1586"/>
    </row>
    <row r="2" spans="1:22" ht="21" customHeight="1">
      <c r="A2" s="1527" t="s">
        <v>1802</v>
      </c>
      <c r="B2" s="1527"/>
      <c r="C2" s="1527"/>
      <c r="D2" s="1527"/>
      <c r="E2" s="1527"/>
      <c r="F2" s="1527"/>
      <c r="G2" s="1527"/>
      <c r="H2" s="1527"/>
      <c r="I2" s="1527"/>
      <c r="J2" s="1527"/>
      <c r="K2" s="1527"/>
      <c r="L2" s="1527"/>
      <c r="M2" s="1026"/>
      <c r="V2" s="407" t="s">
        <v>895</v>
      </c>
    </row>
    <row r="3" spans="1:22" ht="21" customHeight="1" thickBot="1">
      <c r="D3" s="1587"/>
      <c r="E3" s="1587"/>
    </row>
    <row r="4" spans="1:22" s="59" customFormat="1" ht="21" customHeight="1">
      <c r="A4" s="1594" t="s">
        <v>651</v>
      </c>
      <c r="B4" s="1594" t="s">
        <v>780</v>
      </c>
      <c r="C4" s="1588" t="s">
        <v>813</v>
      </c>
      <c r="D4" s="1589"/>
      <c r="E4" s="1589"/>
      <c r="F4" s="1589"/>
      <c r="G4" s="1590"/>
      <c r="H4" s="1588" t="s">
        <v>72</v>
      </c>
      <c r="I4" s="1589"/>
      <c r="J4" s="1589"/>
      <c r="K4" s="1589"/>
      <c r="L4" s="1590"/>
      <c r="M4" s="1588" t="s">
        <v>813</v>
      </c>
      <c r="N4" s="1589"/>
      <c r="O4" s="1589"/>
      <c r="P4" s="1589"/>
      <c r="Q4" s="1590"/>
      <c r="R4" s="1588" t="s">
        <v>813</v>
      </c>
      <c r="S4" s="1589"/>
      <c r="T4" s="1589"/>
      <c r="U4" s="1589"/>
      <c r="V4" s="1590"/>
    </row>
    <row r="5" spans="1:22" s="59" customFormat="1" ht="22.5" customHeight="1" thickBot="1">
      <c r="A5" s="1595"/>
      <c r="B5" s="1595"/>
      <c r="C5" s="1591" t="s">
        <v>814</v>
      </c>
      <c r="D5" s="1592"/>
      <c r="E5" s="1592"/>
      <c r="F5" s="1592"/>
      <c r="G5" s="1593"/>
      <c r="H5" s="1591" t="s">
        <v>1619</v>
      </c>
      <c r="I5" s="1592"/>
      <c r="J5" s="1592"/>
      <c r="K5" s="1592"/>
      <c r="L5" s="1593"/>
      <c r="M5" s="1591" t="s">
        <v>815</v>
      </c>
      <c r="N5" s="1592"/>
      <c r="O5" s="1592"/>
      <c r="P5" s="1592"/>
      <c r="Q5" s="1593"/>
      <c r="R5" s="1591" t="s">
        <v>816</v>
      </c>
      <c r="S5" s="1592"/>
      <c r="T5" s="1592"/>
      <c r="U5" s="1592"/>
      <c r="V5" s="1593"/>
    </row>
    <row r="6" spans="1:22" s="59" customFormat="1" ht="39" thickBot="1">
      <c r="A6" s="1596"/>
      <c r="B6" s="1596"/>
      <c r="C6" s="1282" t="s">
        <v>785</v>
      </c>
      <c r="D6" s="1282" t="s">
        <v>786</v>
      </c>
      <c r="E6" s="1282" t="s">
        <v>653</v>
      </c>
      <c r="F6" s="1282" t="s">
        <v>244</v>
      </c>
      <c r="G6" s="1282" t="s">
        <v>68</v>
      </c>
      <c r="H6" s="1282" t="s">
        <v>785</v>
      </c>
      <c r="I6" s="1282" t="s">
        <v>786</v>
      </c>
      <c r="J6" s="1282" t="s">
        <v>653</v>
      </c>
      <c r="K6" s="1282" t="s">
        <v>244</v>
      </c>
      <c r="L6" s="1282" t="s">
        <v>68</v>
      </c>
      <c r="M6" s="1282" t="s">
        <v>785</v>
      </c>
      <c r="N6" s="1282" t="s">
        <v>786</v>
      </c>
      <c r="O6" s="1282" t="s">
        <v>653</v>
      </c>
      <c r="P6" s="1282" t="s">
        <v>244</v>
      </c>
      <c r="Q6" s="1282" t="s">
        <v>68</v>
      </c>
      <c r="R6" s="1282" t="s">
        <v>785</v>
      </c>
      <c r="S6" s="1282" t="s">
        <v>786</v>
      </c>
      <c r="T6" s="1282" t="s">
        <v>653</v>
      </c>
      <c r="U6" s="1282" t="s">
        <v>244</v>
      </c>
      <c r="V6" s="1282" t="s">
        <v>68</v>
      </c>
    </row>
    <row r="7" spans="1:22" ht="15.75" thickBot="1">
      <c r="A7" s="1283">
        <v>1</v>
      </c>
      <c r="B7" s="1284">
        <v>2</v>
      </c>
      <c r="C7" s="1284">
        <v>3</v>
      </c>
      <c r="D7" s="1285">
        <v>4</v>
      </c>
      <c r="E7" s="1285">
        <v>5</v>
      </c>
      <c r="F7" s="1285">
        <v>6</v>
      </c>
      <c r="G7" s="1285"/>
      <c r="H7" s="1284">
        <v>8</v>
      </c>
      <c r="I7" s="1285">
        <v>9</v>
      </c>
      <c r="J7" s="1285">
        <v>10</v>
      </c>
      <c r="K7" s="1285">
        <v>11</v>
      </c>
      <c r="L7" s="1285"/>
      <c r="M7" s="1284">
        <v>12</v>
      </c>
      <c r="N7" s="1285">
        <v>13</v>
      </c>
      <c r="O7" s="1285">
        <v>14</v>
      </c>
      <c r="P7" s="1285">
        <v>15</v>
      </c>
      <c r="Q7" s="1285"/>
      <c r="R7" s="1286">
        <v>16</v>
      </c>
      <c r="S7" s="1286">
        <v>17</v>
      </c>
      <c r="T7" s="1286">
        <v>18</v>
      </c>
      <c r="U7" s="1286">
        <v>19</v>
      </c>
      <c r="V7" s="1286"/>
    </row>
    <row r="8" spans="1:22" ht="15.75" thickBot="1">
      <c r="A8" s="1283">
        <v>1</v>
      </c>
      <c r="B8" s="1287" t="s">
        <v>787</v>
      </c>
      <c r="C8" s="1288">
        <v>0</v>
      </c>
      <c r="D8" s="1289"/>
      <c r="E8" s="1289"/>
      <c r="F8" s="1289"/>
      <c r="G8" s="1289">
        <f>[5]Consolidated!$I10/10000000</f>
        <v>29.883332899999999</v>
      </c>
      <c r="H8" s="1288"/>
      <c r="I8" s="1289"/>
      <c r="J8" s="1289"/>
      <c r="K8" s="1289"/>
      <c r="L8" s="1289">
        <f>[5]Consolidated!$J10/10000000</f>
        <v>1.9739788</v>
      </c>
      <c r="M8" s="1288"/>
      <c r="N8" s="1289"/>
      <c r="O8" s="1289"/>
      <c r="P8" s="1289"/>
      <c r="Q8" s="1289">
        <f>[5]Consolidated!$K10/10000000</f>
        <v>0</v>
      </c>
      <c r="R8" s="1289"/>
      <c r="S8" s="1289"/>
      <c r="T8" s="1289"/>
      <c r="U8" s="1289"/>
      <c r="V8" s="1289">
        <f>G8+L8-Q8</f>
        <v>31.8573117</v>
      </c>
    </row>
    <row r="9" spans="1:22" ht="15.75" thickBot="1">
      <c r="A9" s="1283">
        <v>2</v>
      </c>
      <c r="B9" s="1287" t="s">
        <v>788</v>
      </c>
      <c r="C9" s="1288">
        <v>0</v>
      </c>
      <c r="D9" s="1289"/>
      <c r="E9" s="1289"/>
      <c r="F9" s="1289"/>
      <c r="G9" s="1289">
        <f>[5]Consolidated!$I11/10000000</f>
        <v>2.70928E-2</v>
      </c>
      <c r="H9" s="1288"/>
      <c r="I9" s="1289"/>
      <c r="J9" s="1289"/>
      <c r="K9" s="1289"/>
      <c r="L9" s="1289">
        <f>[5]Consolidated!$J11/10000000</f>
        <v>1.6195000000000001E-3</v>
      </c>
      <c r="M9" s="1288"/>
      <c r="N9" s="1289"/>
      <c r="O9" s="1289"/>
      <c r="P9" s="1289"/>
      <c r="Q9" s="1289">
        <f>[5]Consolidated!$K11/10000000</f>
        <v>0</v>
      </c>
      <c r="R9" s="1289"/>
      <c r="S9" s="1289"/>
      <c r="T9" s="1289"/>
      <c r="U9" s="1289"/>
      <c r="V9" s="1289">
        <f t="shared" ref="V9:V17" si="0">G9+L9-Q9</f>
        <v>2.87123E-2</v>
      </c>
    </row>
    <row r="10" spans="1:22" ht="15.75" thickBot="1">
      <c r="A10" s="1283">
        <v>3</v>
      </c>
      <c r="B10" s="1287" t="s">
        <v>789</v>
      </c>
      <c r="C10" s="1288">
        <v>0</v>
      </c>
      <c r="D10" s="1289"/>
      <c r="E10" s="1289"/>
      <c r="F10" s="1289"/>
      <c r="G10" s="1289">
        <f>[5]Consolidated!$I12/10000000</f>
        <v>47.182519200000002</v>
      </c>
      <c r="H10" s="1288"/>
      <c r="I10" s="1289"/>
      <c r="J10" s="1289"/>
      <c r="K10" s="1289"/>
      <c r="L10" s="1289">
        <f>[5]Consolidated!$J12/10000000</f>
        <v>8.7421932000000009</v>
      </c>
      <c r="M10" s="1288"/>
      <c r="N10" s="1289"/>
      <c r="O10" s="1289"/>
      <c r="P10" s="1289"/>
      <c r="Q10" s="1289">
        <f>[5]Consolidated!$K12/10000000</f>
        <v>0</v>
      </c>
      <c r="R10" s="1289"/>
      <c r="S10" s="1289"/>
      <c r="T10" s="1289"/>
      <c r="U10" s="1289"/>
      <c r="V10" s="1289">
        <f t="shared" si="0"/>
        <v>55.924712400000004</v>
      </c>
    </row>
    <row r="11" spans="1:22" ht="15.75" thickBot="1">
      <c r="A11" s="1283">
        <v>4</v>
      </c>
      <c r="B11" s="1287" t="s">
        <v>790</v>
      </c>
      <c r="C11" s="1288">
        <v>0</v>
      </c>
      <c r="D11" s="1289"/>
      <c r="E11" s="1289"/>
      <c r="F11" s="1289"/>
      <c r="G11" s="1289">
        <f>[5]Consolidated!$I13/10000000</f>
        <v>785.27123571899983</v>
      </c>
      <c r="H11" s="1288"/>
      <c r="I11" s="1289"/>
      <c r="J11" s="1289"/>
      <c r="K11" s="1289"/>
      <c r="L11" s="1289">
        <f>[5]Consolidated!$J13/10000000</f>
        <v>198.91305539999999</v>
      </c>
      <c r="M11" s="1288"/>
      <c r="N11" s="1289"/>
      <c r="O11" s="1289"/>
      <c r="P11" s="1289"/>
      <c r="Q11" s="1289">
        <f>[5]Consolidated!$K13/10000000</f>
        <v>0.77973599999999998</v>
      </c>
      <c r="R11" s="1289"/>
      <c r="S11" s="1289"/>
      <c r="T11" s="1289"/>
      <c r="U11" s="1289"/>
      <c r="V11" s="1289">
        <f t="shared" si="0"/>
        <v>983.40455511899984</v>
      </c>
    </row>
    <row r="12" spans="1:22" ht="15.75" thickBot="1">
      <c r="A12" s="1283">
        <v>5</v>
      </c>
      <c r="B12" s="1287" t="s">
        <v>791</v>
      </c>
      <c r="C12" s="1288">
        <v>0</v>
      </c>
      <c r="D12" s="1289"/>
      <c r="E12" s="1289"/>
      <c r="F12" s="1289"/>
      <c r="G12" s="1289">
        <f>[5]Consolidated!$I14/10000000</f>
        <v>786.00377471600007</v>
      </c>
      <c r="H12" s="1288"/>
      <c r="I12" s="1289"/>
      <c r="J12" s="1289"/>
      <c r="K12" s="1289"/>
      <c r="L12" s="1289">
        <f>[5]Consolidated!$J14/10000000</f>
        <v>187.8865266</v>
      </c>
      <c r="M12" s="1288"/>
      <c r="N12" s="1289"/>
      <c r="O12" s="1289"/>
      <c r="P12" s="1289"/>
      <c r="Q12" s="1289">
        <f>[5]Consolidated!$K14/10000000</f>
        <v>8.2643760000000004</v>
      </c>
      <c r="R12" s="1289"/>
      <c r="S12" s="1289"/>
      <c r="T12" s="1289"/>
      <c r="U12" s="1289"/>
      <c r="V12" s="1289">
        <f t="shared" si="0"/>
        <v>965.62592531600012</v>
      </c>
    </row>
    <row r="13" spans="1:22" ht="15.75" thickBot="1">
      <c r="A13" s="1283">
        <v>6</v>
      </c>
      <c r="B13" s="1287" t="s">
        <v>792</v>
      </c>
      <c r="C13" s="1288">
        <v>0</v>
      </c>
      <c r="D13" s="1289"/>
      <c r="E13" s="1289"/>
      <c r="F13" s="1289"/>
      <c r="G13" s="1289">
        <f>[5]Consolidated!$I15/10000000</f>
        <v>0.45269846699999999</v>
      </c>
      <c r="H13" s="1288"/>
      <c r="I13" s="1289"/>
      <c r="J13" s="1289"/>
      <c r="K13" s="1289"/>
      <c r="L13" s="1289">
        <f>[5]Consolidated!$J15/10000000</f>
        <v>0</v>
      </c>
      <c r="M13" s="1288"/>
      <c r="N13" s="1289"/>
      <c r="O13" s="1289"/>
      <c r="P13" s="1289"/>
      <c r="Q13" s="1289">
        <f>[5]Consolidated!$K15/10000000</f>
        <v>0</v>
      </c>
      <c r="R13" s="1289"/>
      <c r="S13" s="1289"/>
      <c r="T13" s="1289"/>
      <c r="U13" s="1289"/>
      <c r="V13" s="1289">
        <f t="shared" si="0"/>
        <v>0.45269846699999999</v>
      </c>
    </row>
    <row r="14" spans="1:22" ht="15.75" thickBot="1">
      <c r="A14" s="1283">
        <v>7</v>
      </c>
      <c r="B14" s="1287" t="s">
        <v>684</v>
      </c>
      <c r="C14" s="1288">
        <v>0</v>
      </c>
      <c r="D14" s="1289"/>
      <c r="E14" s="1289"/>
      <c r="F14" s="1289"/>
      <c r="G14" s="1289">
        <f>[5]Consolidated!$I16/10000000</f>
        <v>1.7918635000000001</v>
      </c>
      <c r="H14" s="1288"/>
      <c r="I14" s="1289"/>
      <c r="J14" s="1289"/>
      <c r="K14" s="1289"/>
      <c r="L14" s="1289">
        <f>[5]Consolidated!$J16/10000000</f>
        <v>0.52261170000000001</v>
      </c>
      <c r="M14" s="1288"/>
      <c r="N14" s="1289"/>
      <c r="O14" s="1289"/>
      <c r="P14" s="1289"/>
      <c r="Q14" s="1289">
        <f>[5]Consolidated!$K16/10000000</f>
        <v>2.7E-4</v>
      </c>
      <c r="R14" s="1289"/>
      <c r="S14" s="1289"/>
      <c r="T14" s="1289"/>
      <c r="U14" s="1289"/>
      <c r="V14" s="1289">
        <f t="shared" si="0"/>
        <v>2.3142052</v>
      </c>
    </row>
    <row r="15" spans="1:22" ht="15.75" thickBot="1">
      <c r="A15" s="1283">
        <v>8</v>
      </c>
      <c r="B15" s="1287" t="s">
        <v>793</v>
      </c>
      <c r="C15" s="1288">
        <v>0</v>
      </c>
      <c r="D15" s="1289"/>
      <c r="E15" s="1289"/>
      <c r="F15" s="1289"/>
      <c r="G15" s="1289">
        <f>[5]Consolidated!$I17/10000000</f>
        <v>0.39127319199999999</v>
      </c>
      <c r="H15" s="1288"/>
      <c r="I15" s="1289"/>
      <c r="J15" s="1289"/>
      <c r="K15" s="1289"/>
      <c r="L15" s="1289">
        <f>[5]Consolidated!$J17/10000000</f>
        <v>9.0638800000000005E-2</v>
      </c>
      <c r="M15" s="1288"/>
      <c r="N15" s="1289"/>
      <c r="O15" s="1289"/>
      <c r="P15" s="1289"/>
      <c r="Q15" s="1289">
        <f>[5]Consolidated!$K17/10000000</f>
        <v>0</v>
      </c>
      <c r="R15" s="1289"/>
      <c r="S15" s="1289"/>
      <c r="T15" s="1289"/>
      <c r="U15" s="1289"/>
      <c r="V15" s="1289">
        <f t="shared" si="0"/>
        <v>0.48191199200000001</v>
      </c>
    </row>
    <row r="16" spans="1:22" ht="15.75" thickBot="1">
      <c r="A16" s="1283">
        <v>9</v>
      </c>
      <c r="B16" s="1287" t="s">
        <v>794</v>
      </c>
      <c r="C16" s="1288">
        <v>0</v>
      </c>
      <c r="D16" s="1289"/>
      <c r="E16" s="1289"/>
      <c r="F16" s="1289"/>
      <c r="G16" s="1289">
        <f>[5]Consolidated!$I18/10000000</f>
        <v>0.46360787400000003</v>
      </c>
      <c r="H16" s="1288"/>
      <c r="I16" s="1289"/>
      <c r="J16" s="1289"/>
      <c r="K16" s="1289"/>
      <c r="L16" s="1289">
        <f>[5]Consolidated!$J18/10000000</f>
        <v>0.39412150000000001</v>
      </c>
      <c r="M16" s="1288"/>
      <c r="N16" s="1289"/>
      <c r="O16" s="1289"/>
      <c r="P16" s="1289"/>
      <c r="Q16" s="1289">
        <f>[5]Consolidated!$K18/10000000</f>
        <v>0</v>
      </c>
      <c r="R16" s="1289"/>
      <c r="S16" s="1289"/>
      <c r="T16" s="1289"/>
      <c r="U16" s="1289"/>
      <c r="V16" s="1289">
        <f t="shared" si="0"/>
        <v>0.85772937400000004</v>
      </c>
    </row>
    <row r="17" spans="1:22" ht="15.75" thickBot="1">
      <c r="A17" s="1283">
        <v>10</v>
      </c>
      <c r="B17" s="1287" t="s">
        <v>795</v>
      </c>
      <c r="C17" s="1288">
        <v>0</v>
      </c>
      <c r="D17" s="1289"/>
      <c r="E17" s="1289"/>
      <c r="F17" s="1289"/>
      <c r="G17" s="1289">
        <f t="shared" ref="G17" si="1">SUM(C17:F17)</f>
        <v>0</v>
      </c>
      <c r="H17" s="1288"/>
      <c r="I17" s="1289"/>
      <c r="J17" s="1289"/>
      <c r="K17" s="1289"/>
      <c r="L17" s="1289"/>
      <c r="M17" s="1288"/>
      <c r="N17" s="1289"/>
      <c r="O17" s="1289"/>
      <c r="P17" s="1289"/>
      <c r="Q17" s="1289">
        <f t="shared" ref="Q17" si="2">SUM(M17:P17)</f>
        <v>0</v>
      </c>
      <c r="R17" s="1289"/>
      <c r="S17" s="1289"/>
      <c r="T17" s="1289"/>
      <c r="U17" s="1289"/>
      <c r="V17" s="1289">
        <f t="shared" si="0"/>
        <v>0</v>
      </c>
    </row>
    <row r="18" spans="1:22" ht="15.75" thickBot="1">
      <c r="A18" s="1283"/>
      <c r="B18" s="1290" t="s">
        <v>68</v>
      </c>
      <c r="C18" s="1288">
        <f>SUM(C8:C17)</f>
        <v>0</v>
      </c>
      <c r="D18" s="1288"/>
      <c r="E18" s="1288"/>
      <c r="F18" s="1288"/>
      <c r="G18" s="1288">
        <f t="shared" ref="G18:V18" si="3">SUM(G8:G17)</f>
        <v>1651.4673983679997</v>
      </c>
      <c r="H18" s="1288"/>
      <c r="I18" s="1288"/>
      <c r="J18" s="1288"/>
      <c r="K18" s="1288"/>
      <c r="L18" s="1288">
        <f t="shared" si="3"/>
        <v>398.52474549999999</v>
      </c>
      <c r="M18" s="1288"/>
      <c r="N18" s="1288"/>
      <c r="O18" s="1288"/>
      <c r="P18" s="1288"/>
      <c r="Q18" s="1288">
        <f t="shared" si="3"/>
        <v>9.0443820000000006</v>
      </c>
      <c r="R18" s="1288"/>
      <c r="S18" s="1288"/>
      <c r="T18" s="1288"/>
      <c r="U18" s="1288"/>
      <c r="V18" s="1288">
        <f t="shared" si="3"/>
        <v>2040.947761868</v>
      </c>
    </row>
    <row r="23" spans="1:22" ht="15.75">
      <c r="R23" s="1572" t="s">
        <v>427</v>
      </c>
      <c r="S23" s="1572"/>
      <c r="T23" s="1572"/>
      <c r="U23" s="1572"/>
    </row>
  </sheetData>
  <mergeCells count="14">
    <mergeCell ref="R23:U23"/>
    <mergeCell ref="M4:Q4"/>
    <mergeCell ref="M5:Q5"/>
    <mergeCell ref="R4:V4"/>
    <mergeCell ref="R5:V5"/>
    <mergeCell ref="A1:E1"/>
    <mergeCell ref="D3:E3"/>
    <mergeCell ref="C4:G4"/>
    <mergeCell ref="C5:G5"/>
    <mergeCell ref="B4:B6"/>
    <mergeCell ref="A4:A6"/>
    <mergeCell ref="A2:L2"/>
    <mergeCell ref="H4:L4"/>
    <mergeCell ref="H5:L5"/>
  </mergeCells>
  <pageMargins left="0.33" right="0.39" top="0.74803149606299213" bottom="0.74803149606299213" header="0.31496062992125984" footer="0.31496062992125984"/>
  <pageSetup paperSize="9" scale="65"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G20"/>
  <sheetViews>
    <sheetView showGridLines="0" view="pageBreakPreview" zoomScale="80" zoomScaleNormal="85" zoomScaleSheetLayoutView="80" workbookViewId="0">
      <selection activeCell="A6" sqref="A6:F7"/>
    </sheetView>
  </sheetViews>
  <sheetFormatPr defaultColWidth="9.140625" defaultRowHeight="15"/>
  <cols>
    <col min="1" max="1" width="9.7109375" style="336" customWidth="1"/>
    <col min="2" max="2" width="25.85546875" style="336" bestFit="1" customWidth="1"/>
    <col min="3" max="4" width="16.140625" style="336" customWidth="1"/>
    <col min="5" max="5" width="16.140625" style="336" bestFit="1" customWidth="1"/>
    <col min="6" max="6" width="19.42578125" style="336" customWidth="1"/>
    <col min="7" max="16384" width="9.140625" style="336"/>
  </cols>
  <sheetData>
    <row r="1" spans="1:7" s="95" customFormat="1" ht="21" customHeight="1">
      <c r="A1" s="1379" t="s">
        <v>1233</v>
      </c>
      <c r="B1" s="1600"/>
      <c r="C1" s="1600"/>
      <c r="D1" s="1600"/>
      <c r="E1" s="1600"/>
      <c r="F1" s="1600"/>
    </row>
    <row r="2" spans="1:7" s="95" customFormat="1" ht="21" customHeight="1">
      <c r="A2" s="1602" t="s">
        <v>932</v>
      </c>
      <c r="B2" s="1602"/>
      <c r="C2" s="1602"/>
      <c r="D2" s="1602"/>
      <c r="E2" s="1525" t="s">
        <v>896</v>
      </c>
      <c r="F2" s="1525"/>
    </row>
    <row r="3" spans="1:7" ht="21" customHeight="1">
      <c r="A3" s="71"/>
      <c r="B3" s="1476"/>
      <c r="C3" s="1476"/>
      <c r="D3" s="1476"/>
      <c r="E3" s="1524" t="s">
        <v>345</v>
      </c>
      <c r="F3" s="1524"/>
    </row>
    <row r="4" spans="1:7" ht="21" customHeight="1">
      <c r="A4" s="102"/>
      <c r="B4" s="210" t="s">
        <v>182</v>
      </c>
      <c r="C4" s="408"/>
      <c r="D4" s="408"/>
      <c r="E4" s="408"/>
      <c r="F4" s="236"/>
      <c r="G4" s="73"/>
    </row>
    <row r="5" spans="1:7" ht="66.75" customHeight="1">
      <c r="A5" s="209" t="s">
        <v>183</v>
      </c>
      <c r="B5" s="330" t="s">
        <v>184</v>
      </c>
      <c r="C5" s="330" t="s">
        <v>185</v>
      </c>
      <c r="D5" s="330" t="s">
        <v>186</v>
      </c>
      <c r="E5" s="330" t="s">
        <v>187</v>
      </c>
      <c r="F5" s="330" t="s">
        <v>188</v>
      </c>
      <c r="G5" s="73"/>
    </row>
    <row r="6" spans="1:7" ht="21" customHeight="1">
      <c r="A6" s="1603" t="s">
        <v>353</v>
      </c>
      <c r="B6" s="1604"/>
      <c r="C6" s="1604"/>
      <c r="D6" s="1604"/>
      <c r="E6" s="1604"/>
      <c r="F6" s="1605"/>
      <c r="G6" s="73"/>
    </row>
    <row r="7" spans="1:7" ht="21" customHeight="1">
      <c r="A7" s="1606"/>
      <c r="B7" s="1607"/>
      <c r="C7" s="1607"/>
      <c r="D7" s="1607"/>
      <c r="E7" s="1607"/>
      <c r="F7" s="1608"/>
    </row>
    <row r="8" spans="1:7" ht="21" customHeight="1" thickBot="1">
      <c r="A8" s="142"/>
      <c r="B8" s="142"/>
      <c r="C8" s="237">
        <f>SUM(C6:C7)</f>
        <v>0</v>
      </c>
      <c r="D8" s="237"/>
      <c r="E8" s="237">
        <f>SUM(E6:E7)</f>
        <v>0</v>
      </c>
      <c r="F8" s="237">
        <f>SUM(F6:F7)</f>
        <v>0</v>
      </c>
    </row>
    <row r="9" spans="1:7" ht="21" customHeight="1" thickTop="1">
      <c r="A9" s="1597" t="s">
        <v>352</v>
      </c>
      <c r="B9" s="1598"/>
      <c r="C9" s="1598"/>
      <c r="D9" s="1598"/>
      <c r="E9" s="1598"/>
      <c r="F9" s="1599"/>
    </row>
    <row r="10" spans="1:7" ht="21" customHeight="1">
      <c r="A10" s="73"/>
      <c r="B10" s="73"/>
      <c r="C10" s="73"/>
      <c r="D10" s="73"/>
      <c r="E10" s="73"/>
      <c r="F10" s="73"/>
    </row>
    <row r="11" spans="1:7" ht="21" customHeight="1">
      <c r="A11" s="73"/>
      <c r="B11" s="73"/>
      <c r="C11" s="73"/>
      <c r="D11" s="73"/>
      <c r="E11" s="1601" t="s">
        <v>427</v>
      </c>
      <c r="F11" s="1601"/>
    </row>
    <row r="12" spans="1:7" ht="21" customHeight="1">
      <c r="A12" s="73"/>
      <c r="B12" s="73"/>
      <c r="C12" s="73"/>
      <c r="D12" s="73"/>
      <c r="E12" s="333"/>
      <c r="F12" s="333"/>
    </row>
    <row r="13" spans="1:7" ht="21" hidden="1" customHeight="1">
      <c r="A13" s="73"/>
      <c r="B13" s="73"/>
      <c r="C13" s="73"/>
      <c r="D13" s="73"/>
      <c r="E13" s="333"/>
      <c r="F13" s="333"/>
    </row>
    <row r="14" spans="1:7" ht="21" hidden="1" customHeight="1">
      <c r="A14" s="194" t="s">
        <v>212</v>
      </c>
      <c r="B14" s="194"/>
      <c r="C14" s="194"/>
      <c r="D14" s="194"/>
      <c r="E14" s="194"/>
      <c r="F14" s="194"/>
    </row>
    <row r="15" spans="1:7" ht="21" hidden="1" customHeight="1">
      <c r="A15" s="332">
        <v>1</v>
      </c>
      <c r="B15" s="214" t="s">
        <v>364</v>
      </c>
      <c r="C15" s="1510" t="s">
        <v>382</v>
      </c>
      <c r="D15" s="1569"/>
      <c r="E15" s="1569"/>
      <c r="F15" s="1513"/>
    </row>
    <row r="16" spans="1:7" ht="21" hidden="1" customHeight="1">
      <c r="A16" s="332">
        <v>2</v>
      </c>
      <c r="B16" s="215" t="s">
        <v>368</v>
      </c>
      <c r="C16" s="1510" t="s">
        <v>153</v>
      </c>
      <c r="D16" s="1569"/>
      <c r="E16" s="1569"/>
      <c r="F16" s="1513"/>
    </row>
    <row r="17" spans="1:6" ht="21" hidden="1" customHeight="1">
      <c r="A17" s="332">
        <v>3</v>
      </c>
      <c r="B17" s="215" t="s">
        <v>355</v>
      </c>
      <c r="C17" s="1510" t="s">
        <v>429</v>
      </c>
      <c r="D17" s="1569"/>
      <c r="E17" s="1569"/>
      <c r="F17" s="1513"/>
    </row>
    <row r="18" spans="1:6" ht="21" hidden="1" customHeight="1">
      <c r="A18" s="332">
        <v>4</v>
      </c>
      <c r="B18" s="215" t="s">
        <v>356</v>
      </c>
      <c r="C18" s="1510" t="s">
        <v>430</v>
      </c>
      <c r="D18" s="1569"/>
      <c r="E18" s="1569"/>
      <c r="F18" s="1513"/>
    </row>
    <row r="19" spans="1:6" ht="21" hidden="1" customHeight="1">
      <c r="A19" s="332">
        <v>5</v>
      </c>
      <c r="B19" s="215" t="s">
        <v>357</v>
      </c>
      <c r="C19" s="1510"/>
      <c r="D19" s="1569"/>
      <c r="E19" s="1569"/>
      <c r="F19" s="1513"/>
    </row>
    <row r="20" spans="1:6" hidden="1"/>
  </sheetData>
  <mergeCells count="13">
    <mergeCell ref="C18:F18"/>
    <mergeCell ref="C19:F19"/>
    <mergeCell ref="A9:F9"/>
    <mergeCell ref="A1:F1"/>
    <mergeCell ref="E11:F11"/>
    <mergeCell ref="C15:F15"/>
    <mergeCell ref="C16:F16"/>
    <mergeCell ref="C17:F17"/>
    <mergeCell ref="A2:D2"/>
    <mergeCell ref="E2:F2"/>
    <mergeCell ref="E3:F3"/>
    <mergeCell ref="A6:F7"/>
    <mergeCell ref="B3:D3"/>
  </mergeCells>
  <pageMargins left="0.44" right="0.31" top="0.74803149606299213"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I28"/>
  <sheetViews>
    <sheetView showGridLines="0" view="pageBreakPreview" zoomScale="60" zoomScaleNormal="100" workbookViewId="0">
      <selection activeCell="C8" sqref="C8"/>
    </sheetView>
  </sheetViews>
  <sheetFormatPr defaultColWidth="9.140625" defaultRowHeight="15"/>
  <cols>
    <col min="1" max="1" width="6.140625" style="242" customWidth="1"/>
    <col min="2" max="2" width="30.7109375" style="143" customWidth="1"/>
    <col min="3" max="9" width="15.42578125" style="143" customWidth="1"/>
    <col min="10" max="16384" width="9.140625" style="336"/>
  </cols>
  <sheetData>
    <row r="1" spans="1:9" ht="21" customHeight="1">
      <c r="A1" s="1612" t="s">
        <v>1233</v>
      </c>
      <c r="B1" s="1613"/>
      <c r="C1" s="1613"/>
      <c r="D1" s="1613"/>
      <c r="E1" s="1613"/>
      <c r="F1" s="1613"/>
      <c r="G1" s="1613"/>
      <c r="H1" s="1613"/>
      <c r="I1" s="1613"/>
    </row>
    <row r="2" spans="1:9" ht="21" customHeight="1">
      <c r="A2" s="1610" t="s">
        <v>645</v>
      </c>
      <c r="B2" s="1611"/>
      <c r="C2" s="1611"/>
      <c r="D2" s="1611"/>
      <c r="E2" s="1611"/>
      <c r="F2" s="1611"/>
      <c r="G2" s="1611"/>
      <c r="H2" s="1611"/>
      <c r="I2" s="240" t="s">
        <v>555</v>
      </c>
    </row>
    <row r="3" spans="1:9" ht="23.25" customHeight="1">
      <c r="A3" s="1616"/>
      <c r="B3" s="1617" t="s">
        <v>48</v>
      </c>
      <c r="C3" s="1614" t="s">
        <v>1346</v>
      </c>
      <c r="D3" s="1619"/>
      <c r="E3" s="1620"/>
      <c r="F3" s="1621" t="s">
        <v>1173</v>
      </c>
      <c r="G3" s="1622"/>
      <c r="H3" s="1614" t="s">
        <v>1174</v>
      </c>
      <c r="I3" s="1615"/>
    </row>
    <row r="4" spans="1:9" ht="61.5" customHeight="1">
      <c r="A4" s="1616"/>
      <c r="B4" s="1618"/>
      <c r="C4" s="409" t="s">
        <v>189</v>
      </c>
      <c r="D4" s="409" t="s">
        <v>443</v>
      </c>
      <c r="E4" s="409" t="s">
        <v>190</v>
      </c>
      <c r="F4" s="409" t="s">
        <v>443</v>
      </c>
      <c r="G4" s="409" t="s">
        <v>190</v>
      </c>
      <c r="H4" s="409" t="s">
        <v>443</v>
      </c>
      <c r="I4" s="409" t="s">
        <v>190</v>
      </c>
    </row>
    <row r="5" spans="1:9" ht="45">
      <c r="A5" s="213">
        <v>1</v>
      </c>
      <c r="B5" s="72" t="s">
        <v>643</v>
      </c>
      <c r="C5" s="799"/>
      <c r="D5" s="800"/>
      <c r="E5" s="800"/>
      <c r="F5" s="800"/>
      <c r="G5" s="800"/>
      <c r="H5" s="800"/>
      <c r="I5" s="800"/>
    </row>
    <row r="6" spans="1:9" ht="30">
      <c r="A6" s="213">
        <v>2</v>
      </c>
      <c r="B6" s="72" t="s">
        <v>191</v>
      </c>
      <c r="C6" s="800">
        <f>'F7-2'!D44</f>
        <v>1856.4</v>
      </c>
      <c r="D6" s="800">
        <v>0</v>
      </c>
      <c r="E6" s="800">
        <f>C6+D6</f>
        <v>1856.4</v>
      </c>
      <c r="F6" s="800">
        <v>0</v>
      </c>
      <c r="G6" s="800">
        <f>E6+F6</f>
        <v>1856.4</v>
      </c>
      <c r="H6" s="800">
        <f>'F7-2'!J45</f>
        <v>0</v>
      </c>
      <c r="I6" s="800">
        <f>G6+H6</f>
        <v>1856.4</v>
      </c>
    </row>
    <row r="7" spans="1:9" ht="21" customHeight="1">
      <c r="A7" s="410" t="s">
        <v>161</v>
      </c>
      <c r="B7" s="411" t="s">
        <v>620</v>
      </c>
      <c r="C7" s="412"/>
      <c r="D7" s="412"/>
      <c r="E7" s="412"/>
      <c r="F7" s="412"/>
      <c r="G7" s="412"/>
      <c r="H7" s="412"/>
      <c r="I7" s="412"/>
    </row>
    <row r="8" spans="1:9" ht="21" customHeight="1">
      <c r="A8" s="241" t="s">
        <v>615</v>
      </c>
      <c r="B8" s="238"/>
      <c r="C8" s="239"/>
      <c r="D8" s="239"/>
      <c r="E8" s="239"/>
      <c r="F8" s="239"/>
      <c r="G8" s="239"/>
      <c r="H8" s="239"/>
      <c r="I8" s="239"/>
    </row>
    <row r="9" spans="1:9" ht="45">
      <c r="A9" s="213">
        <f>+A6+1</f>
        <v>3</v>
      </c>
      <c r="B9" s="72" t="s">
        <v>643</v>
      </c>
      <c r="C9" s="801"/>
      <c r="D9" s="801"/>
      <c r="E9" s="801"/>
      <c r="F9" s="801"/>
      <c r="G9" s="801"/>
      <c r="H9" s="801"/>
      <c r="I9" s="801"/>
    </row>
    <row r="10" spans="1:9" ht="30">
      <c r="A10" s="213">
        <f>+A9+1</f>
        <v>4</v>
      </c>
      <c r="B10" s="72" t="s">
        <v>191</v>
      </c>
      <c r="C10" s="801">
        <v>0</v>
      </c>
      <c r="D10" s="801">
        <v>0</v>
      </c>
      <c r="E10" s="801">
        <v>0</v>
      </c>
      <c r="F10" s="801">
        <v>0</v>
      </c>
      <c r="G10" s="801">
        <v>0</v>
      </c>
      <c r="H10" s="801">
        <v>0</v>
      </c>
      <c r="I10" s="801">
        <v>0</v>
      </c>
    </row>
    <row r="11" spans="1:9" ht="21" customHeight="1">
      <c r="A11" s="410" t="s">
        <v>166</v>
      </c>
      <c r="B11" s="411" t="s">
        <v>621</v>
      </c>
      <c r="C11" s="413"/>
      <c r="D11" s="413"/>
      <c r="E11" s="413"/>
      <c r="F11" s="413"/>
      <c r="G11" s="413"/>
      <c r="H11" s="413"/>
      <c r="I11" s="413"/>
    </row>
    <row r="12" spans="1:9" ht="21" customHeight="1">
      <c r="A12" s="241" t="s">
        <v>616</v>
      </c>
      <c r="B12" s="238"/>
      <c r="C12" s="273"/>
      <c r="D12" s="273"/>
      <c r="E12" s="273"/>
      <c r="F12" s="273"/>
      <c r="G12" s="273"/>
      <c r="H12" s="273"/>
      <c r="I12" s="273"/>
    </row>
    <row r="13" spans="1:9" ht="31.5" customHeight="1">
      <c r="A13" s="213">
        <f>A10+1</f>
        <v>5</v>
      </c>
      <c r="B13" s="72" t="s">
        <v>643</v>
      </c>
      <c r="C13" s="802">
        <f>C5</f>
        <v>0</v>
      </c>
      <c r="D13" s="802">
        <f t="shared" ref="D13:I13" si="0">D5</f>
        <v>0</v>
      </c>
      <c r="E13" s="802">
        <f t="shared" si="0"/>
        <v>0</v>
      </c>
      <c r="F13" s="802">
        <f t="shared" si="0"/>
        <v>0</v>
      </c>
      <c r="G13" s="802">
        <f t="shared" si="0"/>
        <v>0</v>
      </c>
      <c r="H13" s="802">
        <f t="shared" si="0"/>
        <v>0</v>
      </c>
      <c r="I13" s="802">
        <f t="shared" si="0"/>
        <v>0</v>
      </c>
    </row>
    <row r="14" spans="1:9" ht="28.5" customHeight="1">
      <c r="A14" s="213">
        <f>+A13+1</f>
        <v>6</v>
      </c>
      <c r="B14" s="72" t="s">
        <v>191</v>
      </c>
      <c r="C14" s="802">
        <f>C6</f>
        <v>1856.4</v>
      </c>
      <c r="D14" s="802">
        <f t="shared" ref="D14:I14" si="1">D6</f>
        <v>0</v>
      </c>
      <c r="E14" s="802">
        <f t="shared" si="1"/>
        <v>1856.4</v>
      </c>
      <c r="F14" s="802">
        <f t="shared" si="1"/>
        <v>0</v>
      </c>
      <c r="G14" s="802">
        <f t="shared" si="1"/>
        <v>1856.4</v>
      </c>
      <c r="H14" s="802">
        <f t="shared" si="1"/>
        <v>0</v>
      </c>
      <c r="I14" s="802">
        <f t="shared" si="1"/>
        <v>1856.4</v>
      </c>
    </row>
    <row r="15" spans="1:9" ht="21" customHeight="1">
      <c r="A15" s="410" t="s">
        <v>208</v>
      </c>
      <c r="B15" s="411" t="s">
        <v>622</v>
      </c>
      <c r="C15" s="413"/>
      <c r="D15" s="413"/>
      <c r="E15" s="413"/>
      <c r="F15" s="413"/>
      <c r="G15" s="413"/>
      <c r="H15" s="413"/>
      <c r="I15" s="413"/>
    </row>
    <row r="16" spans="1:9">
      <c r="A16" s="241" t="s">
        <v>617</v>
      </c>
      <c r="B16" s="238"/>
      <c r="C16" s="273"/>
      <c r="D16" s="273"/>
      <c r="E16" s="273"/>
      <c r="F16" s="273"/>
      <c r="G16" s="273"/>
      <c r="H16" s="273"/>
      <c r="I16" s="273"/>
    </row>
    <row r="17" spans="1:9" ht="45">
      <c r="A17" s="213">
        <f>+A14+1</f>
        <v>7</v>
      </c>
      <c r="B17" s="72" t="s">
        <v>643</v>
      </c>
      <c r="C17" s="802">
        <v>0</v>
      </c>
      <c r="D17" s="802">
        <v>0</v>
      </c>
      <c r="E17" s="802">
        <v>0</v>
      </c>
      <c r="F17" s="802">
        <v>0</v>
      </c>
      <c r="G17" s="802">
        <v>0</v>
      </c>
      <c r="H17" s="802">
        <v>0</v>
      </c>
      <c r="I17" s="802">
        <v>0</v>
      </c>
    </row>
    <row r="18" spans="1:9" ht="30">
      <c r="A18" s="213">
        <f>+A17+1</f>
        <v>8</v>
      </c>
      <c r="B18" s="72" t="s">
        <v>191</v>
      </c>
      <c r="C18" s="802">
        <v>0</v>
      </c>
      <c r="D18" s="802">
        <v>0</v>
      </c>
      <c r="E18" s="802">
        <v>0</v>
      </c>
      <c r="F18" s="802">
        <v>0</v>
      </c>
      <c r="G18" s="802">
        <v>0</v>
      </c>
      <c r="H18" s="802">
        <v>0</v>
      </c>
      <c r="I18" s="802">
        <v>0</v>
      </c>
    </row>
    <row r="19" spans="1:9">
      <c r="A19" s="410" t="s">
        <v>208</v>
      </c>
      <c r="B19" s="411" t="s">
        <v>623</v>
      </c>
      <c r="C19" s="413"/>
      <c r="D19" s="413"/>
      <c r="E19" s="413"/>
      <c r="F19" s="413"/>
      <c r="G19" s="413"/>
      <c r="H19" s="413"/>
      <c r="I19" s="413"/>
    </row>
    <row r="20" spans="1:9" ht="30">
      <c r="A20" s="338" t="s">
        <v>209</v>
      </c>
      <c r="B20" s="191" t="s">
        <v>619</v>
      </c>
      <c r="C20" s="274"/>
      <c r="D20" s="274"/>
      <c r="E20" s="274"/>
      <c r="F20" s="274"/>
      <c r="G20" s="274"/>
      <c r="H20" s="274"/>
      <c r="I20" s="274"/>
    </row>
    <row r="21" spans="1:9" ht="30">
      <c r="A21" s="338" t="s">
        <v>210</v>
      </c>
      <c r="B21" s="191" t="s">
        <v>618</v>
      </c>
      <c r="C21" s="274"/>
      <c r="D21" s="274"/>
      <c r="E21" s="274"/>
      <c r="F21" s="274"/>
      <c r="G21" s="274"/>
      <c r="H21" s="274"/>
      <c r="I21" s="274"/>
    </row>
    <row r="22" spans="1:9" ht="45">
      <c r="A22" s="338" t="s">
        <v>211</v>
      </c>
      <c r="B22" s="191" t="s">
        <v>625</v>
      </c>
      <c r="C22" s="274"/>
      <c r="D22" s="274"/>
      <c r="E22" s="274"/>
      <c r="F22" s="274"/>
      <c r="G22" s="274"/>
      <c r="H22" s="274"/>
      <c r="I22" s="274"/>
    </row>
    <row r="23" spans="1:9" ht="60">
      <c r="A23" s="338" t="s">
        <v>339</v>
      </c>
      <c r="B23" s="191" t="s">
        <v>624</v>
      </c>
      <c r="C23" s="803">
        <f>'F7-2'!D53</f>
        <v>100.60382082764433</v>
      </c>
      <c r="D23" s="803">
        <v>0</v>
      </c>
      <c r="E23" s="803">
        <f>'F7-2'!D53</f>
        <v>100.60382082764433</v>
      </c>
      <c r="F23" s="803">
        <v>0</v>
      </c>
      <c r="G23" s="803">
        <f>'F7-2'!H53</f>
        <v>107.2879640307776</v>
      </c>
      <c r="H23" s="803">
        <f>I23-G23</f>
        <v>1.8802256853293784</v>
      </c>
      <c r="I23" s="803">
        <f>'F7-2'!J53</f>
        <v>109.16818971610698</v>
      </c>
    </row>
    <row r="24" spans="1:9">
      <c r="A24" s="1609" t="s">
        <v>626</v>
      </c>
      <c r="B24" s="1609"/>
      <c r="C24" s="1609"/>
      <c r="D24" s="1609"/>
      <c r="E24" s="1609"/>
      <c r="F24" s="1609"/>
      <c r="G24" s="1609"/>
    </row>
    <row r="28" spans="1:9">
      <c r="G28" s="1601" t="s">
        <v>427</v>
      </c>
      <c r="H28" s="1601"/>
    </row>
  </sheetData>
  <mergeCells count="9">
    <mergeCell ref="G28:H28"/>
    <mergeCell ref="A24:G24"/>
    <mergeCell ref="A2:H2"/>
    <mergeCell ref="A1:I1"/>
    <mergeCell ref="H3:I3"/>
    <mergeCell ref="A3:A4"/>
    <mergeCell ref="B3:B4"/>
    <mergeCell ref="C3:E3"/>
    <mergeCell ref="F3:G3"/>
  </mergeCells>
  <printOptions horizontalCentered="1"/>
  <pageMargins left="0.25" right="0.25"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31"/>
  <sheetViews>
    <sheetView showGridLines="0" view="pageBreakPreview" topLeftCell="D1" zoomScale="70" zoomScaleNormal="80" zoomScaleSheetLayoutView="70" workbookViewId="0">
      <selection activeCell="D14" sqref="D14"/>
    </sheetView>
  </sheetViews>
  <sheetFormatPr defaultColWidth="9.140625" defaultRowHeight="15.75"/>
  <cols>
    <col min="1" max="1" width="4.5703125" style="453" customWidth="1"/>
    <col min="2" max="2" width="76.7109375" style="75" customWidth="1"/>
    <col min="3" max="5" width="16.140625" style="75" customWidth="1"/>
    <col min="6" max="7" width="2.85546875" style="75" hidden="1" customWidth="1"/>
    <col min="8" max="10" width="16.140625" style="75" customWidth="1"/>
    <col min="11" max="12" width="13.140625" style="75" bestFit="1" customWidth="1"/>
    <col min="13" max="16384" width="9.140625" style="75"/>
  </cols>
  <sheetData>
    <row r="1" spans="1:12" ht="21" customHeight="1">
      <c r="A1" s="1573" t="s">
        <v>1233</v>
      </c>
      <c r="B1" s="1574"/>
      <c r="C1" s="1574"/>
      <c r="D1" s="1574"/>
      <c r="E1" s="1574"/>
      <c r="F1" s="1574"/>
      <c r="G1" s="1574"/>
      <c r="H1" s="1574"/>
    </row>
    <row r="2" spans="1:12">
      <c r="A2" s="1578" t="s">
        <v>1309</v>
      </c>
      <c r="B2" s="1578"/>
      <c r="C2" s="550"/>
      <c r="D2" s="550"/>
      <c r="E2" s="550"/>
      <c r="F2" s="550"/>
      <c r="G2" s="1559"/>
      <c r="H2" s="1559"/>
      <c r="I2" s="1559" t="s">
        <v>897</v>
      </c>
      <c r="J2" s="1559"/>
    </row>
    <row r="3" spans="1:12">
      <c r="A3" s="1579"/>
      <c r="B3" s="1579"/>
      <c r="C3" s="551"/>
      <c r="D3" s="551"/>
      <c r="E3" s="551"/>
      <c r="F3" s="1433" t="s">
        <v>345</v>
      </c>
      <c r="G3" s="1433"/>
      <c r="H3" s="1433"/>
    </row>
    <row r="4" spans="1:12" ht="39" customHeight="1">
      <c r="A4" s="1575"/>
      <c r="B4" s="1623" t="s">
        <v>48</v>
      </c>
      <c r="C4" s="1431" t="s">
        <v>1916</v>
      </c>
      <c r="D4" s="1432"/>
      <c r="E4" s="1375" t="s">
        <v>1917</v>
      </c>
      <c r="F4" s="1376"/>
      <c r="G4" s="1376"/>
      <c r="H4" s="1377"/>
      <c r="I4" s="1365" t="s">
        <v>1918</v>
      </c>
      <c r="J4" s="1365"/>
    </row>
    <row r="5" spans="1:12" ht="44.25" customHeight="1">
      <c r="A5" s="1576"/>
      <c r="B5" s="1623"/>
      <c r="C5" s="455" t="s">
        <v>1250</v>
      </c>
      <c r="D5" s="328" t="s">
        <v>1305</v>
      </c>
      <c r="E5" s="455" t="s">
        <v>1235</v>
      </c>
      <c r="F5" s="455" t="s">
        <v>1239</v>
      </c>
      <c r="G5" s="455" t="s">
        <v>1240</v>
      </c>
      <c r="H5" s="459" t="s">
        <v>1241</v>
      </c>
      <c r="I5" s="455" t="s">
        <v>1235</v>
      </c>
      <c r="J5" s="455" t="s">
        <v>1243</v>
      </c>
    </row>
    <row r="6" spans="1:12">
      <c r="A6" s="522">
        <v>1</v>
      </c>
      <c r="B6" s="478" t="s">
        <v>1310</v>
      </c>
      <c r="C6" s="587">
        <v>2933.46</v>
      </c>
      <c r="D6" s="587">
        <v>2427.25</v>
      </c>
      <c r="E6" s="805">
        <v>3263.81</v>
      </c>
      <c r="F6" s="804"/>
      <c r="G6" s="804"/>
      <c r="H6" s="805">
        <f>D14</f>
        <v>3437.2056733245045</v>
      </c>
      <c r="I6" s="806">
        <f>E14</f>
        <v>4168.4552840000006</v>
      </c>
      <c r="J6" s="806">
        <f>H14</f>
        <v>4163.6076112250339</v>
      </c>
    </row>
    <row r="7" spans="1:12">
      <c r="A7" s="522">
        <v>2</v>
      </c>
      <c r="B7" s="478" t="s">
        <v>1311</v>
      </c>
      <c r="C7" s="587">
        <f>'F7-2'!C21+'F7-2'!C22</f>
        <v>1310.43</v>
      </c>
      <c r="D7" s="587">
        <f>'F7-1'!D12-'F7-1'!D16</f>
        <v>1934.8990544310004</v>
      </c>
      <c r="E7" s="587"/>
      <c r="F7" s="805">
        <f>'F7-2'!F21</f>
        <v>0</v>
      </c>
      <c r="G7" s="805">
        <f>'F7-2'!G21</f>
        <v>0</v>
      </c>
      <c r="H7" s="805">
        <f>'F7-2'!H21+'F7-2'!H22+'F7-2'!H24</f>
        <v>1632.5431119999998</v>
      </c>
      <c r="I7" s="806"/>
      <c r="J7" s="805">
        <f>'F7-2'!J21+'F7-2'!J22+'F7-2'!J24</f>
        <v>1699.4196199999999</v>
      </c>
    </row>
    <row r="8" spans="1:12">
      <c r="A8" s="522">
        <v>3</v>
      </c>
      <c r="B8" s="478" t="s">
        <v>1312</v>
      </c>
      <c r="C8" s="587">
        <f>'F7-2'!C45</f>
        <v>19.02</v>
      </c>
      <c r="D8" s="587">
        <f>'F7-2'!D45</f>
        <v>20.61</v>
      </c>
      <c r="E8" s="804"/>
      <c r="F8" s="805">
        <f>'F7-2'!F45</f>
        <v>0</v>
      </c>
      <c r="G8" s="805">
        <f>'F7-2'!G45</f>
        <v>0</v>
      </c>
      <c r="H8" s="805">
        <f>'F7-2'!H45</f>
        <v>65.94</v>
      </c>
      <c r="I8" s="131"/>
      <c r="J8" s="806">
        <f>'F7-2'!J45</f>
        <v>0</v>
      </c>
      <c r="L8" s="1210"/>
    </row>
    <row r="9" spans="1:12" s="1063" customFormat="1">
      <c r="A9" s="522">
        <v>4</v>
      </c>
      <c r="B9" s="478" t="s">
        <v>2312</v>
      </c>
      <c r="C9" s="587"/>
      <c r="D9" s="587">
        <f>'F7-2'!D46</f>
        <v>38.44</v>
      </c>
      <c r="E9" s="804"/>
      <c r="F9" s="805"/>
      <c r="G9" s="805"/>
      <c r="H9" s="805">
        <f>'F7-2'!H46</f>
        <v>81.7</v>
      </c>
      <c r="I9" s="131"/>
      <c r="J9" s="806"/>
      <c r="L9" s="1210"/>
    </row>
    <row r="10" spans="1:12">
      <c r="A10" s="522">
        <v>4</v>
      </c>
      <c r="B10" s="478" t="s">
        <v>2311</v>
      </c>
      <c r="C10" s="805">
        <f>(C7-C8)+0.03</f>
        <v>1291.44</v>
      </c>
      <c r="D10" s="805">
        <f>D7-D8-D9</f>
        <v>1875.8490544310005</v>
      </c>
      <c r="E10" s="805">
        <f t="shared" ref="E10:I10" si="0">E7-E8</f>
        <v>0</v>
      </c>
      <c r="F10" s="805">
        <f t="shared" si="0"/>
        <v>0</v>
      </c>
      <c r="G10" s="805">
        <f t="shared" si="0"/>
        <v>0</v>
      </c>
      <c r="H10" s="805">
        <f>H7-H8-H9</f>
        <v>1484.9031119999997</v>
      </c>
      <c r="I10" s="805">
        <f t="shared" si="0"/>
        <v>0</v>
      </c>
      <c r="J10" s="805">
        <f>J7-J8-J9</f>
        <v>1699.4196199999999</v>
      </c>
      <c r="K10" s="640"/>
      <c r="L10" s="640"/>
    </row>
    <row r="11" spans="1:12" ht="31.5">
      <c r="A11" s="506">
        <v>5</v>
      </c>
      <c r="B11" s="495" t="s">
        <v>1325</v>
      </c>
      <c r="C11" s="805">
        <v>983.59</v>
      </c>
      <c r="D11" s="587">
        <f>D10*70%</f>
        <v>1313.0943381017003</v>
      </c>
      <c r="E11" s="805">
        <v>1235.1300000000001</v>
      </c>
      <c r="F11" s="805">
        <f t="shared" ref="F11:G11" si="1">F10*70%</f>
        <v>0</v>
      </c>
      <c r="G11" s="805">
        <f t="shared" si="1"/>
        <v>0</v>
      </c>
      <c r="H11" s="805">
        <f>(SUM('[2]Capitalisation FY 2020-21'!$M$3:$M$52)+SUM('[2]Capitalisation FY 2020-21'!$M$54:$M$95)+SUM('[2]Capitalisation FY 2020-21'!$P$3:$P$95))*70%</f>
        <v>528.68893000000003</v>
      </c>
      <c r="I11" s="805">
        <v>1474.19</v>
      </c>
      <c r="J11" s="805">
        <v>0</v>
      </c>
      <c r="L11" s="640"/>
    </row>
    <row r="12" spans="1:12" ht="31.5">
      <c r="A12" s="506">
        <v>6</v>
      </c>
      <c r="B12" s="495" t="s">
        <v>1324</v>
      </c>
      <c r="C12" s="805"/>
      <c r="D12" s="805"/>
      <c r="E12" s="805"/>
      <c r="F12" s="805"/>
      <c r="G12" s="805"/>
      <c r="H12" s="805">
        <f>(SUM('[2]Capitalisation FY 2020-21'!$M$170:$M$200)+SUM('[2]Capitalisation FY 2020-21'!$P$170:$P$200))*80%</f>
        <v>583.70656959999997</v>
      </c>
      <c r="I12" s="805"/>
      <c r="J12" s="805">
        <f>(SUM('[2]Capitalisation FY 2021-22'!$M$51,'[2]Capitalisation FY 2021-22'!$P$51))*80%</f>
        <v>1359.5356959999999</v>
      </c>
      <c r="K12" s="640"/>
      <c r="L12" s="640"/>
    </row>
    <row r="13" spans="1:12">
      <c r="A13" s="522">
        <v>7</v>
      </c>
      <c r="B13" s="478" t="s">
        <v>1313</v>
      </c>
      <c r="C13" s="587">
        <f>'F7-2'!C54</f>
        <v>313.97999999999996</v>
      </c>
      <c r="D13" s="587">
        <f>'F7-2'!D56</f>
        <v>303.13866477719597</v>
      </c>
      <c r="E13" s="587">
        <f>'F7-2'!E54</f>
        <v>330.48471599999993</v>
      </c>
      <c r="F13" s="587"/>
      <c r="G13" s="587"/>
      <c r="H13" s="587">
        <f>'F7-2'!H56</f>
        <v>385.99356169947055</v>
      </c>
      <c r="I13" s="674">
        <f>'F7-2'!I54</f>
        <v>591.19000000000005</v>
      </c>
      <c r="J13" s="587">
        <f>'F7-2'!J56</f>
        <v>473.18625988814802</v>
      </c>
      <c r="L13" s="640"/>
    </row>
    <row r="14" spans="1:12">
      <c r="A14" s="522">
        <v>8</v>
      </c>
      <c r="B14" s="478" t="s">
        <v>1323</v>
      </c>
      <c r="C14" s="805">
        <f>(C6+C11+C12-C13)+0.01</f>
        <v>3603.0800000000004</v>
      </c>
      <c r="D14" s="1037">
        <f>D6+D11+D12-D13</f>
        <v>3437.2056733245045</v>
      </c>
      <c r="E14" s="1037">
        <f>E6+E11+E12-E13</f>
        <v>4168.4552840000006</v>
      </c>
      <c r="F14" s="1037"/>
      <c r="G14" s="1037"/>
      <c r="H14" s="1037">
        <f>H6+H11+H12-H13</f>
        <v>4163.6076112250339</v>
      </c>
      <c r="I14" s="1037">
        <f>I6+I11+I12-I13</f>
        <v>5051.4552839999997</v>
      </c>
      <c r="J14" s="1037">
        <f>J6+J11+J12-J13</f>
        <v>5049.9570473368858</v>
      </c>
      <c r="L14" s="640"/>
    </row>
    <row r="15" spans="1:12">
      <c r="A15" s="522">
        <v>9</v>
      </c>
      <c r="B15" s="478" t="s">
        <v>1314</v>
      </c>
      <c r="C15" s="805">
        <f>AVERAGE(C14,C6)-0.01</f>
        <v>3268.26</v>
      </c>
      <c r="D15" s="1037">
        <f>AVERAGE(D14,D6)</f>
        <v>2932.2278366622522</v>
      </c>
      <c r="E15" s="1037">
        <f>AVERAGE(E14,E6)</f>
        <v>3716.1326420000005</v>
      </c>
      <c r="F15" s="1037"/>
      <c r="G15" s="1037"/>
      <c r="H15" s="1037">
        <f>AVERAGE(H14,H6)</f>
        <v>3800.4066422747692</v>
      </c>
      <c r="I15" s="1037">
        <f>AVERAGE(I14,I6)</f>
        <v>4609.9552839999997</v>
      </c>
      <c r="J15" s="1037">
        <f>AVERAGE(J14,J6)</f>
        <v>4606.7823292809599</v>
      </c>
    </row>
    <row r="16" spans="1:12">
      <c r="A16" s="522">
        <v>10</v>
      </c>
      <c r="B16" s="477" t="s">
        <v>1315</v>
      </c>
      <c r="C16" s="807">
        <v>0.105</v>
      </c>
      <c r="D16" s="1988">
        <f>13%</f>
        <v>0.13</v>
      </c>
      <c r="E16" s="1988">
        <v>0.105</v>
      </c>
      <c r="F16" s="1035"/>
      <c r="G16" s="1035"/>
      <c r="H16" s="1988">
        <f>((('[1]BS13-20'!$B$55/100)*7.76%)+(('[1]BS13-20'!$B$57/100)*13%))/(SUM('[1]BS13-20'!$B$55+'[1]BS13-20'!$B$57)/100)</f>
        <v>0.10282252392389991</v>
      </c>
      <c r="I16" s="1989">
        <f>E16</f>
        <v>0.105</v>
      </c>
      <c r="J16" s="1989">
        <f>H16</f>
        <v>0.10282252392389991</v>
      </c>
    </row>
    <row r="17" spans="1:10">
      <c r="A17" s="584">
        <v>11</v>
      </c>
      <c r="B17" s="532" t="s">
        <v>1316</v>
      </c>
      <c r="C17" s="808">
        <f>C15*C16</f>
        <v>343.16730000000001</v>
      </c>
      <c r="D17" s="1990">
        <f t="shared" ref="D17:J17" si="2">D15*D16</f>
        <v>381.18961876609279</v>
      </c>
      <c r="E17" s="1990">
        <f t="shared" si="2"/>
        <v>390.19392741000001</v>
      </c>
      <c r="F17" s="1990"/>
      <c r="G17" s="1990"/>
      <c r="H17" s="1990">
        <f>H15*H16</f>
        <v>390.76740289584558</v>
      </c>
      <c r="I17" s="1990">
        <f t="shared" si="2"/>
        <v>484.04530481999996</v>
      </c>
      <c r="J17" s="1990">
        <f t="shared" si="2"/>
        <v>473.68098626469089</v>
      </c>
    </row>
    <row r="18" spans="1:10">
      <c r="A18" s="585">
        <v>12</v>
      </c>
      <c r="B18" s="532" t="s">
        <v>1317</v>
      </c>
      <c r="C18" s="809">
        <v>0</v>
      </c>
      <c r="D18" s="809">
        <f>'[6]Sch P&amp;L 22-25'!$B$27/10^7</f>
        <v>1.6527750000000001E-2</v>
      </c>
      <c r="E18" s="809">
        <v>0.01</v>
      </c>
      <c r="F18" s="810"/>
      <c r="G18" s="810"/>
      <c r="H18" s="811">
        <f>D18</f>
        <v>1.6527750000000001E-2</v>
      </c>
      <c r="I18" s="809">
        <v>0</v>
      </c>
      <c r="J18" s="811">
        <f>H18</f>
        <v>1.6527750000000001E-2</v>
      </c>
    </row>
    <row r="19" spans="1:10">
      <c r="A19" s="506">
        <v>13</v>
      </c>
      <c r="B19" s="511" t="s">
        <v>1318</v>
      </c>
      <c r="C19" s="806">
        <f>C17+C18</f>
        <v>343.16730000000001</v>
      </c>
      <c r="D19" s="806">
        <f>D17+D18</f>
        <v>381.20614651609282</v>
      </c>
      <c r="E19" s="806">
        <f t="shared" ref="E19:J19" si="3">E17+E18</f>
        <v>390.20392741000001</v>
      </c>
      <c r="F19" s="806"/>
      <c r="G19" s="806"/>
      <c r="H19" s="806">
        <f>H17+H18</f>
        <v>390.7839306458456</v>
      </c>
      <c r="I19" s="806">
        <f t="shared" si="3"/>
        <v>484.04530481999996</v>
      </c>
      <c r="J19" s="806">
        <f t="shared" si="3"/>
        <v>473.69751401469091</v>
      </c>
    </row>
    <row r="20" spans="1:10" ht="21" customHeight="1">
      <c r="A20" s="586"/>
      <c r="B20" s="341"/>
      <c r="C20" s="130"/>
      <c r="D20" s="130"/>
      <c r="E20" s="130"/>
      <c r="F20" s="130"/>
      <c r="G20" s="130"/>
      <c r="H20" s="130"/>
      <c r="I20" s="130"/>
      <c r="J20" s="130"/>
    </row>
    <row r="21" spans="1:10" ht="21" customHeight="1">
      <c r="A21" s="586"/>
      <c r="B21" s="341"/>
      <c r="C21" s="341"/>
      <c r="D21" s="341"/>
      <c r="E21" s="341"/>
      <c r="F21" s="341"/>
      <c r="G21" s="341"/>
      <c r="H21" s="341"/>
      <c r="I21" s="341"/>
      <c r="J21" s="341"/>
    </row>
    <row r="22" spans="1:10" ht="21" customHeight="1">
      <c r="E22" s="1572" t="s">
        <v>427</v>
      </c>
      <c r="F22" s="1572"/>
      <c r="G22" s="1572"/>
      <c r="H22" s="1572"/>
    </row>
    <row r="23" spans="1:10" ht="21" customHeight="1">
      <c r="D23" s="640"/>
      <c r="G23" s="453"/>
      <c r="H23" s="453"/>
    </row>
    <row r="24" spans="1:10" ht="21" hidden="1" customHeight="1">
      <c r="G24" s="453"/>
      <c r="H24" s="453"/>
    </row>
    <row r="25" spans="1:10" ht="21" hidden="1" customHeight="1">
      <c r="A25" s="582" t="s">
        <v>212</v>
      </c>
      <c r="B25" s="554"/>
      <c r="C25" s="554"/>
      <c r="D25" s="554"/>
      <c r="E25" s="554"/>
      <c r="F25" s="554"/>
      <c r="G25" s="554"/>
    </row>
    <row r="26" spans="1:10" ht="21" hidden="1" customHeight="1">
      <c r="A26" s="583">
        <v>1</v>
      </c>
      <c r="B26" s="556" t="s">
        <v>364</v>
      </c>
      <c r="C26" s="555" t="s">
        <v>398</v>
      </c>
      <c r="D26" s="557"/>
      <c r="E26" s="557"/>
      <c r="F26" s="557"/>
      <c r="G26" s="558"/>
    </row>
    <row r="27" spans="1:10" ht="21" hidden="1" customHeight="1">
      <c r="A27" s="583">
        <v>2</v>
      </c>
      <c r="B27" s="559" t="s">
        <v>368</v>
      </c>
      <c r="C27" s="555" t="s">
        <v>353</v>
      </c>
      <c r="D27" s="557"/>
      <c r="E27" s="557"/>
      <c r="F27" s="557"/>
      <c r="G27" s="558"/>
    </row>
    <row r="28" spans="1:10" ht="21" hidden="1" customHeight="1">
      <c r="A28" s="583">
        <v>3</v>
      </c>
      <c r="B28" s="559" t="s">
        <v>355</v>
      </c>
      <c r="C28" s="555" t="s">
        <v>353</v>
      </c>
      <c r="D28" s="557"/>
      <c r="E28" s="557"/>
      <c r="F28" s="557"/>
      <c r="G28" s="558"/>
    </row>
    <row r="29" spans="1:10" ht="21" hidden="1" customHeight="1">
      <c r="A29" s="583">
        <v>4</v>
      </c>
      <c r="B29" s="559" t="s">
        <v>356</v>
      </c>
      <c r="C29" s="555" t="s">
        <v>428</v>
      </c>
      <c r="D29" s="557"/>
      <c r="E29" s="557"/>
      <c r="F29" s="557"/>
      <c r="G29" s="558"/>
    </row>
    <row r="30" spans="1:10" ht="21" hidden="1" customHeight="1">
      <c r="A30" s="583">
        <v>5</v>
      </c>
      <c r="B30" s="559" t="s">
        <v>357</v>
      </c>
      <c r="C30" s="555"/>
      <c r="D30" s="557"/>
      <c r="E30" s="557"/>
      <c r="F30" s="557"/>
      <c r="G30" s="558"/>
    </row>
    <row r="31" spans="1:10" ht="21" hidden="1" customHeight="1"/>
  </sheetData>
  <mergeCells count="11">
    <mergeCell ref="I4:J4"/>
    <mergeCell ref="E22:H22"/>
    <mergeCell ref="A1:H1"/>
    <mergeCell ref="A2:B3"/>
    <mergeCell ref="G2:H2"/>
    <mergeCell ref="I2:J2"/>
    <mergeCell ref="F3:H3"/>
    <mergeCell ref="A4:A5"/>
    <mergeCell ref="B4:B5"/>
    <mergeCell ref="C4:D4"/>
    <mergeCell ref="E4:H4"/>
  </mergeCells>
  <pageMargins left="0.70866141732283472" right="0.70866141732283472" top="0.74803149606299213" bottom="0.74803149606299213" header="0.31496062992125984" footer="0.31496062992125984"/>
  <pageSetup paperSize="9" scale="73"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7"/>
  <sheetViews>
    <sheetView showGridLines="0" view="pageBreakPreview" topLeftCell="A4" zoomScale="85" zoomScaleNormal="85" zoomScaleSheetLayoutView="85" workbookViewId="0">
      <selection activeCell="H7" sqref="H7"/>
    </sheetView>
  </sheetViews>
  <sheetFormatPr defaultColWidth="9.140625" defaultRowHeight="15"/>
  <cols>
    <col min="1" max="1" width="6.42578125" style="1244" customWidth="1"/>
    <col min="2" max="2" width="37.85546875" style="1244" customWidth="1"/>
    <col min="3" max="3" width="14.7109375" style="1244" customWidth="1"/>
    <col min="4" max="4" width="11.7109375" style="1244" bestFit="1" customWidth="1"/>
    <col min="5" max="5" width="15.7109375" style="1244" customWidth="1"/>
    <col min="6" max="6" width="12.7109375" style="1244" customWidth="1"/>
    <col min="7" max="7" width="14.42578125" style="1244" bestFit="1" customWidth="1"/>
    <col min="8" max="8" width="15" style="1244" bestFit="1" customWidth="1"/>
    <col min="9" max="9" width="16" style="1244" customWidth="1"/>
    <col min="10" max="10" width="9.140625" style="1244"/>
    <col min="11" max="11" width="7.5703125" style="1244" customWidth="1"/>
    <col min="12" max="12" width="10.42578125" style="1244" customWidth="1"/>
    <col min="13" max="13" width="9.7109375" style="1244" customWidth="1"/>
    <col min="14" max="16384" width="9.140625" style="1244"/>
  </cols>
  <sheetData>
    <row r="1" spans="1:14" ht="21" customHeight="1">
      <c r="A1" s="1625" t="s">
        <v>1233</v>
      </c>
      <c r="B1" s="1625"/>
      <c r="C1" s="1625"/>
      <c r="D1" s="1625"/>
      <c r="E1" s="1625"/>
      <c r="F1" s="1625"/>
      <c r="G1" s="1625"/>
      <c r="H1" s="1625"/>
      <c r="I1" s="1625"/>
      <c r="J1" s="1243"/>
      <c r="K1" s="1243"/>
      <c r="L1" s="1243"/>
      <c r="M1" s="1243"/>
      <c r="N1" s="1243"/>
    </row>
    <row r="2" spans="1:14" s="1247" customFormat="1" ht="21" customHeight="1">
      <c r="A2" s="1245" t="s">
        <v>933</v>
      </c>
      <c r="B2" s="1245"/>
      <c r="C2" s="1245" t="s">
        <v>956</v>
      </c>
      <c r="D2" s="1245"/>
      <c r="E2" s="1245"/>
      <c r="F2" s="1245"/>
      <c r="G2" s="1245"/>
      <c r="H2" s="1245"/>
      <c r="I2" s="1246" t="s">
        <v>897</v>
      </c>
      <c r="J2" s="1245"/>
      <c r="K2" s="1245"/>
      <c r="L2" s="1245"/>
      <c r="M2" s="1245"/>
    </row>
    <row r="3" spans="1:14" s="1247" customFormat="1" ht="50.25" customHeight="1">
      <c r="A3" s="1094" t="s">
        <v>651</v>
      </c>
      <c r="B3" s="1094" t="s">
        <v>48</v>
      </c>
      <c r="C3" s="1240" t="s">
        <v>723</v>
      </c>
      <c r="D3" s="1240" t="s">
        <v>734</v>
      </c>
      <c r="E3" s="1240" t="s">
        <v>735</v>
      </c>
      <c r="F3" s="1240" t="s">
        <v>736</v>
      </c>
      <c r="G3" s="1240" t="s">
        <v>737</v>
      </c>
      <c r="H3" s="1240" t="s">
        <v>738</v>
      </c>
      <c r="I3" s="1240" t="s">
        <v>739</v>
      </c>
      <c r="J3" s="1245"/>
      <c r="K3" s="1245"/>
      <c r="L3" s="1245"/>
      <c r="M3" s="1245"/>
      <c r="N3" s="1246"/>
    </row>
    <row r="4" spans="1:14" s="1247" customFormat="1" ht="21" customHeight="1">
      <c r="A4" s="1241"/>
      <c r="B4" s="1241">
        <v>1</v>
      </c>
      <c r="C4" s="1242">
        <v>2</v>
      </c>
      <c r="D4" s="1241">
        <v>3</v>
      </c>
      <c r="E4" s="1241">
        <v>4</v>
      </c>
      <c r="F4" s="1241">
        <v>5</v>
      </c>
      <c r="G4" s="1241">
        <v>6</v>
      </c>
      <c r="H4" s="1241">
        <v>7</v>
      </c>
      <c r="I4" s="1241">
        <v>8</v>
      </c>
      <c r="J4" s="1245"/>
      <c r="K4" s="1245"/>
      <c r="L4" s="1245"/>
      <c r="M4" s="1245"/>
      <c r="N4" s="1246"/>
    </row>
    <row r="5" spans="1:14" s="1247" customFormat="1" ht="29.25" customHeight="1">
      <c r="A5" s="1248">
        <v>1</v>
      </c>
      <c r="B5" s="1248" t="s">
        <v>952</v>
      </c>
      <c r="C5" s="1249" t="s">
        <v>951</v>
      </c>
      <c r="D5" s="1267">
        <f>'[7]BS13-20'!$C$57/100</f>
        <v>388.47317329999998</v>
      </c>
      <c r="E5" s="1268">
        <v>10.5</v>
      </c>
      <c r="F5" s="1267">
        <f>7556/100</f>
        <v>75.56</v>
      </c>
      <c r="G5" s="1241">
        <v>0</v>
      </c>
      <c r="H5" s="1267">
        <f>+D5+F5-G5</f>
        <v>464.03317329999999</v>
      </c>
      <c r="I5" s="1241"/>
      <c r="J5" s="1245"/>
      <c r="K5" s="1245"/>
      <c r="L5" s="1245"/>
      <c r="M5" s="1245"/>
      <c r="N5" s="1246"/>
    </row>
    <row r="6" spans="1:14" s="1247" customFormat="1" ht="29.25" customHeight="1">
      <c r="A6" s="1248">
        <v>2</v>
      </c>
      <c r="B6" s="1248" t="s">
        <v>957</v>
      </c>
      <c r="C6" s="1249" t="s">
        <v>951</v>
      </c>
      <c r="D6" s="1267">
        <v>0</v>
      </c>
      <c r="E6" s="1241" t="s">
        <v>2596</v>
      </c>
      <c r="F6" s="1241">
        <v>500</v>
      </c>
      <c r="G6" s="1241">
        <v>0</v>
      </c>
      <c r="H6" s="1267">
        <f>+D6+F6-G6</f>
        <v>500</v>
      </c>
      <c r="I6" s="1241"/>
      <c r="J6" s="1245"/>
      <c r="K6" s="1245"/>
      <c r="L6" s="1245"/>
      <c r="M6" s="1245"/>
      <c r="N6" s="1246"/>
    </row>
    <row r="7" spans="1:14" s="1247" customFormat="1" ht="21" customHeight="1">
      <c r="C7" s="1250"/>
      <c r="H7" s="1251"/>
      <c r="J7" s="1245"/>
      <c r="K7" s="1245"/>
      <c r="L7" s="1245"/>
      <c r="M7" s="1245"/>
      <c r="N7" s="1246"/>
    </row>
    <row r="8" spans="1:14" s="1247" customFormat="1" ht="21" customHeight="1">
      <c r="A8" s="1245" t="s">
        <v>955</v>
      </c>
      <c r="B8" s="1245"/>
      <c r="C8" s="1245" t="s">
        <v>958</v>
      </c>
      <c r="D8" s="1245"/>
      <c r="E8" s="1245"/>
      <c r="F8" s="1245"/>
      <c r="G8" s="1245"/>
      <c r="H8" s="1245"/>
      <c r="I8" s="1246" t="s">
        <v>897</v>
      </c>
      <c r="J8" s="1245"/>
      <c r="K8" s="1245"/>
      <c r="L8" s="1245"/>
      <c r="M8" s="1245"/>
      <c r="N8" s="1246"/>
    </row>
    <row r="9" spans="1:14" s="1247" customFormat="1" ht="27.75" customHeight="1">
      <c r="A9" s="1094" t="s">
        <v>651</v>
      </c>
      <c r="B9" s="1094" t="s">
        <v>48</v>
      </c>
      <c r="C9" s="1240" t="s">
        <v>723</v>
      </c>
      <c r="D9" s="1240" t="s">
        <v>734</v>
      </c>
      <c r="E9" s="1240" t="s">
        <v>735</v>
      </c>
      <c r="F9" s="1240" t="s">
        <v>736</v>
      </c>
      <c r="G9" s="1240" t="s">
        <v>737</v>
      </c>
      <c r="H9" s="1240" t="s">
        <v>738</v>
      </c>
      <c r="I9" s="1240" t="s">
        <v>739</v>
      </c>
      <c r="J9" s="1245"/>
      <c r="K9" s="1245"/>
    </row>
    <row r="10" spans="1:14" s="1247" customFormat="1" ht="21" customHeight="1">
      <c r="A10" s="1241"/>
      <c r="B10" s="1241">
        <v>1</v>
      </c>
      <c r="C10" s="1242">
        <v>2</v>
      </c>
      <c r="D10" s="1241">
        <v>3</v>
      </c>
      <c r="E10" s="1241">
        <v>4</v>
      </c>
      <c r="F10" s="1241">
        <v>5</v>
      </c>
      <c r="G10" s="1241">
        <v>6</v>
      </c>
      <c r="H10" s="1241">
        <v>7</v>
      </c>
      <c r="I10" s="1241">
        <v>8</v>
      </c>
      <c r="J10" s="1245"/>
      <c r="K10" s="1245"/>
      <c r="L10" s="1245"/>
      <c r="M10" s="1245"/>
      <c r="N10" s="1246"/>
    </row>
    <row r="11" spans="1:14" s="1247" customFormat="1" ht="40.5" customHeight="1">
      <c r="A11" s="1248">
        <v>1</v>
      </c>
      <c r="B11" s="1248" t="s">
        <v>952</v>
      </c>
      <c r="C11" s="1249" t="s">
        <v>951</v>
      </c>
      <c r="D11" s="1269">
        <f>H5</f>
        <v>464.03317329999999</v>
      </c>
      <c r="E11" s="1268">
        <v>10.5</v>
      </c>
      <c r="F11" s="1266">
        <v>0</v>
      </c>
      <c r="G11" s="1241">
        <v>0</v>
      </c>
      <c r="H11" s="1267">
        <f>+D11+F11-G11</f>
        <v>464.03317329999999</v>
      </c>
      <c r="I11" s="1241"/>
      <c r="J11" s="1245"/>
      <c r="K11" s="1245"/>
      <c r="L11" s="1245"/>
      <c r="M11" s="1245"/>
      <c r="N11" s="1246"/>
    </row>
    <row r="12" spans="1:14" s="1247" customFormat="1" ht="32.25" customHeight="1">
      <c r="A12" s="1248">
        <v>2</v>
      </c>
      <c r="B12" s="1248" t="s">
        <v>957</v>
      </c>
      <c r="C12" s="1249" t="s">
        <v>951</v>
      </c>
      <c r="D12" s="1267">
        <f>H6</f>
        <v>500</v>
      </c>
      <c r="E12" s="1241" t="s">
        <v>2596</v>
      </c>
      <c r="F12" s="1241">
        <v>0</v>
      </c>
      <c r="G12" s="1241">
        <v>0</v>
      </c>
      <c r="H12" s="1267">
        <f>+D12+F12-G12</f>
        <v>500</v>
      </c>
      <c r="I12" s="1241"/>
      <c r="J12" s="1245"/>
      <c r="K12" s="1245"/>
      <c r="L12" s="1245"/>
      <c r="M12" s="1245"/>
      <c r="N12" s="1246"/>
    </row>
    <row r="13" spans="1:14" s="1247" customFormat="1" ht="21" customHeight="1">
      <c r="C13" s="1250"/>
      <c r="J13" s="1245"/>
      <c r="K13" s="1245"/>
      <c r="L13" s="1245"/>
      <c r="M13" s="1245"/>
      <c r="N13" s="1246"/>
    </row>
    <row r="14" spans="1:14" s="1247" customFormat="1" ht="21" customHeight="1">
      <c r="A14" s="1245" t="s">
        <v>959</v>
      </c>
      <c r="B14" s="1245"/>
      <c r="C14" s="1245" t="s">
        <v>960</v>
      </c>
      <c r="D14" s="1245"/>
      <c r="E14" s="1245"/>
      <c r="F14" s="1245"/>
      <c r="G14" s="1245"/>
      <c r="H14" s="1245"/>
      <c r="I14" s="1246" t="s">
        <v>897</v>
      </c>
      <c r="J14" s="1245"/>
      <c r="K14" s="1245"/>
      <c r="L14" s="1245"/>
      <c r="M14" s="1245"/>
      <c r="N14" s="1246"/>
    </row>
    <row r="15" spans="1:14" s="1247" customFormat="1" ht="44.25" customHeight="1">
      <c r="A15" s="1094" t="s">
        <v>651</v>
      </c>
      <c r="B15" s="1094" t="s">
        <v>48</v>
      </c>
      <c r="C15" s="1240" t="s">
        <v>723</v>
      </c>
      <c r="D15" s="1240" t="s">
        <v>734</v>
      </c>
      <c r="E15" s="1240" t="s">
        <v>735</v>
      </c>
      <c r="F15" s="1240" t="s">
        <v>736</v>
      </c>
      <c r="G15" s="1240" t="s">
        <v>737</v>
      </c>
      <c r="H15" s="1240" t="s">
        <v>738</v>
      </c>
      <c r="I15" s="1240" t="s">
        <v>739</v>
      </c>
      <c r="J15" s="1245"/>
      <c r="K15" s="1245"/>
      <c r="L15" s="1245"/>
      <c r="M15" s="1245"/>
      <c r="N15" s="1246"/>
    </row>
    <row r="16" spans="1:14" s="1247" customFormat="1" ht="21" customHeight="1">
      <c r="A16" s="1241"/>
      <c r="B16" s="1241">
        <v>1</v>
      </c>
      <c r="C16" s="1242">
        <v>2</v>
      </c>
      <c r="D16" s="1241">
        <v>3</v>
      </c>
      <c r="E16" s="1241">
        <v>4</v>
      </c>
      <c r="F16" s="1241">
        <v>5</v>
      </c>
      <c r="G16" s="1241">
        <v>6</v>
      </c>
      <c r="H16" s="1241">
        <v>7</v>
      </c>
      <c r="I16" s="1241">
        <v>8</v>
      </c>
      <c r="J16" s="1245"/>
      <c r="K16" s="1245"/>
      <c r="L16" s="1245"/>
      <c r="M16" s="1245"/>
      <c r="N16" s="1246"/>
    </row>
    <row r="17" spans="1:14" s="1247" customFormat="1" ht="30">
      <c r="A17" s="1248">
        <v>1</v>
      </c>
      <c r="B17" s="1248" t="s">
        <v>953</v>
      </c>
      <c r="C17" s="1249" t="s">
        <v>951</v>
      </c>
      <c r="D17" s="1267"/>
      <c r="E17" s="1268"/>
      <c r="F17" s="1267"/>
      <c r="G17" s="1241"/>
      <c r="H17" s="1267"/>
      <c r="I17" s="1241"/>
      <c r="J17" s="1245"/>
      <c r="K17" s="1245"/>
      <c r="L17" s="1245"/>
      <c r="M17" s="1245"/>
      <c r="N17" s="1246"/>
    </row>
    <row r="18" spans="1:14" s="1247" customFormat="1" ht="30">
      <c r="A18" s="1248">
        <v>2</v>
      </c>
      <c r="B18" s="1248" t="s">
        <v>272</v>
      </c>
      <c r="C18" s="1249" t="s">
        <v>951</v>
      </c>
      <c r="D18" s="1267"/>
      <c r="E18" s="1241"/>
      <c r="F18" s="1241"/>
      <c r="G18" s="1241"/>
      <c r="H18" s="1267"/>
      <c r="I18" s="1241"/>
      <c r="J18" s="1245"/>
      <c r="K18" s="1245"/>
      <c r="L18" s="1245"/>
      <c r="M18" s="1245"/>
      <c r="N18" s="1246"/>
    </row>
    <row r="19" spans="1:14" s="1247" customFormat="1" ht="21" customHeight="1">
      <c r="C19" s="1250"/>
      <c r="J19" s="1245"/>
      <c r="K19" s="1245"/>
      <c r="L19" s="1245"/>
      <c r="M19" s="1245"/>
      <c r="N19" s="1246"/>
    </row>
    <row r="20" spans="1:14" s="1247" customFormat="1" ht="21" customHeight="1">
      <c r="C20" s="1250"/>
      <c r="J20" s="1245"/>
      <c r="K20" s="1245"/>
      <c r="L20" s="1245"/>
      <c r="M20" s="1245"/>
      <c r="N20" s="1246"/>
    </row>
    <row r="21" spans="1:14" s="1247" customFormat="1">
      <c r="A21" s="1252" t="s">
        <v>725</v>
      </c>
      <c r="B21" s="1245"/>
      <c r="C21" s="1245"/>
      <c r="D21" s="1245"/>
      <c r="E21" s="1245"/>
      <c r="F21" s="1245"/>
      <c r="G21" s="1245"/>
      <c r="H21" s="1245"/>
      <c r="I21" s="1245"/>
      <c r="J21" s="1245"/>
      <c r="K21" s="1245"/>
      <c r="L21" s="1245"/>
      <c r="M21" s="1245"/>
      <c r="N21" s="1246"/>
    </row>
    <row r="22" spans="1:14">
      <c r="A22" s="1626" t="s">
        <v>934</v>
      </c>
      <c r="B22" s="1626"/>
      <c r="C22" s="1626"/>
      <c r="D22" s="1626"/>
      <c r="E22" s="1626"/>
      <c r="F22" s="1626"/>
      <c r="G22" s="1626"/>
      <c r="H22" s="1626"/>
      <c r="I22" s="1626"/>
    </row>
    <row r="23" spans="1:14" ht="47.25" customHeight="1">
      <c r="A23" s="1094" t="s">
        <v>651</v>
      </c>
      <c r="B23" s="250" t="s">
        <v>48</v>
      </c>
      <c r="C23" s="1094"/>
      <c r="D23" s="1094"/>
      <c r="E23" s="1094"/>
      <c r="F23" s="249" t="s">
        <v>224</v>
      </c>
      <c r="G23" s="249" t="s">
        <v>225</v>
      </c>
      <c r="H23" s="249" t="s">
        <v>226</v>
      </c>
      <c r="I23" s="1093" t="s">
        <v>724</v>
      </c>
      <c r="J23" s="1253"/>
      <c r="K23" s="1254"/>
      <c r="L23" s="1254"/>
      <c r="M23" s="1254"/>
      <c r="N23" s="1253"/>
    </row>
    <row r="24" spans="1:14">
      <c r="A24" s="1255"/>
      <c r="B24" s="1256" t="s">
        <v>718</v>
      </c>
      <c r="C24" s="1629" t="s">
        <v>968</v>
      </c>
      <c r="D24" s="1630"/>
      <c r="E24" s="1630"/>
      <c r="F24" s="1630"/>
      <c r="G24" s="1630"/>
      <c r="H24" s="1630"/>
      <c r="I24" s="1631"/>
      <c r="J24" s="1254"/>
      <c r="K24" s="1247"/>
      <c r="L24" s="1247"/>
      <c r="M24" s="1247"/>
      <c r="N24" s="1247"/>
    </row>
    <row r="25" spans="1:14">
      <c r="A25" s="1255"/>
      <c r="B25" s="1255" t="s">
        <v>719</v>
      </c>
      <c r="C25" s="1632"/>
      <c r="D25" s="1633"/>
      <c r="E25" s="1633"/>
      <c r="F25" s="1633"/>
      <c r="G25" s="1633"/>
      <c r="H25" s="1633"/>
      <c r="I25" s="1634"/>
      <c r="J25" s="1257"/>
      <c r="K25" s="1258"/>
      <c r="L25" s="1258"/>
      <c r="M25" s="1258"/>
      <c r="N25" s="1258"/>
    </row>
    <row r="26" spans="1:14">
      <c r="A26" s="1255"/>
      <c r="B26" s="1255" t="s">
        <v>227</v>
      </c>
      <c r="C26" s="1632"/>
      <c r="D26" s="1633"/>
      <c r="E26" s="1633"/>
      <c r="F26" s="1633"/>
      <c r="G26" s="1633"/>
      <c r="H26" s="1633"/>
      <c r="I26" s="1634"/>
      <c r="J26" s="1257"/>
      <c r="K26" s="1258"/>
      <c r="L26" s="1258"/>
      <c r="M26" s="1258"/>
      <c r="N26" s="1258"/>
    </row>
    <row r="27" spans="1:14">
      <c r="A27" s="1255"/>
      <c r="B27" s="1255" t="s">
        <v>721</v>
      </c>
      <c r="C27" s="1632"/>
      <c r="D27" s="1633"/>
      <c r="E27" s="1633"/>
      <c r="F27" s="1633"/>
      <c r="G27" s="1633"/>
      <c r="H27" s="1633"/>
      <c r="I27" s="1634"/>
      <c r="J27" s="1257"/>
      <c r="K27" s="1258"/>
      <c r="L27" s="1258"/>
      <c r="M27" s="1258"/>
      <c r="N27" s="1258"/>
    </row>
    <row r="28" spans="1:14">
      <c r="A28" s="1255"/>
      <c r="B28" s="1255" t="s">
        <v>228</v>
      </c>
      <c r="C28" s="1632"/>
      <c r="D28" s="1633"/>
      <c r="E28" s="1633"/>
      <c r="F28" s="1633"/>
      <c r="G28" s="1633"/>
      <c r="H28" s="1633"/>
      <c r="I28" s="1634"/>
      <c r="J28" s="1257"/>
      <c r="K28" s="1258"/>
      <c r="L28" s="1258"/>
      <c r="M28" s="1258"/>
      <c r="N28" s="1258"/>
    </row>
    <row r="29" spans="1:14">
      <c r="A29" s="1255"/>
      <c r="B29" s="1255" t="s">
        <v>722</v>
      </c>
      <c r="C29" s="1632"/>
      <c r="D29" s="1633"/>
      <c r="E29" s="1633"/>
      <c r="F29" s="1633"/>
      <c r="G29" s="1633"/>
      <c r="H29" s="1633"/>
      <c r="I29" s="1634"/>
      <c r="J29" s="1257"/>
      <c r="K29" s="1258"/>
      <c r="L29" s="1258"/>
      <c r="M29" s="1258"/>
      <c r="N29" s="1258"/>
    </row>
    <row r="30" spans="1:14">
      <c r="A30" s="1255"/>
      <c r="B30" s="1255" t="s">
        <v>229</v>
      </c>
      <c r="C30" s="1632"/>
      <c r="D30" s="1633"/>
      <c r="E30" s="1633"/>
      <c r="F30" s="1633"/>
      <c r="G30" s="1633"/>
      <c r="H30" s="1633"/>
      <c r="I30" s="1634"/>
      <c r="J30" s="1257"/>
      <c r="K30" s="1258"/>
      <c r="L30" s="1258"/>
      <c r="M30" s="1258"/>
      <c r="N30" s="1258"/>
    </row>
    <row r="31" spans="1:14">
      <c r="A31" s="1255"/>
      <c r="B31" s="1255" t="s">
        <v>230</v>
      </c>
      <c r="C31" s="1635"/>
      <c r="D31" s="1636"/>
      <c r="E31" s="1636"/>
      <c r="F31" s="1636"/>
      <c r="G31" s="1636"/>
      <c r="H31" s="1636"/>
      <c r="I31" s="1637"/>
      <c r="J31" s="1257"/>
      <c r="K31" s="1258"/>
      <c r="L31" s="1258"/>
      <c r="M31" s="1258"/>
      <c r="N31" s="1258"/>
    </row>
    <row r="32" spans="1:14" ht="21" hidden="1" customHeight="1">
      <c r="A32" s="1259">
        <v>2</v>
      </c>
      <c r="B32" s="1260" t="s">
        <v>368</v>
      </c>
      <c r="C32" s="1261"/>
      <c r="D32" s="1262"/>
      <c r="G32" s="1247"/>
      <c r="H32" s="1247"/>
      <c r="I32" s="1247"/>
      <c r="J32" s="1247"/>
      <c r="K32" s="1247"/>
      <c r="L32" s="1247"/>
      <c r="M32" s="1247"/>
      <c r="N32" s="1247"/>
    </row>
    <row r="33" spans="1:14" ht="21" hidden="1" customHeight="1">
      <c r="A33" s="1248">
        <v>3</v>
      </c>
      <c r="B33" s="1249" t="s">
        <v>355</v>
      </c>
      <c r="C33" s="1263"/>
      <c r="D33" s="1264"/>
      <c r="G33" s="1247"/>
      <c r="H33" s="1247"/>
      <c r="I33" s="1247"/>
      <c r="J33" s="1247"/>
      <c r="K33" s="1247"/>
      <c r="L33" s="1247"/>
      <c r="M33" s="1247"/>
      <c r="N33" s="1247"/>
    </row>
    <row r="34" spans="1:14" ht="21" hidden="1" customHeight="1">
      <c r="A34" s="1248">
        <v>4</v>
      </c>
      <c r="B34" s="1249" t="s">
        <v>356</v>
      </c>
      <c r="C34" s="1627"/>
      <c r="D34" s="1628"/>
      <c r="G34" s="1247"/>
      <c r="H34" s="1247"/>
      <c r="I34" s="1247"/>
      <c r="J34" s="1247"/>
      <c r="K34" s="1247"/>
      <c r="L34" s="1247"/>
      <c r="M34" s="1247"/>
      <c r="N34" s="1247"/>
    </row>
    <row r="35" spans="1:14" ht="21" hidden="1" customHeight="1">
      <c r="A35" s="1248">
        <v>5</v>
      </c>
      <c r="B35" s="1249" t="s">
        <v>357</v>
      </c>
      <c r="C35" s="1263"/>
      <c r="D35" s="1264"/>
      <c r="G35" s="1247"/>
      <c r="H35" s="1247"/>
      <c r="I35" s="1247"/>
      <c r="J35" s="1247"/>
      <c r="K35" s="1247"/>
      <c r="L35" s="1247"/>
      <c r="M35" s="1247"/>
      <c r="N35" s="1247"/>
    </row>
    <row r="36" spans="1:14" ht="21" hidden="1" customHeight="1">
      <c r="G36" s="1247"/>
      <c r="H36" s="1247"/>
      <c r="I36" s="1247"/>
      <c r="J36" s="1247"/>
      <c r="K36" s="1247"/>
      <c r="L36" s="1247"/>
      <c r="M36" s="1247"/>
      <c r="N36" s="1247"/>
    </row>
    <row r="37" spans="1:14" hidden="1">
      <c r="G37" s="1247"/>
      <c r="H37" s="1247"/>
      <c r="I37" s="1247"/>
      <c r="J37" s="1247"/>
      <c r="K37" s="1247"/>
      <c r="L37" s="1247"/>
      <c r="M37" s="1247"/>
      <c r="N37" s="1247"/>
    </row>
    <row r="38" spans="1:14">
      <c r="G38" s="1247"/>
      <c r="H38" s="1247"/>
      <c r="I38" s="1247"/>
      <c r="J38" s="1247"/>
      <c r="K38" s="1247"/>
      <c r="L38" s="1247"/>
      <c r="M38" s="1247"/>
      <c r="N38" s="1247"/>
    </row>
    <row r="39" spans="1:14">
      <c r="A39" s="1265" t="s">
        <v>726</v>
      </c>
      <c r="G39" s="1247"/>
      <c r="H39" s="1247"/>
      <c r="I39" s="1247"/>
      <c r="J39" s="1247"/>
      <c r="K39" s="1247"/>
      <c r="L39" s="1247"/>
      <c r="M39" s="1247"/>
      <c r="N39" s="1247"/>
    </row>
    <row r="40" spans="1:14">
      <c r="A40" s="1626" t="s">
        <v>935</v>
      </c>
      <c r="B40" s="1626"/>
      <c r="C40" s="1626"/>
      <c r="D40" s="1626"/>
      <c r="E40" s="1626"/>
      <c r="F40" s="1626"/>
      <c r="G40" s="1626"/>
      <c r="H40" s="1626"/>
      <c r="I40" s="1247"/>
      <c r="J40" s="1247"/>
      <c r="K40" s="1247"/>
      <c r="L40" s="1247"/>
      <c r="M40" s="1247"/>
      <c r="N40" s="1247"/>
    </row>
    <row r="41" spans="1:14" ht="60">
      <c r="A41" s="1241" t="s">
        <v>651</v>
      </c>
      <c r="B41" s="1242" t="s">
        <v>727</v>
      </c>
      <c r="C41" s="1242" t="s">
        <v>728</v>
      </c>
      <c r="D41" s="1242" t="s">
        <v>729</v>
      </c>
      <c r="E41" s="1242" t="s">
        <v>730</v>
      </c>
      <c r="F41" s="1242" t="s">
        <v>731</v>
      </c>
      <c r="G41" s="1242" t="s">
        <v>732</v>
      </c>
      <c r="H41" s="1242" t="s">
        <v>733</v>
      </c>
    </row>
    <row r="42" spans="1:14">
      <c r="A42" s="1094">
        <v>1</v>
      </c>
      <c r="B42" s="1240">
        <v>2</v>
      </c>
      <c r="C42" s="1094">
        <v>3</v>
      </c>
      <c r="D42" s="1240">
        <v>4</v>
      </c>
      <c r="E42" s="1094">
        <v>5</v>
      </c>
      <c r="F42" s="1240">
        <v>6</v>
      </c>
      <c r="G42" s="1094">
        <v>7</v>
      </c>
      <c r="H42" s="1240">
        <v>8</v>
      </c>
    </row>
    <row r="43" spans="1:14">
      <c r="A43" s="1248"/>
      <c r="B43" s="1248"/>
      <c r="C43" s="1638" t="s">
        <v>968</v>
      </c>
      <c r="D43" s="1619"/>
      <c r="E43" s="1619"/>
      <c r="F43" s="1619"/>
      <c r="G43" s="1619"/>
      <c r="H43" s="1620"/>
    </row>
    <row r="44" spans="1:14">
      <c r="A44" s="1247"/>
      <c r="B44" s="1247"/>
      <c r="C44" s="1266"/>
      <c r="D44" s="1266"/>
      <c r="E44" s="1266"/>
      <c r="F44" s="1266"/>
      <c r="G44" s="1266"/>
      <c r="H44" s="1266"/>
    </row>
    <row r="47" spans="1:14">
      <c r="F47" s="1624" t="s">
        <v>427</v>
      </c>
      <c r="G47" s="1624"/>
      <c r="H47" s="1624"/>
      <c r="I47" s="1624"/>
    </row>
  </sheetData>
  <mergeCells count="7">
    <mergeCell ref="F47:I47"/>
    <mergeCell ref="A1:I1"/>
    <mergeCell ref="A22:I22"/>
    <mergeCell ref="C34:D34"/>
    <mergeCell ref="A40:H40"/>
    <mergeCell ref="C24:I31"/>
    <mergeCell ref="C43:H43"/>
  </mergeCells>
  <pageMargins left="0.55118110236220474" right="0.55118110236220474" top="0.47244094488188981" bottom="0.74803149606299213" header="0.31496062992125984" footer="0.31496062992125984"/>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4"/>
  <sheetViews>
    <sheetView showGridLines="0" view="pageBreakPreview" zoomScale="60" zoomScaleNormal="100" workbookViewId="0">
      <selection activeCell="D15" sqref="D15"/>
    </sheetView>
  </sheetViews>
  <sheetFormatPr defaultColWidth="9.140625" defaultRowHeight="15"/>
  <cols>
    <col min="1" max="1" width="6.5703125" style="288" customWidth="1"/>
    <col min="2" max="2" width="30.28515625" style="288" customWidth="1"/>
    <col min="3" max="3" width="20.5703125" style="1213" customWidth="1"/>
    <col min="4" max="4" width="13.28515625" style="1213" customWidth="1"/>
    <col min="5" max="5" width="12.5703125" style="1213" customWidth="1"/>
    <col min="6" max="6" width="10.28515625" style="1213" customWidth="1"/>
    <col min="7" max="7" width="12" style="1213" customWidth="1"/>
    <col min="8" max="8" width="10.7109375" style="1213" bestFit="1" customWidth="1"/>
    <col min="9" max="9" width="7.140625" style="1213" customWidth="1"/>
    <col min="10" max="10" width="9.140625" style="1213" bestFit="1" customWidth="1"/>
    <col min="11" max="11" width="7.85546875" style="1213" customWidth="1"/>
    <col min="12" max="12" width="7.140625" style="1213" bestFit="1" customWidth="1"/>
    <col min="13" max="13" width="12.42578125" style="1213" customWidth="1"/>
    <col min="14" max="14" width="12.85546875" style="1213" customWidth="1"/>
    <col min="15" max="15" width="9.140625" style="1213"/>
    <col min="16" max="16384" width="9.140625" style="288"/>
  </cols>
  <sheetData>
    <row r="1" spans="1:15" ht="21" customHeight="1">
      <c r="A1" s="1639" t="s">
        <v>1233</v>
      </c>
      <c r="B1" s="1639"/>
      <c r="C1" s="1639"/>
      <c r="D1" s="1639"/>
      <c r="E1" s="1639"/>
      <c r="F1" s="1639"/>
      <c r="G1" s="1639"/>
      <c r="H1" s="1639"/>
      <c r="I1" s="1639"/>
      <c r="J1" s="1639"/>
      <c r="K1" s="1639"/>
      <c r="L1" s="1639"/>
      <c r="M1" s="1639"/>
      <c r="N1" s="1639"/>
    </row>
    <row r="2" spans="1:15" ht="21" customHeight="1">
      <c r="A2" s="1640" t="s">
        <v>936</v>
      </c>
      <c r="B2" s="1640"/>
      <c r="C2" s="1640"/>
      <c r="D2" s="1640"/>
      <c r="E2" s="1640"/>
      <c r="F2" s="1640"/>
      <c r="G2" s="1640"/>
      <c r="H2" s="1640"/>
      <c r="I2" s="1640"/>
      <c r="J2" s="1640"/>
      <c r="K2" s="1640"/>
      <c r="L2" s="1640"/>
      <c r="M2" s="1641" t="s">
        <v>897</v>
      </c>
      <c r="N2" s="1641"/>
    </row>
    <row r="3" spans="1:15" ht="21" customHeight="1">
      <c r="I3" s="1214"/>
      <c r="J3" s="1214"/>
      <c r="K3" s="1214"/>
      <c r="L3" s="1214"/>
      <c r="M3" s="1642" t="s">
        <v>345</v>
      </c>
      <c r="N3" s="1642"/>
    </row>
    <row r="4" spans="1:15" s="1217" customFormat="1" ht="61.5" customHeight="1">
      <c r="A4" s="1487" t="s">
        <v>183</v>
      </c>
      <c r="B4" s="1487" t="s">
        <v>48</v>
      </c>
      <c r="C4" s="1643" t="s">
        <v>256</v>
      </c>
      <c r="D4" s="1644"/>
      <c r="E4" s="1644"/>
      <c r="F4" s="1645"/>
      <c r="G4" s="1215" t="s">
        <v>257</v>
      </c>
      <c r="H4" s="1643" t="s">
        <v>258</v>
      </c>
      <c r="I4" s="1645"/>
      <c r="J4" s="1646" t="s">
        <v>259</v>
      </c>
      <c r="K4" s="1646"/>
      <c r="L4" s="1646"/>
      <c r="M4" s="1646" t="s">
        <v>260</v>
      </c>
      <c r="N4" s="1646"/>
      <c r="O4" s="1216"/>
    </row>
    <row r="5" spans="1:15" s="1217" customFormat="1" ht="36.75" customHeight="1">
      <c r="A5" s="1487"/>
      <c r="B5" s="1487"/>
      <c r="C5" s="1215" t="s">
        <v>261</v>
      </c>
      <c r="D5" s="1215" t="s">
        <v>262</v>
      </c>
      <c r="E5" s="1215" t="s">
        <v>263</v>
      </c>
      <c r="F5" s="1215" t="s">
        <v>68</v>
      </c>
      <c r="G5" s="1215"/>
      <c r="H5" s="1215" t="s">
        <v>264</v>
      </c>
      <c r="I5" s="1215" t="s">
        <v>265</v>
      </c>
      <c r="J5" s="1215" t="s">
        <v>264</v>
      </c>
      <c r="K5" s="1215" t="s">
        <v>265</v>
      </c>
      <c r="L5" s="1215" t="s">
        <v>176</v>
      </c>
      <c r="M5" s="1215" t="s">
        <v>266</v>
      </c>
      <c r="N5" s="1215" t="s">
        <v>267</v>
      </c>
      <c r="O5" s="1216"/>
    </row>
    <row r="6" spans="1:15" ht="21" customHeight="1">
      <c r="A6" s="1096" t="s">
        <v>161</v>
      </c>
      <c r="B6" s="170" t="s">
        <v>268</v>
      </c>
      <c r="C6" s="1218"/>
      <c r="D6" s="1218"/>
      <c r="E6" s="1218"/>
      <c r="F6" s="1218"/>
      <c r="G6" s="1218"/>
      <c r="H6" s="1218"/>
      <c r="I6" s="1218"/>
      <c r="J6" s="1218"/>
      <c r="K6" s="1218"/>
      <c r="L6" s="1218"/>
      <c r="M6" s="272"/>
      <c r="N6" s="272"/>
    </row>
    <row r="7" spans="1:15" ht="21" customHeight="1">
      <c r="A7" s="1219">
        <v>1</v>
      </c>
      <c r="B7" s="251" t="s">
        <v>971</v>
      </c>
      <c r="C7" s="1218"/>
      <c r="D7" s="1218">
        <f>'F9-1'!D5</f>
        <v>388.47317329999998</v>
      </c>
      <c r="E7" s="1220">
        <f>12145/100</f>
        <v>121.45</v>
      </c>
      <c r="F7" s="1218">
        <f>+C7+D7+E7</f>
        <v>509.92317329999997</v>
      </c>
      <c r="G7" s="1218">
        <f>'F9-1'!F5</f>
        <v>75.56</v>
      </c>
      <c r="H7" s="1218"/>
      <c r="I7" s="1218"/>
      <c r="J7" s="1218">
        <f>48.94</f>
        <v>48.94</v>
      </c>
      <c r="K7" s="1218"/>
      <c r="L7" s="1218">
        <v>13</v>
      </c>
      <c r="M7" s="272">
        <f>D7+G7</f>
        <v>464.03317329999999</v>
      </c>
      <c r="N7" s="1221">
        <f>+E7+J7</f>
        <v>170.39</v>
      </c>
    </row>
    <row r="8" spans="1:15" ht="21" customHeight="1" thickBot="1">
      <c r="A8" s="1219"/>
      <c r="B8" s="1222" t="s">
        <v>399</v>
      </c>
      <c r="C8" s="1223">
        <f>SUM(C7:C7)</f>
        <v>0</v>
      </c>
      <c r="D8" s="1223">
        <f>SUM(D7:D7)</f>
        <v>388.47317329999998</v>
      </c>
      <c r="E8" s="1223">
        <f>SUM(E7:E7)</f>
        <v>121.45</v>
      </c>
      <c r="F8" s="1223">
        <f>+C8+D8+E8</f>
        <v>509.92317329999997</v>
      </c>
      <c r="G8" s="1223">
        <f>SUM(G7:G7)</f>
        <v>75.56</v>
      </c>
      <c r="H8" s="1223">
        <f>SUM(H7:H7)</f>
        <v>0</v>
      </c>
      <c r="I8" s="1223">
        <f>SUM(I7:I7)</f>
        <v>0</v>
      </c>
      <c r="J8" s="1223">
        <f>SUM(J7:J7)</f>
        <v>48.94</v>
      </c>
      <c r="K8" s="1223">
        <f>SUM(K7:K7)</f>
        <v>0</v>
      </c>
      <c r="L8" s="1223"/>
      <c r="M8" s="1223">
        <f>SUM(M7:M7)</f>
        <v>464.03317329999999</v>
      </c>
      <c r="N8" s="1223">
        <f>SUM(N7:N7)</f>
        <v>170.39</v>
      </c>
    </row>
    <row r="9" spans="1:15" ht="21" customHeight="1">
      <c r="A9" s="1096" t="s">
        <v>166</v>
      </c>
      <c r="B9" s="170" t="s">
        <v>273</v>
      </c>
      <c r="C9" s="1218"/>
      <c r="D9" s="1218"/>
      <c r="E9" s="1218"/>
      <c r="F9" s="1218"/>
      <c r="G9" s="1218"/>
      <c r="H9" s="1218"/>
      <c r="I9" s="1218"/>
      <c r="J9" s="1218"/>
      <c r="K9" s="1218"/>
      <c r="L9" s="1218"/>
      <c r="M9" s="272"/>
      <c r="N9" s="272"/>
    </row>
    <row r="10" spans="1:15" ht="21" customHeight="1">
      <c r="A10" s="1096">
        <v>1</v>
      </c>
      <c r="B10" s="1647" t="s">
        <v>175</v>
      </c>
      <c r="C10" s="1648"/>
      <c r="D10" s="1648"/>
      <c r="E10" s="1648"/>
      <c r="F10" s="1648"/>
      <c r="G10" s="1648"/>
      <c r="H10" s="1648"/>
      <c r="I10" s="1648"/>
      <c r="J10" s="1648"/>
      <c r="K10" s="1648"/>
      <c r="L10" s="1648"/>
      <c r="M10" s="1648"/>
      <c r="N10" s="1649"/>
    </row>
    <row r="11" spans="1:15" ht="21" customHeight="1">
      <c r="A11" s="1096">
        <v>2</v>
      </c>
      <c r="B11" s="1650"/>
      <c r="C11" s="1651"/>
      <c r="D11" s="1651"/>
      <c r="E11" s="1651"/>
      <c r="F11" s="1651"/>
      <c r="G11" s="1651"/>
      <c r="H11" s="1651"/>
      <c r="I11" s="1651"/>
      <c r="J11" s="1651"/>
      <c r="K11" s="1651"/>
      <c r="L11" s="1651"/>
      <c r="M11" s="1651"/>
      <c r="N11" s="1652"/>
    </row>
    <row r="12" spans="1:15" ht="21" customHeight="1">
      <c r="A12" s="1096">
        <v>3</v>
      </c>
      <c r="B12" s="1650"/>
      <c r="C12" s="1651"/>
      <c r="D12" s="1651"/>
      <c r="E12" s="1651"/>
      <c r="F12" s="1651"/>
      <c r="G12" s="1651"/>
      <c r="H12" s="1651"/>
      <c r="I12" s="1651"/>
      <c r="J12" s="1651"/>
      <c r="K12" s="1651"/>
      <c r="L12" s="1651"/>
      <c r="M12" s="1651"/>
      <c r="N12" s="1652"/>
    </row>
    <row r="13" spans="1:15" ht="21" customHeight="1">
      <c r="A13" s="1096">
        <v>4</v>
      </c>
      <c r="B13" s="1653"/>
      <c r="C13" s="1654"/>
      <c r="D13" s="1654"/>
      <c r="E13" s="1654"/>
      <c r="F13" s="1654"/>
      <c r="G13" s="1654"/>
      <c r="H13" s="1654"/>
      <c r="I13" s="1654"/>
      <c r="J13" s="1654"/>
      <c r="K13" s="1654"/>
      <c r="L13" s="1654"/>
      <c r="M13" s="1654"/>
      <c r="N13" s="1655"/>
    </row>
    <row r="14" spans="1:15" ht="21" customHeight="1" thickBot="1">
      <c r="A14" s="1219"/>
      <c r="B14" s="1222" t="s">
        <v>399</v>
      </c>
      <c r="C14" s="1223">
        <f>SUM(C10:C13)</f>
        <v>0</v>
      </c>
      <c r="D14" s="1223">
        <f t="shared" ref="D14:N14" si="0">SUM(D10:D13)</f>
        <v>0</v>
      </c>
      <c r="E14" s="1223">
        <f t="shared" si="0"/>
        <v>0</v>
      </c>
      <c r="F14" s="1223">
        <f t="shared" si="0"/>
        <v>0</v>
      </c>
      <c r="G14" s="1223">
        <f t="shared" si="0"/>
        <v>0</v>
      </c>
      <c r="H14" s="1223">
        <f t="shared" si="0"/>
        <v>0</v>
      </c>
      <c r="I14" s="1223">
        <f t="shared" si="0"/>
        <v>0</v>
      </c>
      <c r="J14" s="1223">
        <f t="shared" si="0"/>
        <v>0</v>
      </c>
      <c r="K14" s="1223">
        <f t="shared" si="0"/>
        <v>0</v>
      </c>
      <c r="L14" s="1223"/>
      <c r="M14" s="1223">
        <f t="shared" si="0"/>
        <v>0</v>
      </c>
      <c r="N14" s="1223">
        <f t="shared" si="0"/>
        <v>0</v>
      </c>
    </row>
    <row r="15" spans="1:15" ht="21" customHeight="1" thickBot="1">
      <c r="A15" s="1224"/>
      <c r="B15" s="1225" t="s">
        <v>400</v>
      </c>
      <c r="C15" s="1226">
        <f>C8+C14</f>
        <v>0</v>
      </c>
      <c r="D15" s="1226">
        <f t="shared" ref="D15:K15" si="1">D8+D14</f>
        <v>388.47317329999998</v>
      </c>
      <c r="E15" s="1226">
        <f t="shared" si="1"/>
        <v>121.45</v>
      </c>
      <c r="F15" s="1226">
        <f t="shared" si="1"/>
        <v>509.92317329999997</v>
      </c>
      <c r="G15" s="1226">
        <f t="shared" si="1"/>
        <v>75.56</v>
      </c>
      <c r="H15" s="1226">
        <f t="shared" si="1"/>
        <v>0</v>
      </c>
      <c r="I15" s="1226">
        <f t="shared" si="1"/>
        <v>0</v>
      </c>
      <c r="J15" s="1226">
        <f t="shared" si="1"/>
        <v>48.94</v>
      </c>
      <c r="K15" s="1226">
        <f t="shared" si="1"/>
        <v>0</v>
      </c>
      <c r="L15" s="1226"/>
      <c r="M15" s="1226">
        <f>M8+M14</f>
        <v>464.03317329999999</v>
      </c>
      <c r="N15" s="1226">
        <f>N8+N14</f>
        <v>170.39</v>
      </c>
    </row>
    <row r="16" spans="1:15" ht="21" customHeight="1" thickTop="1">
      <c r="A16" s="1227"/>
      <c r="B16" s="1664" t="s">
        <v>661</v>
      </c>
      <c r="C16" s="1664"/>
      <c r="D16" s="1664"/>
      <c r="E16" s="1664"/>
      <c r="F16" s="1664"/>
      <c r="G16" s="1664"/>
      <c r="H16" s="1664"/>
      <c r="I16" s="1664"/>
      <c r="J16" s="1664"/>
      <c r="K16" s="1664"/>
      <c r="L16" s="1664"/>
      <c r="M16" s="1664"/>
      <c r="N16" s="1664"/>
      <c r="O16" s="288"/>
    </row>
    <row r="17" spans="1:15">
      <c r="A17" s="1227"/>
      <c r="B17" s="1665"/>
      <c r="C17" s="1665"/>
      <c r="D17" s="1665"/>
      <c r="E17" s="1665"/>
      <c r="F17" s="1665"/>
      <c r="G17" s="1665"/>
      <c r="H17" s="1665"/>
      <c r="I17" s="1665"/>
      <c r="J17" s="1665"/>
      <c r="K17" s="1665"/>
      <c r="L17" s="1665"/>
      <c r="M17" s="1665"/>
      <c r="N17" s="1665"/>
      <c r="O17" s="288"/>
    </row>
    <row r="18" spans="1:15" ht="21" customHeight="1">
      <c r="A18" s="289"/>
      <c r="O18" s="288"/>
    </row>
    <row r="19" spans="1:15" ht="21" customHeight="1">
      <c r="A19" s="289"/>
      <c r="L19" s="1656" t="s">
        <v>427</v>
      </c>
      <c r="M19" s="1656"/>
      <c r="N19" s="1657"/>
      <c r="O19" s="288"/>
    </row>
    <row r="20" spans="1:15" ht="21" customHeight="1">
      <c r="A20" s="289"/>
      <c r="L20" s="1228"/>
      <c r="M20" s="1228"/>
      <c r="O20" s="288"/>
    </row>
    <row r="21" spans="1:15" ht="21" customHeight="1">
      <c r="A21" s="289"/>
      <c r="L21" s="1228"/>
      <c r="M21" s="1228"/>
      <c r="O21" s="288"/>
    </row>
    <row r="22" spans="1:15" ht="21" hidden="1" customHeight="1">
      <c r="A22" s="1227" t="s">
        <v>212</v>
      </c>
      <c r="B22" s="287"/>
      <c r="C22" s="1229"/>
      <c r="D22" s="1229"/>
      <c r="E22" s="1229"/>
      <c r="F22" s="1229"/>
      <c r="G22" s="1229"/>
      <c r="H22" s="1229"/>
      <c r="O22" s="288"/>
    </row>
    <row r="23" spans="1:15" ht="23.25" hidden="1" customHeight="1">
      <c r="A23" s="74">
        <v>1</v>
      </c>
      <c r="B23" s="102" t="s">
        <v>364</v>
      </c>
      <c r="C23" s="1658" t="s">
        <v>376</v>
      </c>
      <c r="D23" s="1659"/>
      <c r="E23" s="1659"/>
      <c r="F23" s="1659"/>
      <c r="G23" s="1659"/>
      <c r="H23" s="1660"/>
      <c r="O23" s="288"/>
    </row>
    <row r="24" spans="1:15" ht="21" hidden="1" customHeight="1">
      <c r="A24" s="1230">
        <v>2</v>
      </c>
      <c r="B24" s="1231" t="s">
        <v>368</v>
      </c>
      <c r="C24" s="1232" t="s">
        <v>353</v>
      </c>
      <c r="D24" s="1229"/>
      <c r="E24" s="1229"/>
      <c r="F24" s="1229"/>
      <c r="G24" s="1229"/>
      <c r="H24" s="1233"/>
      <c r="O24" s="288"/>
    </row>
    <row r="25" spans="1:15" ht="21" hidden="1" customHeight="1">
      <c r="A25" s="74">
        <v>3</v>
      </c>
      <c r="B25" s="1097" t="s">
        <v>355</v>
      </c>
      <c r="C25" s="1234" t="s">
        <v>353</v>
      </c>
      <c r="D25" s="1235"/>
      <c r="E25" s="1235"/>
      <c r="F25" s="1235"/>
      <c r="G25" s="1235"/>
      <c r="H25" s="1236"/>
      <c r="O25" s="288"/>
    </row>
    <row r="26" spans="1:15" ht="33.75" hidden="1" customHeight="1">
      <c r="A26" s="74">
        <v>4</v>
      </c>
      <c r="B26" s="167" t="s">
        <v>356</v>
      </c>
      <c r="C26" s="1661" t="s">
        <v>379</v>
      </c>
      <c r="D26" s="1662"/>
      <c r="E26" s="1662"/>
      <c r="F26" s="1662"/>
      <c r="G26" s="1662"/>
      <c r="H26" s="1663"/>
      <c r="O26" s="288"/>
    </row>
    <row r="27" spans="1:15" ht="21" hidden="1" customHeight="1">
      <c r="A27" s="74">
        <v>5</v>
      </c>
      <c r="B27" s="167" t="s">
        <v>357</v>
      </c>
      <c r="C27" s="1234"/>
      <c r="D27" s="1235"/>
      <c r="E27" s="1235"/>
      <c r="F27" s="1235"/>
      <c r="G27" s="1235"/>
      <c r="H27" s="1236"/>
      <c r="O27" s="288"/>
    </row>
    <row r="28" spans="1:15" ht="21" hidden="1" customHeight="1">
      <c r="A28" s="289"/>
      <c r="O28" s="288"/>
    </row>
    <row r="29" spans="1:15" ht="21" hidden="1" customHeight="1">
      <c r="O29" s="288"/>
    </row>
    <row r="30" spans="1:15" ht="21" hidden="1" customHeight="1">
      <c r="O30" s="288"/>
    </row>
    <row r="31" spans="1:15" ht="21" hidden="1" customHeight="1">
      <c r="O31" s="288"/>
    </row>
    <row r="32" spans="1:15" ht="21" hidden="1" customHeight="1">
      <c r="C32" s="288"/>
      <c r="D32" s="288"/>
      <c r="E32" s="288"/>
      <c r="F32" s="288"/>
      <c r="G32" s="288"/>
      <c r="H32" s="288"/>
      <c r="I32" s="288"/>
      <c r="J32" s="288"/>
      <c r="K32" s="288"/>
      <c r="L32" s="288"/>
      <c r="M32" s="288"/>
      <c r="N32" s="288"/>
      <c r="O32" s="288"/>
    </row>
    <row r="33" spans="3:15" ht="21" hidden="1" customHeight="1">
      <c r="C33" s="288"/>
      <c r="D33" s="288"/>
      <c r="E33" s="288"/>
      <c r="F33" s="288"/>
      <c r="G33" s="288"/>
      <c r="H33" s="288"/>
      <c r="I33" s="288"/>
      <c r="J33" s="288"/>
      <c r="K33" s="288"/>
      <c r="L33" s="288"/>
      <c r="M33" s="288"/>
      <c r="N33" s="288"/>
      <c r="O33" s="288"/>
    </row>
    <row r="34" spans="3:15" ht="21" hidden="1" customHeight="1">
      <c r="C34" s="288"/>
      <c r="D34" s="288"/>
      <c r="E34" s="288"/>
      <c r="F34" s="288"/>
      <c r="G34" s="288"/>
      <c r="H34" s="288"/>
      <c r="I34" s="288"/>
      <c r="J34" s="288"/>
      <c r="K34" s="288"/>
      <c r="L34" s="288"/>
      <c r="M34" s="288"/>
      <c r="N34" s="288"/>
      <c r="O34" s="288"/>
    </row>
    <row r="35" spans="3:15" ht="21" hidden="1" customHeight="1">
      <c r="C35" s="288"/>
      <c r="D35" s="288"/>
      <c r="E35" s="288"/>
      <c r="F35" s="288"/>
      <c r="G35" s="288"/>
      <c r="H35" s="288"/>
      <c r="I35" s="288"/>
      <c r="J35" s="288"/>
      <c r="K35" s="288"/>
      <c r="L35" s="288"/>
      <c r="M35" s="288"/>
      <c r="N35" s="288"/>
      <c r="O35" s="288"/>
    </row>
    <row r="36" spans="3:15" ht="21" hidden="1" customHeight="1">
      <c r="C36" s="288"/>
      <c r="D36" s="288"/>
      <c r="E36" s="288"/>
      <c r="F36" s="288"/>
      <c r="G36" s="288"/>
      <c r="H36" s="288"/>
      <c r="I36" s="288"/>
      <c r="J36" s="288"/>
      <c r="K36" s="288"/>
      <c r="L36" s="288"/>
      <c r="M36" s="288"/>
      <c r="N36" s="288"/>
      <c r="O36" s="288"/>
    </row>
    <row r="37" spans="3:15" ht="21" customHeight="1">
      <c r="C37" s="288"/>
      <c r="D37" s="288"/>
      <c r="E37" s="288"/>
      <c r="F37" s="288"/>
      <c r="G37" s="288"/>
      <c r="H37" s="288"/>
      <c r="I37" s="288"/>
      <c r="J37" s="288"/>
      <c r="K37" s="288"/>
      <c r="L37" s="288"/>
      <c r="M37" s="288"/>
      <c r="N37" s="288"/>
      <c r="O37" s="288"/>
    </row>
    <row r="38" spans="3:15" ht="21" customHeight="1">
      <c r="C38" s="288"/>
      <c r="D38" s="288"/>
      <c r="E38" s="288"/>
      <c r="F38" s="288"/>
      <c r="G38" s="288"/>
      <c r="H38" s="288"/>
      <c r="I38" s="288"/>
      <c r="J38" s="288"/>
      <c r="K38" s="288"/>
      <c r="L38" s="288"/>
      <c r="M38" s="288"/>
      <c r="N38" s="288"/>
      <c r="O38" s="288"/>
    </row>
    <row r="39" spans="3:15" ht="21" customHeight="1">
      <c r="C39" s="288"/>
      <c r="D39" s="288"/>
      <c r="E39" s="288"/>
      <c r="F39" s="288"/>
      <c r="G39" s="288"/>
      <c r="H39" s="288"/>
      <c r="I39" s="288"/>
      <c r="J39" s="288"/>
      <c r="K39" s="288"/>
      <c r="L39" s="288"/>
      <c r="M39" s="288"/>
      <c r="N39" s="288"/>
      <c r="O39" s="288"/>
    </row>
    <row r="40" spans="3:15" ht="21" customHeight="1">
      <c r="C40" s="288"/>
      <c r="D40" s="288"/>
      <c r="E40" s="288"/>
      <c r="F40" s="288"/>
      <c r="G40" s="288"/>
      <c r="H40" s="288"/>
      <c r="I40" s="288"/>
      <c r="J40" s="288"/>
      <c r="K40" s="288"/>
      <c r="L40" s="288"/>
      <c r="M40" s="288"/>
      <c r="N40" s="288"/>
      <c r="O40" s="288"/>
    </row>
    <row r="41" spans="3:15" ht="21" customHeight="1">
      <c r="C41" s="288"/>
      <c r="D41" s="288"/>
      <c r="E41" s="288"/>
      <c r="F41" s="288"/>
      <c r="G41" s="288"/>
      <c r="H41" s="288"/>
      <c r="I41" s="288"/>
      <c r="J41" s="288"/>
      <c r="K41" s="288"/>
      <c r="L41" s="288"/>
      <c r="M41" s="288"/>
      <c r="N41" s="288"/>
      <c r="O41" s="288"/>
    </row>
    <row r="42" spans="3:15" ht="21" customHeight="1">
      <c r="C42" s="288"/>
      <c r="D42" s="288"/>
      <c r="E42" s="288"/>
      <c r="F42" s="288"/>
      <c r="G42" s="288"/>
      <c r="H42" s="288"/>
      <c r="I42" s="288"/>
      <c r="J42" s="288"/>
      <c r="K42" s="288"/>
      <c r="L42" s="288"/>
      <c r="M42" s="288"/>
      <c r="N42" s="288"/>
      <c r="O42" s="288"/>
    </row>
    <row r="43" spans="3:15" ht="21" customHeight="1">
      <c r="C43" s="288"/>
      <c r="D43" s="288"/>
      <c r="E43" s="288"/>
      <c r="F43" s="288"/>
      <c r="G43" s="288"/>
      <c r="H43" s="288"/>
      <c r="I43" s="288"/>
      <c r="J43" s="288"/>
      <c r="K43" s="288"/>
      <c r="L43" s="288"/>
      <c r="M43" s="288"/>
      <c r="N43" s="288"/>
      <c r="O43" s="288"/>
    </row>
    <row r="44" spans="3:15" ht="21" customHeight="1">
      <c r="C44" s="288"/>
      <c r="D44" s="288"/>
      <c r="E44" s="288"/>
      <c r="F44" s="288"/>
      <c r="G44" s="288"/>
      <c r="H44" s="288"/>
      <c r="I44" s="288"/>
      <c r="J44" s="288"/>
      <c r="K44" s="288"/>
      <c r="L44" s="288"/>
      <c r="M44" s="288"/>
      <c r="N44" s="288"/>
      <c r="O44" s="288"/>
    </row>
    <row r="45" spans="3:15" ht="21" customHeight="1">
      <c r="C45" s="288"/>
      <c r="D45" s="288"/>
      <c r="E45" s="288"/>
      <c r="F45" s="288"/>
      <c r="G45" s="288"/>
      <c r="H45" s="288"/>
      <c r="I45" s="288"/>
      <c r="J45" s="288"/>
      <c r="K45" s="288"/>
      <c r="L45" s="288"/>
      <c r="M45" s="288"/>
      <c r="N45" s="288"/>
      <c r="O45" s="288"/>
    </row>
    <row r="46" spans="3:15" ht="21" customHeight="1">
      <c r="C46" s="288"/>
      <c r="D46" s="288"/>
      <c r="E46" s="288"/>
      <c r="F46" s="288"/>
      <c r="G46" s="288"/>
      <c r="H46" s="288"/>
      <c r="I46" s="288"/>
      <c r="J46" s="288"/>
      <c r="K46" s="288"/>
      <c r="L46" s="288"/>
      <c r="M46" s="288"/>
      <c r="N46" s="288"/>
      <c r="O46" s="288"/>
    </row>
    <row r="47" spans="3:15" ht="21" customHeight="1">
      <c r="C47" s="288"/>
      <c r="D47" s="288"/>
      <c r="E47" s="288"/>
      <c r="F47" s="288"/>
      <c r="G47" s="288"/>
      <c r="H47" s="288"/>
      <c r="I47" s="288"/>
      <c r="J47" s="288"/>
      <c r="K47" s="288"/>
      <c r="L47" s="288"/>
      <c r="M47" s="288"/>
      <c r="N47" s="288"/>
      <c r="O47" s="288"/>
    </row>
    <row r="48" spans="3:15" ht="21" customHeight="1">
      <c r="C48" s="288"/>
      <c r="D48" s="288"/>
      <c r="E48" s="288"/>
      <c r="F48" s="288"/>
      <c r="G48" s="288"/>
      <c r="H48" s="288"/>
      <c r="I48" s="288"/>
      <c r="J48" s="288"/>
      <c r="K48" s="288"/>
      <c r="L48" s="288"/>
      <c r="M48" s="288"/>
      <c r="N48" s="288"/>
      <c r="O48" s="288"/>
    </row>
    <row r="49" spans="3:15" ht="21" customHeight="1">
      <c r="C49" s="288"/>
      <c r="D49" s="288"/>
      <c r="E49" s="288"/>
      <c r="F49" s="288"/>
      <c r="G49" s="288"/>
      <c r="H49" s="288"/>
      <c r="I49" s="288"/>
      <c r="J49" s="288"/>
      <c r="K49" s="288"/>
      <c r="L49" s="288"/>
      <c r="M49" s="288"/>
      <c r="N49" s="288"/>
      <c r="O49" s="288"/>
    </row>
    <row r="50" spans="3:15" ht="21" customHeight="1">
      <c r="C50" s="288"/>
      <c r="D50" s="288"/>
      <c r="E50" s="288"/>
      <c r="F50" s="288"/>
      <c r="G50" s="288"/>
      <c r="H50" s="288"/>
      <c r="I50" s="288"/>
      <c r="J50" s="288"/>
      <c r="K50" s="288"/>
      <c r="L50" s="288"/>
      <c r="M50" s="288"/>
      <c r="N50" s="288"/>
      <c r="O50" s="288"/>
    </row>
    <row r="51" spans="3:15" ht="21" customHeight="1">
      <c r="C51" s="288"/>
      <c r="D51" s="288"/>
      <c r="E51" s="288"/>
      <c r="F51" s="288"/>
      <c r="G51" s="288"/>
      <c r="H51" s="288"/>
      <c r="I51" s="288"/>
      <c r="J51" s="288"/>
      <c r="K51" s="288"/>
      <c r="L51" s="288"/>
      <c r="M51" s="288"/>
      <c r="N51" s="288"/>
      <c r="O51" s="288"/>
    </row>
    <row r="52" spans="3:15" ht="21" customHeight="1">
      <c r="C52" s="288"/>
      <c r="D52" s="288"/>
      <c r="E52" s="288"/>
      <c r="F52" s="288"/>
      <c r="G52" s="288"/>
      <c r="H52" s="288"/>
      <c r="I52" s="288"/>
      <c r="J52" s="288"/>
      <c r="K52" s="288"/>
      <c r="L52" s="288"/>
      <c r="M52" s="288"/>
      <c r="N52" s="288"/>
      <c r="O52" s="288"/>
    </row>
    <row r="53" spans="3:15" ht="21" customHeight="1">
      <c r="C53" s="288"/>
      <c r="D53" s="288"/>
      <c r="E53" s="288"/>
      <c r="F53" s="288"/>
      <c r="G53" s="288"/>
      <c r="H53" s="288"/>
      <c r="I53" s="288"/>
      <c r="J53" s="288"/>
      <c r="K53" s="288"/>
      <c r="L53" s="288"/>
      <c r="M53" s="288"/>
      <c r="N53" s="288"/>
      <c r="O53" s="288"/>
    </row>
    <row r="54" spans="3:15" ht="21" customHeight="1">
      <c r="C54" s="288"/>
      <c r="D54" s="288"/>
      <c r="E54" s="288"/>
      <c r="F54" s="288"/>
      <c r="G54" s="288"/>
      <c r="H54" s="288"/>
      <c r="I54" s="288"/>
      <c r="J54" s="288"/>
      <c r="K54" s="288"/>
      <c r="L54" s="288"/>
      <c r="M54" s="288"/>
      <c r="N54" s="288"/>
      <c r="O54" s="288"/>
    </row>
    <row r="55" spans="3:15" ht="21" customHeight="1">
      <c r="C55" s="288"/>
      <c r="D55" s="288"/>
      <c r="E55" s="288"/>
      <c r="F55" s="288"/>
      <c r="G55" s="288"/>
      <c r="H55" s="288"/>
      <c r="I55" s="288"/>
      <c r="J55" s="288"/>
      <c r="K55" s="288"/>
      <c r="L55" s="288"/>
      <c r="M55" s="288"/>
      <c r="N55" s="288"/>
      <c r="O55" s="288"/>
    </row>
    <row r="56" spans="3:15" ht="21" customHeight="1">
      <c r="C56" s="288"/>
      <c r="D56" s="288"/>
      <c r="E56" s="288"/>
      <c r="F56" s="288"/>
      <c r="G56" s="288"/>
      <c r="H56" s="288"/>
      <c r="I56" s="288"/>
      <c r="J56" s="288"/>
      <c r="K56" s="288"/>
      <c r="L56" s="288"/>
      <c r="M56" s="288"/>
      <c r="N56" s="288"/>
      <c r="O56" s="288"/>
    </row>
    <row r="57" spans="3:15" ht="21" customHeight="1">
      <c r="C57" s="288"/>
      <c r="D57" s="288"/>
      <c r="E57" s="288"/>
      <c r="F57" s="288"/>
      <c r="G57" s="288"/>
      <c r="H57" s="288"/>
      <c r="I57" s="288"/>
      <c r="J57" s="288"/>
      <c r="K57" s="288"/>
      <c r="L57" s="288"/>
      <c r="M57" s="288"/>
      <c r="N57" s="288"/>
      <c r="O57" s="288"/>
    </row>
    <row r="58" spans="3:15" ht="21" customHeight="1">
      <c r="C58" s="288"/>
      <c r="D58" s="288"/>
      <c r="E58" s="288"/>
      <c r="F58" s="288"/>
      <c r="G58" s="288"/>
      <c r="H58" s="288"/>
      <c r="I58" s="288"/>
      <c r="J58" s="288"/>
      <c r="K58" s="288"/>
      <c r="L58" s="288"/>
      <c r="M58" s="288"/>
      <c r="N58" s="288"/>
      <c r="O58" s="288"/>
    </row>
    <row r="59" spans="3:15" ht="21" customHeight="1">
      <c r="C59" s="288"/>
      <c r="D59" s="288"/>
      <c r="E59" s="288"/>
      <c r="F59" s="288"/>
      <c r="G59" s="288"/>
      <c r="H59" s="288"/>
      <c r="I59" s="288"/>
      <c r="J59" s="288"/>
      <c r="K59" s="288"/>
      <c r="L59" s="288"/>
      <c r="M59" s="288"/>
      <c r="N59" s="288"/>
      <c r="O59" s="288"/>
    </row>
    <row r="60" spans="3:15" ht="21" customHeight="1">
      <c r="C60" s="288"/>
      <c r="D60" s="288"/>
      <c r="E60" s="288"/>
      <c r="F60" s="288"/>
      <c r="G60" s="288"/>
      <c r="H60" s="288"/>
      <c r="I60" s="288"/>
      <c r="J60" s="288"/>
      <c r="K60" s="288"/>
      <c r="L60" s="288"/>
      <c r="M60" s="288"/>
      <c r="N60" s="288"/>
      <c r="O60" s="288"/>
    </row>
    <row r="61" spans="3:15" ht="21" customHeight="1">
      <c r="C61" s="288"/>
      <c r="D61" s="288"/>
      <c r="E61" s="288"/>
      <c r="F61" s="288"/>
      <c r="G61" s="288"/>
      <c r="H61" s="288"/>
      <c r="I61" s="288"/>
      <c r="J61" s="288"/>
      <c r="K61" s="288"/>
      <c r="L61" s="288"/>
      <c r="M61" s="288"/>
      <c r="N61" s="288"/>
      <c r="O61" s="288"/>
    </row>
    <row r="62" spans="3:15" ht="21" customHeight="1">
      <c r="C62" s="288"/>
      <c r="D62" s="288"/>
      <c r="E62" s="288"/>
      <c r="F62" s="288"/>
      <c r="G62" s="288"/>
      <c r="H62" s="288"/>
      <c r="I62" s="288"/>
      <c r="J62" s="288"/>
      <c r="K62" s="288"/>
      <c r="L62" s="288"/>
      <c r="M62" s="288"/>
      <c r="N62" s="288"/>
      <c r="O62" s="288"/>
    </row>
    <row r="63" spans="3:15" ht="21" customHeight="1">
      <c r="C63" s="288"/>
      <c r="D63" s="288"/>
      <c r="E63" s="288"/>
      <c r="F63" s="288"/>
      <c r="G63" s="288"/>
      <c r="H63" s="288"/>
      <c r="I63" s="288"/>
      <c r="J63" s="288"/>
      <c r="K63" s="288"/>
      <c r="L63" s="288"/>
      <c r="M63" s="288"/>
      <c r="N63" s="288"/>
      <c r="O63" s="288"/>
    </row>
    <row r="64" spans="3:15" ht="21" customHeight="1">
      <c r="C64" s="288"/>
      <c r="D64" s="288"/>
      <c r="E64" s="288"/>
      <c r="F64" s="288"/>
      <c r="G64" s="288"/>
      <c r="H64" s="288"/>
      <c r="I64" s="288"/>
      <c r="J64" s="288"/>
      <c r="K64" s="288"/>
      <c r="L64" s="288"/>
      <c r="M64" s="288"/>
      <c r="N64" s="288"/>
      <c r="O64" s="288"/>
    </row>
    <row r="65" spans="3:15" ht="21" customHeight="1">
      <c r="C65" s="288"/>
      <c r="D65" s="288"/>
      <c r="E65" s="288"/>
      <c r="F65" s="288"/>
      <c r="G65" s="288"/>
      <c r="H65" s="288"/>
      <c r="I65" s="288"/>
      <c r="J65" s="288"/>
      <c r="K65" s="288"/>
      <c r="L65" s="288"/>
      <c r="M65" s="288"/>
      <c r="N65" s="288"/>
      <c r="O65" s="288"/>
    </row>
    <row r="66" spans="3:15" ht="21" customHeight="1">
      <c r="C66" s="288"/>
      <c r="D66" s="288"/>
      <c r="E66" s="288"/>
      <c r="F66" s="288"/>
      <c r="G66" s="288"/>
      <c r="H66" s="288"/>
      <c r="I66" s="288"/>
      <c r="J66" s="288"/>
      <c r="K66" s="288"/>
      <c r="L66" s="288"/>
      <c r="M66" s="288"/>
      <c r="N66" s="288"/>
      <c r="O66" s="288"/>
    </row>
    <row r="67" spans="3:15" ht="21" customHeight="1">
      <c r="C67" s="288"/>
      <c r="D67" s="288"/>
      <c r="E67" s="288"/>
      <c r="F67" s="288"/>
      <c r="G67" s="288"/>
      <c r="H67" s="288"/>
      <c r="I67" s="288"/>
      <c r="J67" s="288"/>
      <c r="K67" s="288"/>
      <c r="L67" s="288"/>
      <c r="M67" s="288"/>
      <c r="N67" s="288"/>
      <c r="O67" s="288"/>
    </row>
    <row r="68" spans="3:15" ht="21" customHeight="1">
      <c r="C68" s="288"/>
      <c r="D68" s="288"/>
      <c r="E68" s="288"/>
      <c r="F68" s="288"/>
      <c r="G68" s="288"/>
      <c r="H68" s="288"/>
      <c r="I68" s="288"/>
      <c r="J68" s="288"/>
      <c r="K68" s="288"/>
      <c r="L68" s="288"/>
      <c r="M68" s="288"/>
      <c r="N68" s="288"/>
      <c r="O68" s="288"/>
    </row>
    <row r="69" spans="3:15" ht="21" customHeight="1">
      <c r="C69" s="288"/>
      <c r="D69" s="288"/>
      <c r="E69" s="288"/>
      <c r="F69" s="288"/>
      <c r="G69" s="288"/>
      <c r="H69" s="288"/>
      <c r="I69" s="288"/>
      <c r="J69" s="288"/>
      <c r="K69" s="288"/>
      <c r="L69" s="288"/>
      <c r="M69" s="288"/>
      <c r="N69" s="288"/>
      <c r="O69" s="288"/>
    </row>
    <row r="70" spans="3:15" ht="21" customHeight="1">
      <c r="C70" s="288"/>
      <c r="D70" s="288"/>
      <c r="E70" s="288"/>
      <c r="F70" s="288"/>
      <c r="G70" s="288"/>
      <c r="H70" s="288"/>
      <c r="I70" s="288"/>
      <c r="J70" s="288"/>
      <c r="K70" s="288"/>
      <c r="L70" s="288"/>
      <c r="M70" s="288"/>
      <c r="N70" s="288"/>
      <c r="O70" s="288"/>
    </row>
    <row r="71" spans="3:15" ht="21" customHeight="1">
      <c r="C71" s="288"/>
      <c r="D71" s="288"/>
      <c r="E71" s="288"/>
      <c r="F71" s="288"/>
      <c r="G71" s="288"/>
      <c r="H71" s="288"/>
      <c r="I71" s="288"/>
      <c r="J71" s="288"/>
      <c r="K71" s="288"/>
      <c r="L71" s="288"/>
      <c r="M71" s="288"/>
      <c r="N71" s="288"/>
      <c r="O71" s="288"/>
    </row>
    <row r="72" spans="3:15" ht="21" customHeight="1">
      <c r="C72" s="288"/>
      <c r="D72" s="288"/>
      <c r="E72" s="288"/>
      <c r="F72" s="288"/>
      <c r="G72" s="288"/>
      <c r="H72" s="288"/>
      <c r="I72" s="288"/>
      <c r="J72" s="288"/>
      <c r="K72" s="288"/>
      <c r="L72" s="288"/>
      <c r="M72" s="288"/>
      <c r="N72" s="288"/>
      <c r="O72" s="288"/>
    </row>
    <row r="73" spans="3:15" ht="21" customHeight="1">
      <c r="C73" s="288"/>
      <c r="D73" s="288"/>
      <c r="E73" s="288"/>
      <c r="F73" s="288"/>
      <c r="G73" s="288"/>
      <c r="H73" s="288"/>
      <c r="I73" s="288"/>
      <c r="J73" s="288"/>
      <c r="K73" s="288"/>
      <c r="L73" s="288"/>
      <c r="M73" s="288"/>
      <c r="N73" s="288"/>
      <c r="O73" s="288"/>
    </row>
    <row r="74" spans="3:15" ht="21" customHeight="1">
      <c r="C74" s="288"/>
      <c r="D74" s="288"/>
      <c r="E74" s="288"/>
      <c r="F74" s="288"/>
      <c r="G74" s="288"/>
      <c r="H74" s="288"/>
      <c r="I74" s="288"/>
      <c r="J74" s="288"/>
      <c r="K74" s="288"/>
      <c r="L74" s="288"/>
      <c r="M74" s="288"/>
      <c r="N74" s="288"/>
      <c r="O74" s="288"/>
    </row>
    <row r="75" spans="3:15" ht="21" customHeight="1">
      <c r="C75" s="288"/>
      <c r="D75" s="288"/>
      <c r="E75" s="288"/>
      <c r="F75" s="288"/>
      <c r="G75" s="288"/>
      <c r="H75" s="288"/>
      <c r="I75" s="288"/>
      <c r="J75" s="288"/>
      <c r="K75" s="288"/>
      <c r="L75" s="288"/>
      <c r="M75" s="288"/>
      <c r="N75" s="288"/>
      <c r="O75" s="288"/>
    </row>
    <row r="76" spans="3:15" ht="21" customHeight="1">
      <c r="C76" s="288"/>
      <c r="D76" s="288"/>
      <c r="E76" s="288"/>
      <c r="F76" s="288"/>
      <c r="G76" s="288"/>
      <c r="H76" s="288"/>
      <c r="I76" s="288"/>
      <c r="J76" s="288"/>
      <c r="K76" s="288"/>
      <c r="L76" s="288"/>
      <c r="M76" s="288"/>
      <c r="N76" s="288"/>
      <c r="O76" s="288"/>
    </row>
    <row r="77" spans="3:15" ht="21" customHeight="1">
      <c r="C77" s="288"/>
      <c r="D77" s="288"/>
      <c r="E77" s="288"/>
      <c r="F77" s="288"/>
      <c r="G77" s="288"/>
      <c r="H77" s="288"/>
      <c r="I77" s="288"/>
      <c r="J77" s="288"/>
      <c r="K77" s="288"/>
      <c r="L77" s="288"/>
      <c r="M77" s="288"/>
      <c r="N77" s="288"/>
      <c r="O77" s="288"/>
    </row>
    <row r="78" spans="3:15" ht="21" customHeight="1">
      <c r="C78" s="288"/>
      <c r="D78" s="288"/>
      <c r="E78" s="288"/>
      <c r="F78" s="288"/>
      <c r="G78" s="288"/>
      <c r="H78" s="288"/>
      <c r="I78" s="288"/>
      <c r="J78" s="288"/>
      <c r="K78" s="288"/>
      <c r="L78" s="288"/>
      <c r="M78" s="288"/>
      <c r="N78" s="288"/>
      <c r="O78" s="288"/>
    </row>
    <row r="79" spans="3:15" ht="21" customHeight="1">
      <c r="C79" s="288"/>
      <c r="D79" s="288"/>
      <c r="E79" s="288"/>
      <c r="F79" s="288"/>
      <c r="G79" s="288"/>
      <c r="H79" s="288"/>
      <c r="I79" s="288"/>
      <c r="J79" s="288"/>
      <c r="K79" s="288"/>
      <c r="L79" s="288"/>
      <c r="M79" s="288"/>
      <c r="N79" s="288"/>
      <c r="O79" s="288"/>
    </row>
    <row r="80" spans="3:15" ht="21" customHeight="1">
      <c r="C80" s="288"/>
      <c r="D80" s="288"/>
      <c r="E80" s="288"/>
      <c r="F80" s="288"/>
      <c r="G80" s="288"/>
      <c r="H80" s="288"/>
      <c r="I80" s="288"/>
      <c r="J80" s="288"/>
      <c r="K80" s="288"/>
      <c r="L80" s="288"/>
      <c r="M80" s="288"/>
      <c r="N80" s="288"/>
      <c r="O80" s="288"/>
    </row>
    <row r="81" spans="3:15" ht="21" customHeight="1">
      <c r="C81" s="288"/>
      <c r="D81" s="288"/>
      <c r="E81" s="288"/>
      <c r="F81" s="288"/>
      <c r="G81" s="288"/>
      <c r="H81" s="288"/>
      <c r="I81" s="288"/>
      <c r="J81" s="288"/>
      <c r="K81" s="288"/>
      <c r="L81" s="288"/>
      <c r="M81" s="288"/>
      <c r="N81" s="288"/>
      <c r="O81" s="288"/>
    </row>
    <row r="82" spans="3:15" ht="21" customHeight="1">
      <c r="C82" s="288"/>
      <c r="D82" s="288"/>
      <c r="E82" s="288"/>
      <c r="F82" s="288"/>
      <c r="G82" s="288"/>
      <c r="H82" s="288"/>
      <c r="I82" s="288"/>
      <c r="J82" s="288"/>
      <c r="K82" s="288"/>
      <c r="L82" s="288"/>
      <c r="M82" s="288"/>
      <c r="N82" s="288"/>
      <c r="O82" s="288"/>
    </row>
    <row r="83" spans="3:15" ht="21" customHeight="1">
      <c r="C83" s="288"/>
      <c r="D83" s="288"/>
      <c r="E83" s="288"/>
      <c r="F83" s="288"/>
      <c r="G83" s="288"/>
      <c r="H83" s="288"/>
      <c r="I83" s="288"/>
      <c r="J83" s="288"/>
      <c r="K83" s="288"/>
      <c r="L83" s="288"/>
      <c r="M83" s="288"/>
      <c r="N83" s="288"/>
      <c r="O83" s="288"/>
    </row>
    <row r="84" spans="3:15" ht="21" customHeight="1">
      <c r="C84" s="288"/>
      <c r="D84" s="288"/>
      <c r="E84" s="288"/>
      <c r="F84" s="288"/>
      <c r="G84" s="288"/>
      <c r="H84" s="288"/>
      <c r="I84" s="288"/>
      <c r="J84" s="288"/>
      <c r="K84" s="288"/>
      <c r="L84" s="288"/>
      <c r="M84" s="288"/>
      <c r="N84" s="288"/>
      <c r="O84" s="288"/>
    </row>
    <row r="85" spans="3:15" ht="21" customHeight="1">
      <c r="C85" s="288"/>
      <c r="D85" s="288"/>
      <c r="E85" s="288"/>
      <c r="F85" s="288"/>
      <c r="G85" s="288"/>
      <c r="H85" s="288"/>
      <c r="I85" s="288"/>
      <c r="J85" s="288"/>
      <c r="K85" s="288"/>
      <c r="L85" s="288"/>
      <c r="M85" s="288"/>
      <c r="N85" s="288"/>
      <c r="O85" s="288"/>
    </row>
    <row r="86" spans="3:15" ht="21" customHeight="1">
      <c r="C86" s="288"/>
      <c r="D86" s="288"/>
      <c r="E86" s="288"/>
      <c r="F86" s="288"/>
      <c r="G86" s="288"/>
      <c r="H86" s="288"/>
      <c r="I86" s="288"/>
      <c r="J86" s="288"/>
      <c r="K86" s="288"/>
      <c r="L86" s="288"/>
      <c r="M86" s="288"/>
      <c r="N86" s="288"/>
      <c r="O86" s="288"/>
    </row>
    <row r="87" spans="3:15" ht="21" customHeight="1">
      <c r="C87" s="288"/>
      <c r="D87" s="288"/>
      <c r="E87" s="288"/>
      <c r="F87" s="288"/>
      <c r="G87" s="288"/>
      <c r="H87" s="288"/>
      <c r="I87" s="288"/>
      <c r="J87" s="288"/>
      <c r="K87" s="288"/>
      <c r="L87" s="288"/>
      <c r="M87" s="288"/>
      <c r="N87" s="288"/>
      <c r="O87" s="288"/>
    </row>
    <row r="88" spans="3:15" ht="21" customHeight="1">
      <c r="C88" s="288"/>
      <c r="D88" s="288"/>
      <c r="E88" s="288"/>
      <c r="F88" s="288"/>
      <c r="G88" s="288"/>
      <c r="H88" s="288"/>
      <c r="I88" s="288"/>
      <c r="J88" s="288"/>
      <c r="K88" s="288"/>
      <c r="L88" s="288"/>
      <c r="M88" s="288"/>
      <c r="N88" s="288"/>
      <c r="O88" s="288"/>
    </row>
    <row r="89" spans="3:15" ht="21" customHeight="1">
      <c r="C89" s="288"/>
      <c r="D89" s="288"/>
      <c r="E89" s="288"/>
      <c r="F89" s="288"/>
      <c r="G89" s="288"/>
      <c r="H89" s="288"/>
      <c r="I89" s="288"/>
      <c r="J89" s="288"/>
      <c r="K89" s="288"/>
      <c r="L89" s="288"/>
      <c r="M89" s="288"/>
      <c r="N89" s="288"/>
      <c r="O89" s="288"/>
    </row>
    <row r="90" spans="3:15" ht="21" customHeight="1">
      <c r="C90" s="288"/>
      <c r="D90" s="288"/>
      <c r="E90" s="288"/>
      <c r="F90" s="288"/>
      <c r="G90" s="288"/>
      <c r="H90" s="288"/>
      <c r="I90" s="288"/>
      <c r="J90" s="288"/>
      <c r="K90" s="288"/>
      <c r="L90" s="288"/>
      <c r="M90" s="288"/>
      <c r="N90" s="288"/>
      <c r="O90" s="288"/>
    </row>
    <row r="91" spans="3:15" ht="21" customHeight="1">
      <c r="C91" s="288"/>
      <c r="D91" s="288"/>
      <c r="E91" s="288"/>
      <c r="F91" s="288"/>
      <c r="G91" s="288"/>
      <c r="H91" s="288"/>
      <c r="I91" s="288"/>
      <c r="J91" s="288"/>
      <c r="K91" s="288"/>
      <c r="L91" s="288"/>
      <c r="M91" s="288"/>
      <c r="N91" s="288"/>
      <c r="O91" s="288"/>
    </row>
    <row r="92" spans="3:15" ht="21" customHeight="1">
      <c r="C92" s="288"/>
      <c r="D92" s="288"/>
      <c r="E92" s="288"/>
      <c r="F92" s="288"/>
      <c r="G92" s="288"/>
      <c r="H92" s="288"/>
      <c r="I92" s="288"/>
      <c r="J92" s="288"/>
      <c r="K92" s="288"/>
      <c r="L92" s="288"/>
      <c r="M92" s="288"/>
      <c r="N92" s="288"/>
      <c r="O92" s="288"/>
    </row>
    <row r="93" spans="3:15" ht="21" customHeight="1">
      <c r="C93" s="288"/>
      <c r="D93" s="288"/>
      <c r="E93" s="288"/>
      <c r="F93" s="288"/>
      <c r="G93" s="288"/>
      <c r="H93" s="288"/>
      <c r="I93" s="288"/>
      <c r="J93" s="288"/>
      <c r="K93" s="288"/>
      <c r="L93" s="288"/>
      <c r="M93" s="288"/>
      <c r="N93" s="288"/>
      <c r="O93" s="288"/>
    </row>
    <row r="94" spans="3:15" ht="21" customHeight="1">
      <c r="C94" s="288"/>
      <c r="D94" s="288"/>
      <c r="E94" s="288"/>
      <c r="F94" s="288"/>
      <c r="G94" s="288"/>
      <c r="H94" s="288"/>
      <c r="I94" s="288"/>
      <c r="J94" s="288"/>
      <c r="K94" s="288"/>
      <c r="L94" s="288"/>
      <c r="M94" s="288"/>
      <c r="N94" s="288"/>
      <c r="O94" s="288"/>
    </row>
    <row r="95" spans="3:15" ht="21" customHeight="1">
      <c r="C95" s="288"/>
      <c r="D95" s="288"/>
      <c r="E95" s="288"/>
      <c r="F95" s="288"/>
      <c r="G95" s="288"/>
      <c r="H95" s="288"/>
      <c r="I95" s="288"/>
      <c r="J95" s="288"/>
      <c r="K95" s="288"/>
      <c r="L95" s="288"/>
      <c r="M95" s="288"/>
      <c r="N95" s="288"/>
      <c r="O95" s="288"/>
    </row>
    <row r="96" spans="3:15" ht="21" customHeight="1">
      <c r="C96" s="288"/>
      <c r="D96" s="288"/>
      <c r="E96" s="288"/>
      <c r="F96" s="288"/>
      <c r="G96" s="288"/>
      <c r="H96" s="288"/>
      <c r="I96" s="288"/>
      <c r="J96" s="288"/>
      <c r="K96" s="288"/>
      <c r="L96" s="288"/>
      <c r="M96" s="288"/>
      <c r="N96" s="288"/>
      <c r="O96" s="288"/>
    </row>
    <row r="97" spans="3:15" ht="21" customHeight="1">
      <c r="C97" s="288"/>
      <c r="D97" s="288"/>
      <c r="E97" s="288"/>
      <c r="F97" s="288"/>
      <c r="G97" s="288"/>
      <c r="H97" s="288"/>
      <c r="I97" s="288"/>
      <c r="J97" s="288"/>
      <c r="K97" s="288"/>
      <c r="L97" s="288"/>
      <c r="M97" s="288"/>
      <c r="N97" s="288"/>
      <c r="O97" s="288"/>
    </row>
    <row r="98" spans="3:15" ht="21" customHeight="1">
      <c r="C98" s="288"/>
      <c r="D98" s="288"/>
      <c r="E98" s="288"/>
      <c r="F98" s="288"/>
      <c r="G98" s="288"/>
      <c r="H98" s="288"/>
      <c r="I98" s="288"/>
      <c r="J98" s="288"/>
      <c r="K98" s="288"/>
      <c r="L98" s="288"/>
      <c r="M98" s="288"/>
      <c r="N98" s="288"/>
      <c r="O98" s="288"/>
    </row>
    <row r="99" spans="3:15" ht="21" customHeight="1">
      <c r="C99" s="288"/>
      <c r="D99" s="288"/>
      <c r="E99" s="288"/>
      <c r="F99" s="288"/>
      <c r="G99" s="288"/>
      <c r="H99" s="288"/>
      <c r="I99" s="288"/>
      <c r="J99" s="288"/>
      <c r="K99" s="288"/>
      <c r="L99" s="288"/>
      <c r="M99" s="288"/>
      <c r="N99" s="288"/>
      <c r="O99" s="288"/>
    </row>
    <row r="100" spans="3:15" ht="21" customHeight="1">
      <c r="C100" s="288"/>
      <c r="D100" s="288"/>
      <c r="E100" s="288"/>
      <c r="F100" s="288"/>
      <c r="G100" s="288"/>
      <c r="H100" s="288"/>
      <c r="I100" s="288"/>
      <c r="J100" s="288"/>
      <c r="K100" s="288"/>
      <c r="L100" s="288"/>
      <c r="M100" s="288"/>
      <c r="N100" s="288"/>
      <c r="O100" s="288"/>
    </row>
    <row r="101" spans="3:15" ht="21" customHeight="1">
      <c r="C101" s="288"/>
      <c r="D101" s="288"/>
      <c r="E101" s="288"/>
      <c r="F101" s="288"/>
      <c r="G101" s="288"/>
      <c r="H101" s="288"/>
      <c r="I101" s="288"/>
      <c r="J101" s="288"/>
      <c r="K101" s="288"/>
      <c r="L101" s="288"/>
      <c r="M101" s="288"/>
      <c r="N101" s="288"/>
      <c r="O101" s="288"/>
    </row>
    <row r="102" spans="3:15" ht="21" customHeight="1">
      <c r="C102" s="288"/>
      <c r="D102" s="288"/>
      <c r="E102" s="288"/>
      <c r="F102" s="288"/>
      <c r="G102" s="288"/>
      <c r="H102" s="288"/>
      <c r="I102" s="288"/>
      <c r="J102" s="288"/>
      <c r="K102" s="288"/>
      <c r="L102" s="288"/>
      <c r="M102" s="288"/>
      <c r="N102" s="288"/>
      <c r="O102" s="288"/>
    </row>
    <row r="103" spans="3:15" ht="21" customHeight="1">
      <c r="C103" s="288"/>
      <c r="D103" s="288"/>
      <c r="E103" s="288"/>
      <c r="F103" s="288"/>
      <c r="G103" s="288"/>
      <c r="H103" s="288"/>
      <c r="I103" s="288"/>
      <c r="J103" s="288"/>
      <c r="K103" s="288"/>
      <c r="L103" s="288"/>
      <c r="M103" s="288"/>
      <c r="N103" s="288"/>
      <c r="O103" s="288"/>
    </row>
    <row r="104" spans="3:15" ht="21" customHeight="1">
      <c r="C104" s="288"/>
      <c r="D104" s="288"/>
      <c r="E104" s="288"/>
      <c r="F104" s="288"/>
      <c r="G104" s="288"/>
      <c r="H104" s="288"/>
      <c r="I104" s="288"/>
      <c r="J104" s="288"/>
      <c r="K104" s="288"/>
      <c r="L104" s="288"/>
      <c r="M104" s="288"/>
      <c r="N104" s="288"/>
      <c r="O104" s="288"/>
    </row>
  </sheetData>
  <mergeCells count="15">
    <mergeCell ref="B10:N13"/>
    <mergeCell ref="L19:N19"/>
    <mergeCell ref="C23:H23"/>
    <mergeCell ref="C26:H26"/>
    <mergeCell ref="B16:N17"/>
    <mergeCell ref="A1:N1"/>
    <mergeCell ref="A2:L2"/>
    <mergeCell ref="M2:N2"/>
    <mergeCell ref="M3:N3"/>
    <mergeCell ref="A4:A5"/>
    <mergeCell ref="B4:B5"/>
    <mergeCell ref="C4:F4"/>
    <mergeCell ref="H4:I4"/>
    <mergeCell ref="J4:L4"/>
    <mergeCell ref="M4:N4"/>
  </mergeCells>
  <pageMargins left="0.70866141732283472" right="0.70866141732283472" top="0.74803149606299213" bottom="0.74803149606299213" header="0.31496062992125984" footer="0.31496062992125984"/>
  <pageSetup paperSize="9"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8"/>
  <sheetViews>
    <sheetView showGridLines="0" view="pageBreakPreview" zoomScale="70" zoomScaleNormal="100" zoomScaleSheetLayoutView="70" workbookViewId="0">
      <selection activeCell="C12" sqref="C12"/>
    </sheetView>
  </sheetViews>
  <sheetFormatPr defaultColWidth="9.140625" defaultRowHeight="15"/>
  <cols>
    <col min="1" max="1" width="45.7109375" style="1029" bestFit="1" customWidth="1"/>
    <col min="2" max="2" width="9.140625" style="1029"/>
    <col min="3" max="3" width="19" style="1029" bestFit="1" customWidth="1"/>
    <col min="4" max="4" width="23.42578125" style="1029" bestFit="1" customWidth="1"/>
    <col min="5" max="5" width="17.5703125" style="1029" bestFit="1" customWidth="1"/>
    <col min="6" max="6" width="9.140625" style="1029"/>
    <col min="7" max="9" width="0" style="1029" hidden="1" customWidth="1"/>
    <col min="10" max="16384" width="9.140625" style="1029"/>
  </cols>
  <sheetData>
    <row r="1" spans="1:9">
      <c r="A1" s="1103" t="s">
        <v>1233</v>
      </c>
      <c r="B1" s="1104"/>
      <c r="C1" s="1104"/>
      <c r="D1" s="1104"/>
      <c r="E1" s="1105" t="s">
        <v>897</v>
      </c>
    </row>
    <row r="2" spans="1:9" ht="15.75" thickBot="1">
      <c r="A2" s="1106" t="s">
        <v>937</v>
      </c>
      <c r="B2" s="1104"/>
      <c r="C2" s="1104"/>
      <c r="D2" s="1104"/>
      <c r="E2" s="1104"/>
      <c r="G2" s="1030" t="e">
        <f>+#REF!*0.105</f>
        <v>#REF!</v>
      </c>
      <c r="H2" s="1031"/>
      <c r="I2" s="1031"/>
    </row>
    <row r="3" spans="1:9" ht="15.75" customHeight="1">
      <c r="A3" s="1666" t="s">
        <v>48</v>
      </c>
      <c r="B3" s="1668"/>
      <c r="C3" s="1670" t="s">
        <v>1173</v>
      </c>
      <c r="D3" s="1670" t="s">
        <v>1174</v>
      </c>
      <c r="E3" s="1104"/>
      <c r="F3" s="1030"/>
      <c r="G3" s="1031"/>
      <c r="H3" s="1031"/>
    </row>
    <row r="4" spans="1:9" ht="15.75" thickBot="1">
      <c r="A4" s="1667"/>
      <c r="B4" s="1669"/>
      <c r="C4" s="1671"/>
      <c r="D4" s="1671"/>
      <c r="E4" s="1104"/>
      <c r="F4" s="1030"/>
      <c r="G4" s="1031"/>
      <c r="H4" s="1031"/>
    </row>
    <row r="5" spans="1:9" ht="15.75" thickBot="1">
      <c r="A5" s="1107" t="s">
        <v>431</v>
      </c>
      <c r="B5" s="1108"/>
      <c r="C5" s="1109"/>
      <c r="D5" s="1109"/>
      <c r="E5" s="1104"/>
      <c r="F5" s="1030"/>
      <c r="G5" s="1031">
        <f>+F5/2</f>
        <v>0</v>
      </c>
      <c r="H5" s="1031">
        <f>+G5*0.105</f>
        <v>0</v>
      </c>
    </row>
    <row r="6" spans="1:9" ht="15.75" thickBot="1">
      <c r="A6" s="1107"/>
      <c r="B6" s="1109" t="s">
        <v>396</v>
      </c>
      <c r="C6" s="1110"/>
      <c r="D6" s="1110"/>
      <c r="E6" s="1104"/>
      <c r="F6" s="1030"/>
      <c r="G6" s="1031">
        <f>+F6/2</f>
        <v>0</v>
      </c>
      <c r="H6" s="1031">
        <f>+G6*0.105</f>
        <v>0</v>
      </c>
    </row>
    <row r="7" spans="1:9" ht="15.75" thickBot="1">
      <c r="A7" s="1107"/>
      <c r="B7" s="1109" t="s">
        <v>251</v>
      </c>
      <c r="C7" s="1110"/>
      <c r="D7" s="1110"/>
      <c r="E7" s="1104"/>
    </row>
    <row r="8" spans="1:9" ht="15.75" thickBot="1">
      <c r="A8" s="1107"/>
      <c r="B8" s="1108"/>
      <c r="C8" s="1111" t="s">
        <v>175</v>
      </c>
      <c r="D8" s="1111" t="s">
        <v>175</v>
      </c>
      <c r="E8" s="1104"/>
    </row>
    <row r="9" spans="1:9" ht="15.75" thickBot="1">
      <c r="A9" s="1107" t="s">
        <v>390</v>
      </c>
      <c r="B9" s="1108"/>
      <c r="C9" s="1110"/>
      <c r="D9" s="1110"/>
      <c r="E9" s="1104"/>
    </row>
    <row r="10" spans="1:9" ht="15.75" thickBot="1">
      <c r="A10" s="1107" t="s">
        <v>391</v>
      </c>
      <c r="B10" s="1108"/>
      <c r="C10" s="1111" t="s">
        <v>175</v>
      </c>
      <c r="D10" s="1111" t="s">
        <v>175</v>
      </c>
      <c r="E10" s="1104"/>
    </row>
    <row r="11" spans="1:9" ht="15.75" thickBot="1">
      <c r="A11" s="1107" t="s">
        <v>392</v>
      </c>
      <c r="B11" s="1108"/>
      <c r="C11" s="1110"/>
      <c r="D11" s="1110"/>
      <c r="E11" s="1104"/>
    </row>
    <row r="12" spans="1:9" ht="15.75" thickBot="1">
      <c r="A12" s="1107" t="s">
        <v>393</v>
      </c>
      <c r="B12" s="1108"/>
      <c r="C12" s="1112">
        <f>Interest!D14</f>
        <v>3437.2056733245045</v>
      </c>
      <c r="D12" s="1112">
        <f>Interest!H14</f>
        <v>4163.6076112250339</v>
      </c>
      <c r="E12" s="1104"/>
    </row>
    <row r="13" spans="1:9" ht="15.75" thickBot="1">
      <c r="A13" s="1107" t="s">
        <v>394</v>
      </c>
      <c r="B13" s="1108"/>
      <c r="C13" s="1113"/>
      <c r="D13" s="1113"/>
      <c r="E13" s="1104"/>
    </row>
    <row r="14" spans="1:9" ht="15.75" thickBot="1">
      <c r="A14" s="1114" t="s">
        <v>395</v>
      </c>
      <c r="B14" s="1115"/>
      <c r="C14" s="1116">
        <f>+C12</f>
        <v>3437.2056733245045</v>
      </c>
      <c r="D14" s="1116">
        <f t="shared" ref="D14" si="0">+D12</f>
        <v>4163.6076112250339</v>
      </c>
      <c r="E14" s="1104"/>
    </row>
    <row r="15" spans="1:9" ht="15.75" thickTop="1">
      <c r="A15" s="1104"/>
      <c r="B15" s="1104"/>
      <c r="C15" s="1104"/>
      <c r="D15" s="1104"/>
      <c r="E15" s="1104"/>
    </row>
    <row r="16" spans="1:9">
      <c r="A16" s="1104"/>
      <c r="B16" s="1104"/>
      <c r="C16" s="1104"/>
      <c r="D16" s="1104"/>
      <c r="E16" s="1104"/>
    </row>
    <row r="17" spans="1:5">
      <c r="A17" s="1104"/>
      <c r="B17" s="1104"/>
      <c r="C17" s="1104"/>
      <c r="D17" s="1104"/>
      <c r="E17" s="1104"/>
    </row>
    <row r="18" spans="1:5">
      <c r="A18" s="1104"/>
      <c r="B18" s="1672" t="s">
        <v>427</v>
      </c>
      <c r="C18" s="1672"/>
      <c r="D18" s="1673"/>
      <c r="E18" s="1117"/>
    </row>
  </sheetData>
  <mergeCells count="5">
    <mergeCell ref="A3:A4"/>
    <mergeCell ref="B3:B4"/>
    <mergeCell ref="C3:C4"/>
    <mergeCell ref="D3:D4"/>
    <mergeCell ref="B18:D18"/>
  </mergeCells>
  <pageMargins left="0.70866141732283472" right="0.70866141732283472" top="0.74803149606299213" bottom="0.74803149606299213" header="0.31496062992125984" footer="0.31496062992125984"/>
  <pageSetup paperSize="9" scale="75"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92D050"/>
    <pageSetUpPr fitToPage="1"/>
  </sheetPr>
  <dimension ref="A1:L44"/>
  <sheetViews>
    <sheetView showGridLines="0" view="pageBreakPreview" topLeftCell="C1" zoomScale="70" zoomScaleNormal="90" zoomScaleSheetLayoutView="70" workbookViewId="0">
      <selection activeCell="K11" sqref="K11"/>
    </sheetView>
  </sheetViews>
  <sheetFormatPr defaultColWidth="9.140625" defaultRowHeight="15"/>
  <cols>
    <col min="1" max="1" width="7.85546875" style="336" customWidth="1"/>
    <col min="2" max="2" width="40.140625" style="336" customWidth="1"/>
    <col min="3" max="3" width="13.5703125" style="336" customWidth="1"/>
    <col min="4" max="4" width="12.28515625" style="336" customWidth="1"/>
    <col min="5" max="5" width="14.140625" style="336" customWidth="1"/>
    <col min="6" max="7" width="11.140625" style="336" customWidth="1"/>
    <col min="8" max="8" width="17.28515625" style="336" bestFit="1" customWidth="1"/>
    <col min="9" max="10" width="13.5703125" style="336" customWidth="1"/>
    <col min="11" max="12" width="13.85546875" style="336" customWidth="1"/>
    <col min="13" max="16384" width="9.140625" style="336"/>
  </cols>
  <sheetData>
    <row r="1" spans="1:12" ht="21" customHeight="1">
      <c r="A1" s="1677" t="s">
        <v>1233</v>
      </c>
      <c r="B1" s="1678"/>
      <c r="C1" s="1678"/>
      <c r="D1" s="1678"/>
      <c r="E1" s="1678"/>
      <c r="F1" s="1678"/>
      <c r="G1" s="1678"/>
      <c r="H1" s="1678"/>
      <c r="I1" s="1678"/>
      <c r="J1" s="1678"/>
      <c r="K1" s="95"/>
      <c r="L1" s="95"/>
    </row>
    <row r="2" spans="1:12" ht="21" customHeight="1">
      <c r="A2" s="589" t="s">
        <v>638</v>
      </c>
      <c r="B2" s="589"/>
      <c r="C2" s="257"/>
      <c r="D2" s="197"/>
      <c r="E2" s="197"/>
      <c r="F2" s="197"/>
      <c r="G2" s="197"/>
      <c r="H2" s="197"/>
      <c r="I2" s="197"/>
      <c r="J2" s="197"/>
      <c r="K2" s="197"/>
      <c r="L2" s="334" t="s">
        <v>287</v>
      </c>
    </row>
    <row r="3" spans="1:12" ht="21" customHeight="1">
      <c r="A3" s="336" t="s">
        <v>13</v>
      </c>
      <c r="B3" s="255"/>
      <c r="G3" s="255"/>
      <c r="K3" s="1524"/>
      <c r="L3" s="1524"/>
    </row>
    <row r="4" spans="1:12">
      <c r="A4" s="1684" t="s">
        <v>286</v>
      </c>
      <c r="B4" s="1679" t="s">
        <v>48</v>
      </c>
      <c r="C4" s="1614" t="s">
        <v>2289</v>
      </c>
      <c r="D4" s="1619"/>
      <c r="E4" s="1619"/>
      <c r="F4" s="1620"/>
      <c r="G4" s="1676" t="s">
        <v>1917</v>
      </c>
      <c r="H4" s="1676"/>
      <c r="I4" s="1676"/>
      <c r="J4" s="1676"/>
      <c r="K4" s="1676" t="s">
        <v>1252</v>
      </c>
      <c r="L4" s="1676"/>
    </row>
    <row r="5" spans="1:12" ht="45">
      <c r="A5" s="1684"/>
      <c r="B5" s="1680"/>
      <c r="C5" s="249" t="s">
        <v>224</v>
      </c>
      <c r="D5" s="249" t="s">
        <v>225</v>
      </c>
      <c r="E5" s="249" t="s">
        <v>226</v>
      </c>
      <c r="F5" s="409" t="s">
        <v>233</v>
      </c>
      <c r="G5" s="249" t="s">
        <v>224</v>
      </c>
      <c r="H5" s="249" t="s">
        <v>225</v>
      </c>
      <c r="I5" s="249" t="s">
        <v>226</v>
      </c>
      <c r="J5" s="409" t="s">
        <v>233</v>
      </c>
      <c r="K5" s="249" t="s">
        <v>226</v>
      </c>
      <c r="L5" s="409" t="s">
        <v>233</v>
      </c>
    </row>
    <row r="6" spans="1:12" ht="17.25">
      <c r="A6" s="102"/>
      <c r="B6" s="104" t="s">
        <v>938</v>
      </c>
      <c r="C6" s="1681" t="s">
        <v>968</v>
      </c>
      <c r="D6" s="1682"/>
      <c r="E6" s="1682"/>
      <c r="F6" s="1682"/>
      <c r="G6" s="1682"/>
      <c r="H6" s="1682"/>
      <c r="I6" s="1682"/>
      <c r="J6" s="1682"/>
      <c r="K6" s="1682"/>
      <c r="L6" s="1683"/>
    </row>
    <row r="7" spans="1:12">
      <c r="A7" s="74"/>
      <c r="B7" s="104" t="s">
        <v>68</v>
      </c>
      <c r="C7" s="245"/>
      <c r="D7" s="245"/>
      <c r="E7" s="245"/>
      <c r="F7" s="245"/>
      <c r="G7" s="245"/>
      <c r="H7" s="245"/>
      <c r="I7" s="245"/>
      <c r="J7" s="245"/>
      <c r="K7" s="103"/>
      <c r="L7" s="103"/>
    </row>
    <row r="8" spans="1:12" ht="17.25">
      <c r="A8" s="101" t="s">
        <v>939</v>
      </c>
    </row>
    <row r="9" spans="1:12" ht="17.25">
      <c r="A9" s="101" t="s">
        <v>940</v>
      </c>
    </row>
    <row r="10" spans="1:12">
      <c r="A10" s="336" t="s">
        <v>639</v>
      </c>
      <c r="B10" s="255"/>
      <c r="G10" s="1524" t="s">
        <v>345</v>
      </c>
      <c r="H10" s="1524"/>
    </row>
    <row r="11" spans="1:12" s="1272" customFormat="1" ht="32.25" customHeight="1">
      <c r="A11" s="1685" t="s">
        <v>286</v>
      </c>
      <c r="B11" s="1686" t="s">
        <v>48</v>
      </c>
      <c r="C11" s="1674" t="s">
        <v>2289</v>
      </c>
      <c r="D11" s="1675"/>
      <c r="E11" s="1689" t="s">
        <v>1917</v>
      </c>
      <c r="F11" s="1690"/>
      <c r="G11" s="1688" t="s">
        <v>2287</v>
      </c>
      <c r="H11" s="1688"/>
    </row>
    <row r="12" spans="1:12" s="1272" customFormat="1">
      <c r="A12" s="1685"/>
      <c r="B12" s="1687"/>
      <c r="C12" s="1273" t="s">
        <v>224</v>
      </c>
      <c r="D12" s="1274" t="s">
        <v>246</v>
      </c>
      <c r="E12" s="1273" t="s">
        <v>224</v>
      </c>
      <c r="F12" s="1274" t="s">
        <v>246</v>
      </c>
      <c r="G12" s="1273" t="s">
        <v>224</v>
      </c>
      <c r="H12" s="1274" t="s">
        <v>246</v>
      </c>
    </row>
    <row r="13" spans="1:12" s="1272" customFormat="1">
      <c r="A13" s="1275"/>
      <c r="B13" s="1276"/>
      <c r="C13" s="1277"/>
      <c r="D13" s="1278"/>
      <c r="E13" s="1278"/>
      <c r="F13" s="1278"/>
      <c r="G13" s="1278"/>
      <c r="H13" s="1278"/>
    </row>
    <row r="14" spans="1:12" s="1272" customFormat="1">
      <c r="A14" s="715">
        <v>1</v>
      </c>
      <c r="B14" s="1279" t="s">
        <v>637</v>
      </c>
      <c r="C14" s="1277"/>
      <c r="D14" s="1280">
        <f>D26</f>
        <v>562.75471632930009</v>
      </c>
      <c r="E14" s="1280"/>
      <c r="F14" s="1280">
        <f>H26</f>
        <v>226.58097000000001</v>
      </c>
      <c r="G14" s="1280"/>
      <c r="H14" s="1280">
        <f>J26+J27</f>
        <v>339.88392399999998</v>
      </c>
    </row>
    <row r="15" spans="1:12" s="1272" customFormat="1">
      <c r="A15" s="715">
        <v>2</v>
      </c>
      <c r="B15" s="1275" t="s">
        <v>640</v>
      </c>
      <c r="C15" s="1277"/>
      <c r="D15" s="1277"/>
      <c r="E15" s="1281"/>
      <c r="F15" s="1281"/>
      <c r="G15" s="1281"/>
      <c r="H15" s="1281"/>
    </row>
    <row r="16" spans="1:12" s="1272" customFormat="1">
      <c r="A16" s="715">
        <v>3</v>
      </c>
      <c r="B16" s="1275" t="s">
        <v>640</v>
      </c>
      <c r="C16" s="1277"/>
      <c r="D16" s="1277"/>
      <c r="E16" s="1281"/>
      <c r="F16" s="1281"/>
      <c r="G16" s="1281"/>
      <c r="H16" s="1281"/>
    </row>
    <row r="17" spans="1:12" s="1272" customFormat="1">
      <c r="A17" s="1276" t="s">
        <v>68</v>
      </c>
      <c r="B17" s="1275"/>
      <c r="C17" s="1277"/>
      <c r="D17" s="1277"/>
      <c r="E17" s="1281"/>
      <c r="F17" s="1281"/>
      <c r="G17" s="1281"/>
      <c r="H17" s="1281"/>
    </row>
    <row r="19" spans="1:12" s="471" customFormat="1">
      <c r="A19" s="590" t="s">
        <v>826</v>
      </c>
      <c r="H19" s="471" t="s">
        <v>345</v>
      </c>
    </row>
    <row r="20" spans="1:12" ht="34.5" customHeight="1">
      <c r="A20" s="1691"/>
      <c r="B20" s="1623" t="s">
        <v>48</v>
      </c>
      <c r="C20" s="1431" t="s">
        <v>1916</v>
      </c>
      <c r="D20" s="1432"/>
      <c r="E20" s="1375" t="s">
        <v>1917</v>
      </c>
      <c r="F20" s="1376"/>
      <c r="G20" s="1376"/>
      <c r="H20" s="1377"/>
      <c r="I20" s="1365" t="s">
        <v>1918</v>
      </c>
      <c r="J20" s="1365"/>
    </row>
    <row r="21" spans="1:12" s="471" customFormat="1" ht="31.5">
      <c r="A21" s="1691"/>
      <c r="B21" s="1623"/>
      <c r="C21" s="455" t="s">
        <v>1235</v>
      </c>
      <c r="D21" s="328" t="s">
        <v>1305</v>
      </c>
      <c r="E21" s="455" t="s">
        <v>1235</v>
      </c>
      <c r="F21" s="455"/>
      <c r="G21" s="455"/>
      <c r="H21" s="459" t="s">
        <v>1241</v>
      </c>
      <c r="I21" s="455" t="s">
        <v>1235</v>
      </c>
      <c r="J21" s="455" t="s">
        <v>1243</v>
      </c>
    </row>
    <row r="22" spans="1:12">
      <c r="A22" s="74">
        <v>1</v>
      </c>
      <c r="B22" s="256" t="s">
        <v>824</v>
      </c>
      <c r="C22" s="270">
        <f>'F7-1'!C12-'F7-1'!C16</f>
        <v>1310.43</v>
      </c>
      <c r="D22" s="270">
        <f>'F7-1'!D12-'F7-1'!D16</f>
        <v>1934.8990544310004</v>
      </c>
      <c r="E22" s="270">
        <f>'F7-1'!E12-'F7-1'!E16</f>
        <v>1990.45</v>
      </c>
      <c r="F22" s="270"/>
      <c r="G22" s="270"/>
      <c r="H22" s="270">
        <f>'F7-1'!H12-'F7-1'!H16+'F7-1'!H15</f>
        <v>1632.5431119999998</v>
      </c>
      <c r="I22" s="270">
        <f>'F7-1'!I12-'F7-1'!I16</f>
        <v>1842.74</v>
      </c>
      <c r="J22" s="270">
        <f>'F7-1'!J12-'F7-1'!J16+'F7-1'!J15</f>
        <v>1699.4196199999999</v>
      </c>
    </row>
    <row r="23" spans="1:12">
      <c r="A23" s="74">
        <v>2</v>
      </c>
      <c r="B23" s="256" t="s">
        <v>822</v>
      </c>
      <c r="C23" s="270">
        <f>Interest!C8</f>
        <v>19.02</v>
      </c>
      <c r="D23" s="270">
        <f>'F7-2'!D45</f>
        <v>20.61</v>
      </c>
      <c r="E23" s="270"/>
      <c r="F23" s="270"/>
      <c r="G23" s="270"/>
      <c r="H23" s="270">
        <f>Interest!H8</f>
        <v>65.94</v>
      </c>
      <c r="I23" s="270">
        <f>Interest!I8</f>
        <v>0</v>
      </c>
      <c r="J23" s="270">
        <f>Interest!J8</f>
        <v>0</v>
      </c>
    </row>
    <row r="24" spans="1:12">
      <c r="A24" s="74">
        <f t="shared" ref="A24:A31" si="0">+A23+1</f>
        <v>3</v>
      </c>
      <c r="B24" s="256" t="s">
        <v>823</v>
      </c>
      <c r="C24" s="103"/>
      <c r="D24" s="270">
        <f>'F7-2'!D46</f>
        <v>38.44</v>
      </c>
      <c r="E24" s="103"/>
      <c r="F24" s="103"/>
      <c r="G24" s="103"/>
      <c r="H24" s="270">
        <f>Interest!H9</f>
        <v>81.7</v>
      </c>
      <c r="I24" s="103"/>
      <c r="J24" s="103"/>
    </row>
    <row r="25" spans="1:12">
      <c r="A25" s="74">
        <f t="shared" si="0"/>
        <v>4</v>
      </c>
      <c r="B25" s="256" t="s">
        <v>825</v>
      </c>
      <c r="C25" s="591">
        <f>C22-C23-C24</f>
        <v>1291.4100000000001</v>
      </c>
      <c r="D25" s="591">
        <f>D22-D23-D24</f>
        <v>1875.8490544310005</v>
      </c>
      <c r="E25" s="591">
        <f t="shared" ref="E25:I25" si="1">E22-E23-E24</f>
        <v>1990.45</v>
      </c>
      <c r="F25" s="591"/>
      <c r="G25" s="591"/>
      <c r="H25" s="591">
        <f t="shared" si="1"/>
        <v>1484.9031119999997</v>
      </c>
      <c r="I25" s="591">
        <f t="shared" si="1"/>
        <v>1842.74</v>
      </c>
      <c r="J25" s="591">
        <f>J22-J23-J24</f>
        <v>1699.4196199999999</v>
      </c>
    </row>
    <row r="26" spans="1:12">
      <c r="A26" s="74">
        <f t="shared" si="0"/>
        <v>5</v>
      </c>
      <c r="B26" s="256" t="s">
        <v>1321</v>
      </c>
      <c r="C26" s="591">
        <v>148.61000000000001</v>
      </c>
      <c r="D26" s="591">
        <f t="shared" ref="D26" si="2">D25*30%</f>
        <v>562.75471632930009</v>
      </c>
      <c r="E26" s="593"/>
      <c r="F26" s="593"/>
      <c r="G26" s="593"/>
      <c r="H26" s="593">
        <f>(SUM('[2]Capitalisation FY 2020-21'!$M$3:$M$52)+SUM('[2]Capitalisation FY 2020-21'!$M$54:$M$95)+SUM('[2]Capitalisation FY 2020-21'!$P$3:$P$95))*30%</f>
        <v>226.58097000000001</v>
      </c>
      <c r="I26" s="593"/>
      <c r="J26" s="593">
        <v>0</v>
      </c>
      <c r="K26" s="594"/>
      <c r="L26" s="594"/>
    </row>
    <row r="27" spans="1:12" s="471" customFormat="1">
      <c r="A27" s="74">
        <v>6</v>
      </c>
      <c r="B27" s="256" t="s">
        <v>1322</v>
      </c>
      <c r="C27" s="591">
        <v>159.21</v>
      </c>
      <c r="D27" s="591"/>
      <c r="E27" s="593">
        <v>342.48</v>
      </c>
      <c r="F27" s="593"/>
      <c r="G27" s="593"/>
      <c r="H27" s="593">
        <f>(SUM('[2]Capitalisation FY 2020-21'!$M$170:$M$200)+SUM('[2]Capitalisation FY 2020-21'!$P$170:$P$200))*20%</f>
        <v>145.92664239999999</v>
      </c>
      <c r="I27" s="593">
        <f>I25*20%</f>
        <v>368.548</v>
      </c>
      <c r="J27" s="593">
        <f>J25*20%</f>
        <v>339.88392399999998</v>
      </c>
      <c r="K27" s="594"/>
      <c r="L27" s="594"/>
    </row>
    <row r="28" spans="1:12">
      <c r="A28" s="74">
        <v>7</v>
      </c>
      <c r="B28" s="256" t="s">
        <v>283</v>
      </c>
      <c r="C28" s="270">
        <v>1283.69</v>
      </c>
      <c r="D28" s="270">
        <v>997.27</v>
      </c>
      <c r="E28" s="266">
        <v>1291.4100000000001</v>
      </c>
      <c r="F28" s="265"/>
      <c r="G28" s="265"/>
      <c r="H28" s="593">
        <f>D29</f>
        <v>1560.0247163293002</v>
      </c>
      <c r="I28" s="593">
        <f>E29</f>
        <v>1633.89</v>
      </c>
      <c r="J28" s="593">
        <f>H29</f>
        <v>1932.5323287293002</v>
      </c>
    </row>
    <row r="29" spans="1:12">
      <c r="A29" s="74">
        <f t="shared" si="0"/>
        <v>8</v>
      </c>
      <c r="B29" s="256" t="s">
        <v>284</v>
      </c>
      <c r="C29" s="591">
        <f>C28+C26+C27</f>
        <v>1591.5100000000002</v>
      </c>
      <c r="D29" s="591">
        <f>D28+D26+D27</f>
        <v>1560.0247163293002</v>
      </c>
      <c r="E29" s="593">
        <f>E28+E26+E27</f>
        <v>1633.89</v>
      </c>
      <c r="F29" s="593"/>
      <c r="G29" s="593"/>
      <c r="H29" s="593">
        <f>H28+H26+H27</f>
        <v>1932.5323287293002</v>
      </c>
      <c r="I29" s="593">
        <f>I28+I26+I27</f>
        <v>2002.4380000000001</v>
      </c>
      <c r="J29" s="593">
        <f>J28+J26+J27</f>
        <v>2272.4162527293001</v>
      </c>
    </row>
    <row r="30" spans="1:12">
      <c r="A30" s="74">
        <f t="shared" si="0"/>
        <v>9</v>
      </c>
      <c r="B30" s="256" t="s">
        <v>285</v>
      </c>
      <c r="C30" s="591">
        <f>AVERAGE(C29,C28)</f>
        <v>1437.6000000000001</v>
      </c>
      <c r="D30" s="591">
        <f t="shared" ref="D30:J30" si="3">AVERAGE(D29,D28)</f>
        <v>1278.6473581646501</v>
      </c>
      <c r="E30" s="593">
        <f>AVERAGE(E29,E28)</f>
        <v>1462.65</v>
      </c>
      <c r="F30" s="593"/>
      <c r="G30" s="593"/>
      <c r="H30" s="593">
        <f t="shared" si="3"/>
        <v>1746.2785225293001</v>
      </c>
      <c r="I30" s="593">
        <f t="shared" si="3"/>
        <v>1818.1640000000002</v>
      </c>
      <c r="J30" s="593">
        <f t="shared" si="3"/>
        <v>2102.4742907293003</v>
      </c>
    </row>
    <row r="31" spans="1:12">
      <c r="A31" s="74">
        <f t="shared" si="0"/>
        <v>10</v>
      </c>
      <c r="B31" s="256" t="s">
        <v>888</v>
      </c>
      <c r="C31" s="269">
        <v>0.155</v>
      </c>
      <c r="D31" s="269">
        <v>0.1</v>
      </c>
      <c r="E31" s="812">
        <v>0.155</v>
      </c>
      <c r="F31" s="812"/>
      <c r="G31" s="265"/>
      <c r="H31" s="812">
        <f>D31</f>
        <v>0.1</v>
      </c>
      <c r="I31" s="812">
        <f>E31</f>
        <v>0.155</v>
      </c>
      <c r="J31" s="812">
        <f>H31</f>
        <v>0.1</v>
      </c>
    </row>
    <row r="32" spans="1:12" ht="27" customHeight="1">
      <c r="A32" s="74"/>
      <c r="B32" s="1032" t="s">
        <v>889</v>
      </c>
      <c r="C32" s="269">
        <v>0.2155</v>
      </c>
      <c r="D32" s="812">
        <v>0.17471999999999999</v>
      </c>
      <c r="E32" s="812">
        <v>0.17469999999999999</v>
      </c>
      <c r="F32" s="812"/>
      <c r="G32" s="265"/>
      <c r="H32" s="812">
        <f>D32</f>
        <v>0.17471999999999999</v>
      </c>
      <c r="I32" s="812">
        <f>E32</f>
        <v>0.17469999999999999</v>
      </c>
      <c r="J32" s="812">
        <f>H32</f>
        <v>0.17471999999999999</v>
      </c>
    </row>
    <row r="33" spans="1:10">
      <c r="A33" s="74"/>
      <c r="B33" s="256" t="s">
        <v>660</v>
      </c>
      <c r="C33" s="813">
        <f>C31/(1-C32)</f>
        <v>0.1975780752071383</v>
      </c>
      <c r="D33" s="813">
        <f>D31/(1-D32)</f>
        <v>0.12117099651027531</v>
      </c>
      <c r="E33" s="813">
        <f>E31/(1-E32)</f>
        <v>0.18781049315400458</v>
      </c>
      <c r="F33" s="812"/>
      <c r="G33" s="265"/>
      <c r="H33" s="813">
        <f>H31/(1-H32)</f>
        <v>0.12117099651027531</v>
      </c>
      <c r="I33" s="813">
        <f>I31/(1-I32)</f>
        <v>0.18781049315400458</v>
      </c>
      <c r="J33" s="813">
        <f>J31/(1-J32)</f>
        <v>0.12117099651027531</v>
      </c>
    </row>
    <row r="34" spans="1:10">
      <c r="A34" s="74">
        <v>10</v>
      </c>
      <c r="B34" s="256" t="s">
        <v>1393</v>
      </c>
      <c r="C34" s="591">
        <f>C30*C33</f>
        <v>284.03824091778205</v>
      </c>
      <c r="D34" s="591">
        <f>D30*D33</f>
        <v>154.93497457404158</v>
      </c>
      <c r="E34" s="593">
        <f>(E33*E30)</f>
        <v>274.70101781170484</v>
      </c>
      <c r="F34" s="266"/>
      <c r="G34" s="265"/>
      <c r="H34" s="593">
        <f>(H33*H30)</f>
        <v>211.59830875936655</v>
      </c>
      <c r="I34" s="593">
        <f>(I33*I30)+0.04</f>
        <v>341.51027747485767</v>
      </c>
      <c r="J34" s="266">
        <f>J33*J30</f>
        <v>254.75890494490361</v>
      </c>
    </row>
    <row r="35" spans="1:10">
      <c r="A35" s="74">
        <v>11</v>
      </c>
      <c r="B35" s="256" t="s">
        <v>1320</v>
      </c>
      <c r="C35" s="270">
        <v>375.41</v>
      </c>
      <c r="D35" s="592">
        <f>C35</f>
        <v>375.41</v>
      </c>
      <c r="E35" s="266">
        <v>375.41</v>
      </c>
      <c r="F35" s="265"/>
      <c r="G35" s="265"/>
      <c r="H35" s="267">
        <f>E35</f>
        <v>375.41</v>
      </c>
      <c r="I35" s="267">
        <f>E35</f>
        <v>375.41</v>
      </c>
      <c r="J35" s="267">
        <f>I35</f>
        <v>375.41</v>
      </c>
    </row>
    <row r="36" spans="1:10">
      <c r="A36" s="74">
        <v>12</v>
      </c>
      <c r="B36" s="256" t="s">
        <v>1319</v>
      </c>
      <c r="C36" s="269">
        <v>0.14000000000000001</v>
      </c>
      <c r="D36" s="269">
        <v>0.1</v>
      </c>
      <c r="E36" s="812">
        <v>0.14000000000000001</v>
      </c>
      <c r="F36" s="265"/>
      <c r="G36" s="265"/>
      <c r="H36" s="812">
        <f>D36</f>
        <v>0.1</v>
      </c>
      <c r="I36" s="812">
        <f>E36</f>
        <v>0.14000000000000001</v>
      </c>
      <c r="J36" s="812">
        <f>H36</f>
        <v>0.1</v>
      </c>
    </row>
    <row r="37" spans="1:10" s="471" customFormat="1">
      <c r="A37" s="74">
        <v>13</v>
      </c>
      <c r="B37" s="256" t="s">
        <v>660</v>
      </c>
      <c r="C37" s="1033">
        <v>0.17849999999999999</v>
      </c>
      <c r="D37" s="812">
        <f>D36/(1-D32)</f>
        <v>0.12117099651027531</v>
      </c>
      <c r="E37" s="812">
        <f>E36/(1-E32)</f>
        <v>0.16963528413910095</v>
      </c>
      <c r="F37" s="265"/>
      <c r="G37" s="265"/>
      <c r="H37" s="812">
        <f>H36/(1-H32)</f>
        <v>0.12117099651027531</v>
      </c>
      <c r="I37" s="812">
        <f>I36/(1-I32)</f>
        <v>0.16963528413910095</v>
      </c>
      <c r="J37" s="812">
        <f>H37</f>
        <v>0.12117099651027531</v>
      </c>
    </row>
    <row r="38" spans="1:10">
      <c r="A38" s="74">
        <v>14</v>
      </c>
      <c r="B38" s="256" t="s">
        <v>890</v>
      </c>
      <c r="C38" s="591">
        <f>C35*C37</f>
        <v>67.010684999999995</v>
      </c>
      <c r="D38" s="593">
        <f>(D37*D35)</f>
        <v>45.488803799922458</v>
      </c>
      <c r="E38" s="593">
        <f>(E37*E35)</f>
        <v>63.682782018659893</v>
      </c>
      <c r="F38" s="265"/>
      <c r="G38" s="265"/>
      <c r="H38" s="593">
        <f>(H37*H35)</f>
        <v>45.488803799922458</v>
      </c>
      <c r="I38" s="593">
        <f>(I37*I35)+0.02</f>
        <v>63.702782018659896</v>
      </c>
      <c r="J38" s="593">
        <f>(J37*J35)</f>
        <v>45.488803799922458</v>
      </c>
    </row>
    <row r="39" spans="1:10">
      <c r="A39" s="74">
        <v>15</v>
      </c>
      <c r="B39" s="256" t="s">
        <v>891</v>
      </c>
      <c r="C39" s="591">
        <f>C38+C34</f>
        <v>351.04892591778207</v>
      </c>
      <c r="D39" s="591">
        <f>D38+D34</f>
        <v>200.42377837396404</v>
      </c>
      <c r="E39" s="591">
        <f>E38+E34</f>
        <v>338.38379983036475</v>
      </c>
      <c r="F39" s="271"/>
      <c r="G39" s="103"/>
      <c r="H39" s="591">
        <f>H38+H34</f>
        <v>257.08711255928898</v>
      </c>
      <c r="I39" s="591">
        <f>(I38+I34)-0.01</f>
        <v>405.20305949351757</v>
      </c>
      <c r="J39" s="591">
        <f>J38+J34</f>
        <v>300.24770874482607</v>
      </c>
    </row>
    <row r="40" spans="1:10">
      <c r="D40" s="594"/>
    </row>
    <row r="41" spans="1:10">
      <c r="D41" s="1058">
        <f>D36/(1-D37)</f>
        <v>0.11378777851312596</v>
      </c>
    </row>
    <row r="44" spans="1:10" ht="15.75">
      <c r="H44" s="1572" t="s">
        <v>427</v>
      </c>
      <c r="I44" s="1572"/>
      <c r="J44" s="1572"/>
    </row>
  </sheetData>
  <mergeCells count="20">
    <mergeCell ref="H44:J44"/>
    <mergeCell ref="C20:D20"/>
    <mergeCell ref="E20:H20"/>
    <mergeCell ref="I20:J20"/>
    <mergeCell ref="A20:A21"/>
    <mergeCell ref="B20:B21"/>
    <mergeCell ref="C11:D11"/>
    <mergeCell ref="K4:L4"/>
    <mergeCell ref="C4:F4"/>
    <mergeCell ref="G4:J4"/>
    <mergeCell ref="A1:J1"/>
    <mergeCell ref="B4:B5"/>
    <mergeCell ref="G10:H10"/>
    <mergeCell ref="C6:L6"/>
    <mergeCell ref="K3:L3"/>
    <mergeCell ref="A4:A5"/>
    <mergeCell ref="A11:A12"/>
    <mergeCell ref="B11:B12"/>
    <mergeCell ref="G11:H11"/>
    <mergeCell ref="E11:F11"/>
  </mergeCells>
  <pageMargins left="0.39370078740157483" right="0.19685039370078741" top="0.39370078740157483" bottom="0.23622047244094491" header="0.31496062992125984" footer="0.15748031496062992"/>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2"/>
  <sheetViews>
    <sheetView showGridLines="0" view="pageBreakPreview" zoomScale="70" zoomScaleNormal="70" zoomScaleSheetLayoutView="70" workbookViewId="0">
      <selection activeCell="C5" sqref="C5:E5"/>
    </sheetView>
  </sheetViews>
  <sheetFormatPr defaultRowHeight="15.75"/>
  <cols>
    <col min="1" max="1" width="8.7109375" style="324" bestFit="1" customWidth="1"/>
    <col min="2" max="2" width="57.5703125" style="80" bestFit="1" customWidth="1"/>
    <col min="3" max="3" width="16.85546875" style="80" customWidth="1"/>
    <col min="4" max="4" width="17" style="80" customWidth="1"/>
    <col min="5" max="5" width="16.85546875" style="80" customWidth="1"/>
    <col min="6" max="6" width="9.140625" style="80"/>
    <col min="7" max="7" width="16.42578125" style="80" bestFit="1" customWidth="1"/>
    <col min="8" max="9" width="10.5703125" style="80" bestFit="1" customWidth="1"/>
    <col min="10" max="10" width="12.7109375" style="80" bestFit="1" customWidth="1"/>
    <col min="11" max="254" width="9.140625" style="80"/>
    <col min="255" max="255" width="41.7109375" style="80" customWidth="1"/>
    <col min="256" max="257" width="9.140625" style="80"/>
    <col min="258" max="258" width="14.85546875" style="80" customWidth="1"/>
    <col min="259" max="510" width="9.140625" style="80"/>
    <col min="511" max="511" width="41.7109375" style="80" customWidth="1"/>
    <col min="512" max="513" width="9.140625" style="80"/>
    <col min="514" max="514" width="14.85546875" style="80" customWidth="1"/>
    <col min="515" max="766" width="9.140625" style="80"/>
    <col min="767" max="767" width="41.7109375" style="80" customWidth="1"/>
    <col min="768" max="769" width="9.140625" style="80"/>
    <col min="770" max="770" width="14.85546875" style="80" customWidth="1"/>
    <col min="771" max="1022" width="9.140625" style="80"/>
    <col min="1023" max="1023" width="41.7109375" style="80" customWidth="1"/>
    <col min="1024" max="1025" width="9.140625" style="80"/>
    <col min="1026" max="1026" width="14.85546875" style="80" customWidth="1"/>
    <col min="1027" max="1278" width="9.140625" style="80"/>
    <col min="1279" max="1279" width="41.7109375" style="80" customWidth="1"/>
    <col min="1280" max="1281" width="9.140625" style="80"/>
    <col min="1282" max="1282" width="14.85546875" style="80" customWidth="1"/>
    <col min="1283" max="1534" width="9.140625" style="80"/>
    <col min="1535" max="1535" width="41.7109375" style="80" customWidth="1"/>
    <col min="1536" max="1537" width="9.140625" style="80"/>
    <col min="1538" max="1538" width="14.85546875" style="80" customWidth="1"/>
    <col min="1539" max="1790" width="9.140625" style="80"/>
    <col min="1791" max="1791" width="41.7109375" style="80" customWidth="1"/>
    <col min="1792" max="1793" width="9.140625" style="80"/>
    <col min="1794" max="1794" width="14.85546875" style="80" customWidth="1"/>
    <col min="1795" max="2046" width="9.140625" style="80"/>
    <col min="2047" max="2047" width="41.7109375" style="80" customWidth="1"/>
    <col min="2048" max="2049" width="9.140625" style="80"/>
    <col min="2050" max="2050" width="14.85546875" style="80" customWidth="1"/>
    <col min="2051" max="2302" width="9.140625" style="80"/>
    <col min="2303" max="2303" width="41.7109375" style="80" customWidth="1"/>
    <col min="2304" max="2305" width="9.140625" style="80"/>
    <col min="2306" max="2306" width="14.85546875" style="80" customWidth="1"/>
    <col min="2307" max="2558" width="9.140625" style="80"/>
    <col min="2559" max="2559" width="41.7109375" style="80" customWidth="1"/>
    <col min="2560" max="2561" width="9.140625" style="80"/>
    <col min="2562" max="2562" width="14.85546875" style="80" customWidth="1"/>
    <col min="2563" max="2814" width="9.140625" style="80"/>
    <col min="2815" max="2815" width="41.7109375" style="80" customWidth="1"/>
    <col min="2816" max="2817" width="9.140625" style="80"/>
    <col min="2818" max="2818" width="14.85546875" style="80" customWidth="1"/>
    <col min="2819" max="3070" width="9.140625" style="80"/>
    <col min="3071" max="3071" width="41.7109375" style="80" customWidth="1"/>
    <col min="3072" max="3073" width="9.140625" style="80"/>
    <col min="3074" max="3074" width="14.85546875" style="80" customWidth="1"/>
    <col min="3075" max="3326" width="9.140625" style="80"/>
    <col min="3327" max="3327" width="41.7109375" style="80" customWidth="1"/>
    <col min="3328" max="3329" width="9.140625" style="80"/>
    <col min="3330" max="3330" width="14.85546875" style="80" customWidth="1"/>
    <col min="3331" max="3582" width="9.140625" style="80"/>
    <col min="3583" max="3583" width="41.7109375" style="80" customWidth="1"/>
    <col min="3584" max="3585" width="9.140625" style="80"/>
    <col min="3586" max="3586" width="14.85546875" style="80" customWidth="1"/>
    <col min="3587" max="3838" width="9.140625" style="80"/>
    <col min="3839" max="3839" width="41.7109375" style="80" customWidth="1"/>
    <col min="3840" max="3841" width="9.140625" style="80"/>
    <col min="3842" max="3842" width="14.85546875" style="80" customWidth="1"/>
    <col min="3843" max="4094" width="9.140625" style="80"/>
    <col min="4095" max="4095" width="41.7109375" style="80" customWidth="1"/>
    <col min="4096" max="4097" width="9.140625" style="80"/>
    <col min="4098" max="4098" width="14.85546875" style="80" customWidth="1"/>
    <col min="4099" max="4350" width="9.140625" style="80"/>
    <col min="4351" max="4351" width="41.7109375" style="80" customWidth="1"/>
    <col min="4352" max="4353" width="9.140625" style="80"/>
    <col min="4354" max="4354" width="14.85546875" style="80" customWidth="1"/>
    <col min="4355" max="4606" width="9.140625" style="80"/>
    <col min="4607" max="4607" width="41.7109375" style="80" customWidth="1"/>
    <col min="4608" max="4609" width="9.140625" style="80"/>
    <col min="4610" max="4610" width="14.85546875" style="80" customWidth="1"/>
    <col min="4611" max="4862" width="9.140625" style="80"/>
    <col min="4863" max="4863" width="41.7109375" style="80" customWidth="1"/>
    <col min="4864" max="4865" width="9.140625" style="80"/>
    <col min="4866" max="4866" width="14.85546875" style="80" customWidth="1"/>
    <col min="4867" max="5118" width="9.140625" style="80"/>
    <col min="5119" max="5119" width="41.7109375" style="80" customWidth="1"/>
    <col min="5120" max="5121" width="9.140625" style="80"/>
    <col min="5122" max="5122" width="14.85546875" style="80" customWidth="1"/>
    <col min="5123" max="5374" width="9.140625" style="80"/>
    <col min="5375" max="5375" width="41.7109375" style="80" customWidth="1"/>
    <col min="5376" max="5377" width="9.140625" style="80"/>
    <col min="5378" max="5378" width="14.85546875" style="80" customWidth="1"/>
    <col min="5379" max="5630" width="9.140625" style="80"/>
    <col min="5631" max="5631" width="41.7109375" style="80" customWidth="1"/>
    <col min="5632" max="5633" width="9.140625" style="80"/>
    <col min="5634" max="5634" width="14.85546875" style="80" customWidth="1"/>
    <col min="5635" max="5886" width="9.140625" style="80"/>
    <col min="5887" max="5887" width="41.7109375" style="80" customWidth="1"/>
    <col min="5888" max="5889" width="9.140625" style="80"/>
    <col min="5890" max="5890" width="14.85546875" style="80" customWidth="1"/>
    <col min="5891" max="6142" width="9.140625" style="80"/>
    <col min="6143" max="6143" width="41.7109375" style="80" customWidth="1"/>
    <col min="6144" max="6145" width="9.140625" style="80"/>
    <col min="6146" max="6146" width="14.85546875" style="80" customWidth="1"/>
    <col min="6147" max="6398" width="9.140625" style="80"/>
    <col min="6399" max="6399" width="41.7109375" style="80" customWidth="1"/>
    <col min="6400" max="6401" width="9.140625" style="80"/>
    <col min="6402" max="6402" width="14.85546875" style="80" customWidth="1"/>
    <col min="6403" max="6654" width="9.140625" style="80"/>
    <col min="6655" max="6655" width="41.7109375" style="80" customWidth="1"/>
    <col min="6656" max="6657" width="9.140625" style="80"/>
    <col min="6658" max="6658" width="14.85546875" style="80" customWidth="1"/>
    <col min="6659" max="6910" width="9.140625" style="80"/>
    <col min="6911" max="6911" width="41.7109375" style="80" customWidth="1"/>
    <col min="6912" max="6913" width="9.140625" style="80"/>
    <col min="6914" max="6914" width="14.85546875" style="80" customWidth="1"/>
    <col min="6915" max="7166" width="9.140625" style="80"/>
    <col min="7167" max="7167" width="41.7109375" style="80" customWidth="1"/>
    <col min="7168" max="7169" width="9.140625" style="80"/>
    <col min="7170" max="7170" width="14.85546875" style="80" customWidth="1"/>
    <col min="7171" max="7422" width="9.140625" style="80"/>
    <col min="7423" max="7423" width="41.7109375" style="80" customWidth="1"/>
    <col min="7424" max="7425" width="9.140625" style="80"/>
    <col min="7426" max="7426" width="14.85546875" style="80" customWidth="1"/>
    <col min="7427" max="7678" width="9.140625" style="80"/>
    <col min="7679" max="7679" width="41.7109375" style="80" customWidth="1"/>
    <col min="7680" max="7681" width="9.140625" style="80"/>
    <col min="7682" max="7682" width="14.85546875" style="80" customWidth="1"/>
    <col min="7683" max="7934" width="9.140625" style="80"/>
    <col min="7935" max="7935" width="41.7109375" style="80" customWidth="1"/>
    <col min="7936" max="7937" width="9.140625" style="80"/>
    <col min="7938" max="7938" width="14.85546875" style="80" customWidth="1"/>
    <col min="7939" max="8190" width="9.140625" style="80"/>
    <col min="8191" max="8191" width="41.7109375" style="80" customWidth="1"/>
    <col min="8192" max="8193" width="9.140625" style="80"/>
    <col min="8194" max="8194" width="14.85546875" style="80" customWidth="1"/>
    <col min="8195" max="8446" width="9.140625" style="80"/>
    <col min="8447" max="8447" width="41.7109375" style="80" customWidth="1"/>
    <col min="8448" max="8449" width="9.140625" style="80"/>
    <col min="8450" max="8450" width="14.85546875" style="80" customWidth="1"/>
    <col min="8451" max="8702" width="9.140625" style="80"/>
    <col min="8703" max="8703" width="41.7109375" style="80" customWidth="1"/>
    <col min="8704" max="8705" width="9.140625" style="80"/>
    <col min="8706" max="8706" width="14.85546875" style="80" customWidth="1"/>
    <col min="8707" max="8958" width="9.140625" style="80"/>
    <col min="8959" max="8959" width="41.7109375" style="80" customWidth="1"/>
    <col min="8960" max="8961" width="9.140625" style="80"/>
    <col min="8962" max="8962" width="14.85546875" style="80" customWidth="1"/>
    <col min="8963" max="9214" width="9.140625" style="80"/>
    <col min="9215" max="9215" width="41.7109375" style="80" customWidth="1"/>
    <col min="9216" max="9217" width="9.140625" style="80"/>
    <col min="9218" max="9218" width="14.85546875" style="80" customWidth="1"/>
    <col min="9219" max="9470" width="9.140625" style="80"/>
    <col min="9471" max="9471" width="41.7109375" style="80" customWidth="1"/>
    <col min="9472" max="9473" width="9.140625" style="80"/>
    <col min="9474" max="9474" width="14.85546875" style="80" customWidth="1"/>
    <col min="9475" max="9726" width="9.140625" style="80"/>
    <col min="9727" max="9727" width="41.7109375" style="80" customWidth="1"/>
    <col min="9728" max="9729" width="9.140625" style="80"/>
    <col min="9730" max="9730" width="14.85546875" style="80" customWidth="1"/>
    <col min="9731" max="9982" width="9.140625" style="80"/>
    <col min="9983" max="9983" width="41.7109375" style="80" customWidth="1"/>
    <col min="9984" max="9985" width="9.140625" style="80"/>
    <col min="9986" max="9986" width="14.85546875" style="80" customWidth="1"/>
    <col min="9987" max="10238" width="9.140625" style="80"/>
    <col min="10239" max="10239" width="41.7109375" style="80" customWidth="1"/>
    <col min="10240" max="10241" width="9.140625" style="80"/>
    <col min="10242" max="10242" width="14.85546875" style="80" customWidth="1"/>
    <col min="10243" max="10494" width="9.140625" style="80"/>
    <col min="10495" max="10495" width="41.7109375" style="80" customWidth="1"/>
    <col min="10496" max="10497" width="9.140625" style="80"/>
    <col min="10498" max="10498" width="14.85546875" style="80" customWidth="1"/>
    <col min="10499" max="10750" width="9.140625" style="80"/>
    <col min="10751" max="10751" width="41.7109375" style="80" customWidth="1"/>
    <col min="10752" max="10753" width="9.140625" style="80"/>
    <col min="10754" max="10754" width="14.85546875" style="80" customWidth="1"/>
    <col min="10755" max="11006" width="9.140625" style="80"/>
    <col min="11007" max="11007" width="41.7109375" style="80" customWidth="1"/>
    <col min="11008" max="11009" width="9.140625" style="80"/>
    <col min="11010" max="11010" width="14.85546875" style="80" customWidth="1"/>
    <col min="11011" max="11262" width="9.140625" style="80"/>
    <col min="11263" max="11263" width="41.7109375" style="80" customWidth="1"/>
    <col min="11264" max="11265" width="9.140625" style="80"/>
    <col min="11266" max="11266" width="14.85546875" style="80" customWidth="1"/>
    <col min="11267" max="11518" width="9.140625" style="80"/>
    <col min="11519" max="11519" width="41.7109375" style="80" customWidth="1"/>
    <col min="11520" max="11521" width="9.140625" style="80"/>
    <col min="11522" max="11522" width="14.85546875" style="80" customWidth="1"/>
    <col min="11523" max="11774" width="9.140625" style="80"/>
    <col min="11775" max="11775" width="41.7109375" style="80" customWidth="1"/>
    <col min="11776" max="11777" width="9.140625" style="80"/>
    <col min="11778" max="11778" width="14.85546875" style="80" customWidth="1"/>
    <col min="11779" max="12030" width="9.140625" style="80"/>
    <col min="12031" max="12031" width="41.7109375" style="80" customWidth="1"/>
    <col min="12032" max="12033" width="9.140625" style="80"/>
    <col min="12034" max="12034" width="14.85546875" style="80" customWidth="1"/>
    <col min="12035" max="12286" width="9.140625" style="80"/>
    <col min="12287" max="12287" width="41.7109375" style="80" customWidth="1"/>
    <col min="12288" max="12289" width="9.140625" style="80"/>
    <col min="12290" max="12290" width="14.85546875" style="80" customWidth="1"/>
    <col min="12291" max="12542" width="9.140625" style="80"/>
    <col min="12543" max="12543" width="41.7109375" style="80" customWidth="1"/>
    <col min="12544" max="12545" width="9.140625" style="80"/>
    <col min="12546" max="12546" width="14.85546875" style="80" customWidth="1"/>
    <col min="12547" max="12798" width="9.140625" style="80"/>
    <col min="12799" max="12799" width="41.7109375" style="80" customWidth="1"/>
    <col min="12800" max="12801" width="9.140625" style="80"/>
    <col min="12802" max="12802" width="14.85546875" style="80" customWidth="1"/>
    <col min="12803" max="13054" width="9.140625" style="80"/>
    <col min="13055" max="13055" width="41.7109375" style="80" customWidth="1"/>
    <col min="13056" max="13057" width="9.140625" style="80"/>
    <col min="13058" max="13058" width="14.85546875" style="80" customWidth="1"/>
    <col min="13059" max="13310" width="9.140625" style="80"/>
    <col min="13311" max="13311" width="41.7109375" style="80" customWidth="1"/>
    <col min="13312" max="13313" width="9.140625" style="80"/>
    <col min="13314" max="13314" width="14.85546875" style="80" customWidth="1"/>
    <col min="13315" max="13566" width="9.140625" style="80"/>
    <col min="13567" max="13567" width="41.7109375" style="80" customWidth="1"/>
    <col min="13568" max="13569" width="9.140625" style="80"/>
    <col min="13570" max="13570" width="14.85546875" style="80" customWidth="1"/>
    <col min="13571" max="13822" width="9.140625" style="80"/>
    <col min="13823" max="13823" width="41.7109375" style="80" customWidth="1"/>
    <col min="13824" max="13825" width="9.140625" style="80"/>
    <col min="13826" max="13826" width="14.85546875" style="80" customWidth="1"/>
    <col min="13827" max="14078" width="9.140625" style="80"/>
    <col min="14079" max="14079" width="41.7109375" style="80" customWidth="1"/>
    <col min="14080" max="14081" width="9.140625" style="80"/>
    <col min="14082" max="14082" width="14.85546875" style="80" customWidth="1"/>
    <col min="14083" max="14334" width="9.140625" style="80"/>
    <col min="14335" max="14335" width="41.7109375" style="80" customWidth="1"/>
    <col min="14336" max="14337" width="9.140625" style="80"/>
    <col min="14338" max="14338" width="14.85546875" style="80" customWidth="1"/>
    <col min="14339" max="14590" width="9.140625" style="80"/>
    <col min="14591" max="14591" width="41.7109375" style="80" customWidth="1"/>
    <col min="14592" max="14593" width="9.140625" style="80"/>
    <col min="14594" max="14594" width="14.85546875" style="80" customWidth="1"/>
    <col min="14595" max="14846" width="9.140625" style="80"/>
    <col min="14847" max="14847" width="41.7109375" style="80" customWidth="1"/>
    <col min="14848" max="14849" width="9.140625" style="80"/>
    <col min="14850" max="14850" width="14.85546875" style="80" customWidth="1"/>
    <col min="14851" max="15102" width="9.140625" style="80"/>
    <col min="15103" max="15103" width="41.7109375" style="80" customWidth="1"/>
    <col min="15104" max="15105" width="9.140625" style="80"/>
    <col min="15106" max="15106" width="14.85546875" style="80" customWidth="1"/>
    <col min="15107" max="15358" width="9.140625" style="80"/>
    <col min="15359" max="15359" width="41.7109375" style="80" customWidth="1"/>
    <col min="15360" max="15361" width="9.140625" style="80"/>
    <col min="15362" max="15362" width="14.85546875" style="80" customWidth="1"/>
    <col min="15363" max="15614" width="9.140625" style="80"/>
    <col min="15615" max="15615" width="41.7109375" style="80" customWidth="1"/>
    <col min="15616" max="15617" width="9.140625" style="80"/>
    <col min="15618" max="15618" width="14.85546875" style="80" customWidth="1"/>
    <col min="15619" max="15870" width="9.140625" style="80"/>
    <col min="15871" max="15871" width="41.7109375" style="80" customWidth="1"/>
    <col min="15872" max="15873" width="9.140625" style="80"/>
    <col min="15874" max="15874" width="14.85546875" style="80" customWidth="1"/>
    <col min="15875" max="16126" width="9.140625" style="80"/>
    <col min="16127" max="16127" width="41.7109375" style="80" customWidth="1"/>
    <col min="16128" max="16129" width="9.140625" style="80"/>
    <col min="16130" max="16130" width="14.85546875" style="80" customWidth="1"/>
    <col min="16131" max="16384" width="9.140625" style="80"/>
  </cols>
  <sheetData>
    <row r="1" spans="1:10" ht="27.75" customHeight="1">
      <c r="A1" s="1307" t="s">
        <v>1233</v>
      </c>
      <c r="B1" s="1307"/>
      <c r="C1" s="1307"/>
      <c r="D1" s="1307"/>
      <c r="E1" s="1307"/>
    </row>
    <row r="2" spans="1:10" ht="21" customHeight="1">
      <c r="A2" s="1312" t="s">
        <v>561</v>
      </c>
      <c r="B2" s="1312"/>
      <c r="C2" s="94"/>
      <c r="D2" s="1322" t="s">
        <v>507</v>
      </c>
      <c r="E2" s="1322"/>
    </row>
    <row r="3" spans="1:10" ht="15.75" customHeight="1">
      <c r="A3" s="1313"/>
      <c r="B3" s="1313"/>
      <c r="C3" s="1311" t="s">
        <v>181</v>
      </c>
      <c r="D3" s="1311"/>
      <c r="E3" s="1311"/>
    </row>
    <row r="4" spans="1:10" ht="38.25" customHeight="1">
      <c r="A4" s="1314" t="s">
        <v>48</v>
      </c>
      <c r="B4" s="1315"/>
      <c r="C4" s="448" t="s">
        <v>1153</v>
      </c>
      <c r="D4" s="754" t="s">
        <v>486</v>
      </c>
      <c r="E4" s="449" t="s">
        <v>1234</v>
      </c>
    </row>
    <row r="5" spans="1:10" ht="31.5">
      <c r="A5" s="1316"/>
      <c r="B5" s="1317"/>
      <c r="C5" s="1080" t="s">
        <v>2593</v>
      </c>
      <c r="D5" s="88" t="s">
        <v>1915</v>
      </c>
      <c r="E5" s="88" t="s">
        <v>1252</v>
      </c>
    </row>
    <row r="6" spans="1:10" ht="21" customHeight="1">
      <c r="A6" s="91" t="s">
        <v>161</v>
      </c>
      <c r="B6" s="81" t="s">
        <v>508</v>
      </c>
      <c r="C6" s="82"/>
      <c r="D6" s="83"/>
      <c r="E6" s="82"/>
    </row>
    <row r="7" spans="1:10" ht="63">
      <c r="A7" s="1318">
        <v>1</v>
      </c>
      <c r="B7" s="84" t="s">
        <v>993</v>
      </c>
      <c r="C7" s="474">
        <f>'F4'!D7</f>
        <v>455.00571459999998</v>
      </c>
      <c r="D7" s="474">
        <f>'F4'!H7</f>
        <v>400.61583999999999</v>
      </c>
      <c r="E7" s="474">
        <f ca="1">'F4'!J7</f>
        <v>713.3056477796182</v>
      </c>
      <c r="G7" s="314"/>
      <c r="H7" s="314"/>
      <c r="I7" s="314"/>
      <c r="J7" s="314"/>
    </row>
    <row r="8" spans="1:10" ht="19.5" customHeight="1">
      <c r="A8" s="1319"/>
      <c r="B8" s="84" t="s">
        <v>559</v>
      </c>
      <c r="C8" s="474">
        <f>'F4'!D8</f>
        <v>534.13714330000005</v>
      </c>
      <c r="D8" s="474">
        <f>'F4'!H8</f>
        <v>470.28816</v>
      </c>
      <c r="E8" s="474">
        <f ca="1">'F4'!J8</f>
        <v>837.35880391520402</v>
      </c>
    </row>
    <row r="9" spans="1:10" ht="19.5" customHeight="1">
      <c r="A9" s="1320"/>
      <c r="B9" s="84" t="s">
        <v>1170</v>
      </c>
      <c r="C9" s="474">
        <f>'F4'!D15</f>
        <v>13.177141999999998</v>
      </c>
      <c r="D9" s="474">
        <f>'F4'!H15</f>
        <v>0</v>
      </c>
      <c r="E9" s="474">
        <f>'F4'!J15</f>
        <v>13.177141999999998</v>
      </c>
      <c r="G9" s="315"/>
      <c r="H9" s="315"/>
      <c r="I9" s="315"/>
      <c r="J9" s="315"/>
    </row>
    <row r="10" spans="1:10" ht="21" customHeight="1">
      <c r="A10" s="90">
        <v>2</v>
      </c>
      <c r="B10" s="62" t="s">
        <v>509</v>
      </c>
      <c r="C10" s="474"/>
      <c r="D10" s="474"/>
      <c r="E10" s="474"/>
      <c r="G10" s="315"/>
      <c r="H10" s="315"/>
      <c r="I10" s="315"/>
      <c r="J10" s="315"/>
    </row>
    <row r="11" spans="1:10" s="86" customFormat="1" ht="28.5" customHeight="1">
      <c r="A11" s="90">
        <v>3</v>
      </c>
      <c r="B11" s="85" t="s">
        <v>510</v>
      </c>
      <c r="C11" s="474"/>
      <c r="D11" s="474"/>
      <c r="E11" s="474"/>
    </row>
    <row r="12" spans="1:10" s="86" customFormat="1" ht="21" customHeight="1">
      <c r="A12" s="92">
        <v>4</v>
      </c>
      <c r="B12" s="85" t="s">
        <v>511</v>
      </c>
      <c r="C12" s="474">
        <f>'F1'!E37</f>
        <v>98.30675369799998</v>
      </c>
      <c r="D12" s="474">
        <f ca="1">'F1'!I39</f>
        <v>103.22209138290002</v>
      </c>
      <c r="E12" s="474">
        <f ca="1">'F1'!K39</f>
        <v>108.38319595204503</v>
      </c>
    </row>
    <row r="13" spans="1:10" ht="21" customHeight="1">
      <c r="A13" s="89"/>
      <c r="B13" s="87" t="s">
        <v>867</v>
      </c>
      <c r="C13" s="475">
        <f>SUM(C7:C12)</f>
        <v>1100.6267535980001</v>
      </c>
      <c r="D13" s="475">
        <f ca="1">SUM(D7:D12)</f>
        <v>974.12609138289997</v>
      </c>
      <c r="E13" s="475">
        <f ca="1">SUM(E7:E12)</f>
        <v>1672.2247896468673</v>
      </c>
    </row>
    <row r="14" spans="1:10" ht="21" customHeight="1">
      <c r="A14" s="91" t="s">
        <v>166</v>
      </c>
      <c r="B14" s="81" t="s">
        <v>69</v>
      </c>
      <c r="C14" s="295"/>
      <c r="D14" s="295"/>
      <c r="E14" s="295"/>
    </row>
    <row r="15" spans="1:10" ht="21" customHeight="1">
      <c r="A15" s="90">
        <v>1</v>
      </c>
      <c r="B15" s="62" t="s">
        <v>512</v>
      </c>
      <c r="C15" s="474">
        <f>'F1'!E21</f>
        <v>84.352566498405594</v>
      </c>
      <c r="D15" s="474">
        <f>'F1'!I21</f>
        <v>109.9224666663472</v>
      </c>
      <c r="E15" s="474">
        <f>'F1'!K21</f>
        <v>132.12505298954719</v>
      </c>
    </row>
    <row r="16" spans="1:10" ht="21" customHeight="1">
      <c r="A16" s="90">
        <v>2</v>
      </c>
      <c r="B16" s="84" t="s">
        <v>513</v>
      </c>
      <c r="C16" s="474">
        <f>'F1'!E20</f>
        <v>188.70411387605893</v>
      </c>
      <c r="D16" s="474">
        <f>'F1'!I20</f>
        <v>211.86081281817502</v>
      </c>
      <c r="E16" s="474">
        <f>'F1'!K20</f>
        <v>235.15158617980126</v>
      </c>
    </row>
    <row r="17" spans="1:5" ht="21" customHeight="1">
      <c r="A17" s="90">
        <v>3</v>
      </c>
      <c r="B17" s="62" t="s">
        <v>562</v>
      </c>
      <c r="C17" s="474">
        <f>'F1'!E22</f>
        <v>42.070986721287518</v>
      </c>
      <c r="D17" s="474">
        <f>'F1'!I22</f>
        <v>43.966589551950179</v>
      </c>
      <c r="E17" s="474">
        <f>'F1'!K22</f>
        <v>45.777902866959877</v>
      </c>
    </row>
    <row r="18" spans="1:5" ht="21" customHeight="1">
      <c r="A18" s="90">
        <v>4</v>
      </c>
      <c r="B18" s="80" t="s">
        <v>563</v>
      </c>
      <c r="C18" s="474">
        <f>'F1'!E23</f>
        <v>11.96</v>
      </c>
      <c r="D18" s="474">
        <f>'F1'!I23</f>
        <v>11.96</v>
      </c>
      <c r="E18" s="474">
        <f>'F1'!K23</f>
        <v>11.96</v>
      </c>
    </row>
    <row r="19" spans="1:5" ht="21" customHeight="1">
      <c r="A19" s="753">
        <v>5</v>
      </c>
      <c r="B19" s="62" t="s">
        <v>1780</v>
      </c>
      <c r="C19" s="474">
        <f>'F1'!E29</f>
        <v>11.054805521290383</v>
      </c>
      <c r="D19" s="474">
        <f ca="1">'F1'!I29</f>
        <v>11.13933864953373</v>
      </c>
      <c r="E19" s="474">
        <f ca="1">'F1'!K29</f>
        <v>13.112989624402097</v>
      </c>
    </row>
    <row r="20" spans="1:5" ht="21" customHeight="1">
      <c r="A20" s="753">
        <v>6</v>
      </c>
      <c r="B20" s="62" t="s">
        <v>1781</v>
      </c>
      <c r="C20" s="474">
        <f ca="1">'F1'!E32</f>
        <v>8.3809436891574798</v>
      </c>
      <c r="D20" s="474"/>
      <c r="E20" s="474"/>
    </row>
    <row r="21" spans="1:5" ht="21" customHeight="1">
      <c r="A21" s="753">
        <v>7</v>
      </c>
      <c r="B21" s="62" t="s">
        <v>1782</v>
      </c>
      <c r="C21" s="474">
        <f>'F1'!E33</f>
        <v>0</v>
      </c>
      <c r="D21" s="474"/>
      <c r="E21" s="474"/>
    </row>
    <row r="22" spans="1:5" ht="21" customHeight="1">
      <c r="A22" s="93" t="s">
        <v>208</v>
      </c>
      <c r="B22" s="87" t="s">
        <v>514</v>
      </c>
      <c r="C22" s="474">
        <f>'F1'!E26</f>
        <v>303.13866477719597</v>
      </c>
      <c r="D22" s="474">
        <f>'F1'!I26</f>
        <v>385.99356169947055</v>
      </c>
      <c r="E22" s="474">
        <f>'F1'!K26</f>
        <v>473.18625988814802</v>
      </c>
    </row>
    <row r="23" spans="1:5" ht="21" customHeight="1">
      <c r="A23" s="1309" t="s">
        <v>209</v>
      </c>
      <c r="B23" s="62" t="s">
        <v>515</v>
      </c>
      <c r="C23" s="474">
        <f>'F1'!E27</f>
        <v>381.20614651609282</v>
      </c>
      <c r="D23" s="474">
        <f>'F1'!I27</f>
        <v>390.7839306458456</v>
      </c>
      <c r="E23" s="474">
        <f>'F1'!K27</f>
        <v>473.69751401469091</v>
      </c>
    </row>
    <row r="24" spans="1:5" ht="21" customHeight="1">
      <c r="A24" s="1310"/>
      <c r="B24" s="62" t="s">
        <v>516</v>
      </c>
      <c r="C24" s="474"/>
      <c r="D24" s="474"/>
      <c r="E24" s="474"/>
    </row>
    <row r="25" spans="1:5" ht="21" customHeight="1">
      <c r="A25" s="752" t="s">
        <v>210</v>
      </c>
      <c r="B25" s="62" t="s">
        <v>88</v>
      </c>
      <c r="C25" s="474">
        <f>'F1'!E25</f>
        <v>200.42377837396404</v>
      </c>
      <c r="D25" s="474">
        <f>'F1'!I25</f>
        <v>257.08711255928898</v>
      </c>
      <c r="E25" s="474">
        <f>'F1'!K25</f>
        <v>300.24770874482607</v>
      </c>
    </row>
    <row r="26" spans="1:5" ht="21" customHeight="1">
      <c r="A26" s="89" t="s">
        <v>339</v>
      </c>
      <c r="B26" s="87" t="s">
        <v>868</v>
      </c>
      <c r="C26" s="475">
        <f ca="1">SUM(C15:C25)</f>
        <v>1231.2920059734527</v>
      </c>
      <c r="D26" s="475">
        <f ca="1">SUM(D15:D25)</f>
        <v>1422.7138125906113</v>
      </c>
      <c r="E26" s="475">
        <f ca="1">SUM(E15:E25)</f>
        <v>1685.2590143083753</v>
      </c>
    </row>
    <row r="27" spans="1:5" ht="21" customHeight="1">
      <c r="A27" s="89" t="s">
        <v>342</v>
      </c>
      <c r="B27" s="87" t="s">
        <v>1784</v>
      </c>
      <c r="C27" s="475">
        <f>'F1'!E41</f>
        <v>-276.89</v>
      </c>
      <c r="D27" s="475">
        <f>'F1'!I41</f>
        <v>-421.47500000000002</v>
      </c>
      <c r="E27" s="475">
        <v>0</v>
      </c>
    </row>
    <row r="28" spans="1:5" ht="21" customHeight="1">
      <c r="A28" s="89" t="s">
        <v>1783</v>
      </c>
      <c r="B28" s="87" t="s">
        <v>866</v>
      </c>
      <c r="C28" s="475">
        <f ca="1">C13-C26-C27</f>
        <v>146.22474762454738</v>
      </c>
      <c r="D28" s="475">
        <f ca="1">D13-D26-D27</f>
        <v>-27.112721207711274</v>
      </c>
      <c r="E28" s="475">
        <v>0</v>
      </c>
    </row>
    <row r="29" spans="1:5" ht="15" customHeight="1">
      <c r="A29" s="1321" t="s">
        <v>869</v>
      </c>
      <c r="B29" s="1321"/>
      <c r="C29" s="1321"/>
    </row>
    <row r="32" spans="1:5" ht="15.75" customHeight="1">
      <c r="D32" s="1308" t="s">
        <v>427</v>
      </c>
      <c r="E32" s="1308"/>
    </row>
  </sheetData>
  <mergeCells count="9">
    <mergeCell ref="A1:E1"/>
    <mergeCell ref="D32:E32"/>
    <mergeCell ref="A23:A24"/>
    <mergeCell ref="C3:E3"/>
    <mergeCell ref="A2:B3"/>
    <mergeCell ref="A4:B5"/>
    <mergeCell ref="A7:A9"/>
    <mergeCell ref="A29:C29"/>
    <mergeCell ref="D2:E2"/>
  </mergeCells>
  <pageMargins left="0.43" right="0.54" top="0.74803149606299213" bottom="0.74803149606299213" header="0.31496062992125984" footer="0.31496062992125984"/>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8"/>
  <sheetViews>
    <sheetView showGridLines="0" view="pageBreakPreview" topLeftCell="A19" zoomScale="80" zoomScaleNormal="85" zoomScaleSheetLayoutView="80" workbookViewId="0">
      <selection activeCell="E13" sqref="E13"/>
    </sheetView>
  </sheetViews>
  <sheetFormatPr defaultColWidth="9.140625" defaultRowHeight="15"/>
  <cols>
    <col min="1" max="1" width="5.140625" style="766" customWidth="1"/>
    <col min="2" max="2" width="35.7109375" style="766" customWidth="1"/>
    <col min="3" max="3" width="21.7109375" style="766" customWidth="1"/>
    <col min="4" max="5" width="16.42578125" style="766" customWidth="1"/>
    <col min="6" max="6" width="28.140625" style="766" customWidth="1"/>
    <col min="7" max="8" width="16.42578125" style="766" customWidth="1"/>
    <col min="9" max="11" width="16.42578125" style="766" hidden="1" customWidth="1"/>
    <col min="12" max="16384" width="9.140625" style="766"/>
  </cols>
  <sheetData>
    <row r="1" spans="1:11" ht="21" customHeight="1">
      <c r="A1" s="243" t="s">
        <v>1233</v>
      </c>
      <c r="B1" s="198"/>
      <c r="C1" s="198"/>
      <c r="D1" s="198"/>
      <c r="E1" s="198"/>
      <c r="F1" s="198"/>
      <c r="G1" s="198"/>
      <c r="H1" s="198"/>
      <c r="I1" s="198"/>
      <c r="J1" s="198"/>
      <c r="K1" s="198"/>
    </row>
    <row r="2" spans="1:11" ht="21" customHeight="1">
      <c r="A2" s="244" t="s">
        <v>945</v>
      </c>
      <c r="B2" s="244"/>
      <c r="C2" s="198"/>
      <c r="D2" s="198"/>
      <c r="E2" s="198"/>
      <c r="F2" s="198" t="s">
        <v>324</v>
      </c>
      <c r="G2" s="198"/>
      <c r="H2" s="198"/>
      <c r="I2" s="198"/>
      <c r="J2" s="758"/>
      <c r="K2" s="758"/>
    </row>
    <row r="3" spans="1:11" s="121" customFormat="1" ht="30">
      <c r="A3" s="228" t="s">
        <v>750</v>
      </c>
      <c r="B3" s="228" t="s">
        <v>727</v>
      </c>
      <c r="C3" s="229" t="s">
        <v>723</v>
      </c>
      <c r="D3" s="229" t="s">
        <v>652</v>
      </c>
      <c r="E3" s="229" t="s">
        <v>595</v>
      </c>
      <c r="F3" s="229" t="s">
        <v>751</v>
      </c>
      <c r="G3" s="229" t="s">
        <v>751</v>
      </c>
      <c r="H3" s="229" t="s">
        <v>751</v>
      </c>
      <c r="I3" s="258"/>
      <c r="J3" s="758"/>
      <c r="K3" s="758"/>
    </row>
    <row r="4" spans="1:11" s="121" customFormat="1">
      <c r="A4" s="228">
        <v>1</v>
      </c>
      <c r="B4" s="228">
        <f>+A4+1</f>
        <v>2</v>
      </c>
      <c r="C4" s="229">
        <f>+B4+1</f>
        <v>3</v>
      </c>
      <c r="D4" s="229">
        <f t="shared" ref="D4:H4" si="0">+C4+1</f>
        <v>4</v>
      </c>
      <c r="E4" s="229">
        <f t="shared" si="0"/>
        <v>5</v>
      </c>
      <c r="F4" s="229">
        <f t="shared" si="0"/>
        <v>6</v>
      </c>
      <c r="G4" s="229">
        <f t="shared" si="0"/>
        <v>7</v>
      </c>
      <c r="H4" s="229">
        <f t="shared" si="0"/>
        <v>8</v>
      </c>
      <c r="I4" s="258"/>
      <c r="J4" s="758"/>
      <c r="K4" s="758"/>
    </row>
    <row r="5" spans="1:11" s="121" customFormat="1">
      <c r="A5" s="772">
        <v>1</v>
      </c>
      <c r="B5" s="175" t="s">
        <v>740</v>
      </c>
      <c r="C5" s="259"/>
      <c r="D5" s="265"/>
      <c r="E5" s="265"/>
      <c r="F5" s="265"/>
      <c r="G5" s="265"/>
      <c r="H5" s="265"/>
      <c r="I5" s="258"/>
      <c r="J5" s="758"/>
      <c r="K5" s="758"/>
    </row>
    <row r="6" spans="1:11" s="121" customFormat="1">
      <c r="A6" s="772">
        <f>+A5+1</f>
        <v>2</v>
      </c>
      <c r="B6" s="175" t="s">
        <v>741</v>
      </c>
      <c r="C6" s="259"/>
      <c r="D6" s="265"/>
      <c r="E6" s="265"/>
      <c r="F6" s="265"/>
      <c r="G6" s="265"/>
      <c r="H6" s="265"/>
      <c r="I6" s="258"/>
      <c r="J6" s="758"/>
      <c r="K6" s="758"/>
    </row>
    <row r="7" spans="1:11" s="121" customFormat="1">
      <c r="A7" s="772">
        <f t="shared" ref="A7:A22" si="1">+A6+1</f>
        <v>3</v>
      </c>
      <c r="B7" s="175" t="s">
        <v>269</v>
      </c>
      <c r="C7" s="259"/>
      <c r="D7" s="265"/>
      <c r="E7" s="265"/>
      <c r="F7" s="265"/>
      <c r="G7" s="265"/>
      <c r="H7" s="265"/>
      <c r="I7" s="258"/>
      <c r="J7" s="758"/>
      <c r="K7" s="758"/>
    </row>
    <row r="8" spans="1:11" s="121" customFormat="1">
      <c r="A8" s="772">
        <f t="shared" si="1"/>
        <v>4</v>
      </c>
      <c r="B8" s="175" t="s">
        <v>270</v>
      </c>
      <c r="C8" s="259"/>
      <c r="D8" s="265"/>
      <c r="E8" s="265"/>
      <c r="F8" s="265"/>
      <c r="G8" s="265"/>
      <c r="H8" s="265"/>
      <c r="I8" s="258"/>
      <c r="J8" s="758"/>
      <c r="K8" s="758"/>
    </row>
    <row r="9" spans="1:11" s="121" customFormat="1">
      <c r="A9" s="772">
        <f t="shared" si="1"/>
        <v>5</v>
      </c>
      <c r="B9" s="175" t="s">
        <v>271</v>
      </c>
      <c r="C9" s="259"/>
      <c r="D9" s="265"/>
      <c r="E9" s="265"/>
      <c r="F9" s="265"/>
      <c r="G9" s="265"/>
      <c r="H9" s="265"/>
      <c r="I9" s="258"/>
      <c r="J9" s="758"/>
      <c r="K9" s="758"/>
    </row>
    <row r="10" spans="1:11" s="121" customFormat="1">
      <c r="A10" s="772">
        <f t="shared" si="1"/>
        <v>6</v>
      </c>
      <c r="B10" s="175" t="s">
        <v>742</v>
      </c>
      <c r="C10" s="286"/>
      <c r="D10" s="265"/>
      <c r="E10" s="265"/>
      <c r="F10" s="265"/>
      <c r="G10" s="265"/>
      <c r="H10" s="265"/>
      <c r="I10" s="258">
        <v>340.55</v>
      </c>
      <c r="J10" s="758"/>
      <c r="K10" s="758"/>
    </row>
    <row r="11" spans="1:11" s="121" customFormat="1">
      <c r="A11" s="772">
        <f t="shared" si="1"/>
        <v>7</v>
      </c>
      <c r="B11" s="175" t="s">
        <v>743</v>
      </c>
      <c r="C11" s="259"/>
      <c r="D11" s="265"/>
      <c r="E11" s="265"/>
      <c r="F11" s="265"/>
      <c r="G11" s="265"/>
      <c r="H11" s="265"/>
      <c r="I11" s="258">
        <v>225.73</v>
      </c>
      <c r="J11" s="758">
        <f>+I11+I16</f>
        <v>496.67000000000007</v>
      </c>
      <c r="K11" s="758">
        <f>+J11*0.105</f>
        <v>52.150350000000003</v>
      </c>
    </row>
    <row r="12" spans="1:11" s="121" customFormat="1">
      <c r="A12" s="772">
        <f t="shared" si="1"/>
        <v>8</v>
      </c>
      <c r="B12" s="175" t="s">
        <v>744</v>
      </c>
      <c r="C12" s="259"/>
      <c r="D12" s="265"/>
      <c r="E12" s="265"/>
      <c r="F12" s="265"/>
      <c r="G12" s="265"/>
      <c r="H12" s="265"/>
      <c r="I12" s="258"/>
      <c r="J12" s="758"/>
      <c r="K12" s="758"/>
    </row>
    <row r="13" spans="1:11" s="121" customFormat="1" ht="45">
      <c r="A13" s="772">
        <f t="shared" si="1"/>
        <v>9</v>
      </c>
      <c r="B13" s="175" t="s">
        <v>950</v>
      </c>
      <c r="C13" s="286" t="s">
        <v>969</v>
      </c>
      <c r="D13" s="1100">
        <f>'[7]BS13-20'!$C$57/100</f>
        <v>388.47317329999998</v>
      </c>
      <c r="E13" s="1100">
        <f>'[7]BS13-20'!$B$57/100</f>
        <v>464.0335963</v>
      </c>
      <c r="F13" s="265"/>
      <c r="G13" s="265"/>
      <c r="H13" s="265"/>
      <c r="I13" s="258"/>
      <c r="J13" s="758"/>
      <c r="K13" s="758"/>
    </row>
    <row r="14" spans="1:11" s="121" customFormat="1">
      <c r="A14" s="772">
        <f t="shared" si="1"/>
        <v>10</v>
      </c>
      <c r="B14" s="175" t="s">
        <v>68</v>
      </c>
      <c r="C14" s="259"/>
      <c r="D14" s="1100">
        <f>SUM(D5:D13)</f>
        <v>388.47317329999998</v>
      </c>
      <c r="E14" s="1100">
        <f>SUM(E5:E13)</f>
        <v>464.0335963</v>
      </c>
      <c r="F14" s="265">
        <f t="shared" ref="F14:H14" si="2">SUM(F5:F13)</f>
        <v>0</v>
      </c>
      <c r="G14" s="265">
        <f t="shared" si="2"/>
        <v>0</v>
      </c>
      <c r="H14" s="265">
        <f t="shared" si="2"/>
        <v>0</v>
      </c>
      <c r="I14" s="258"/>
      <c r="J14" s="758"/>
      <c r="K14" s="758"/>
    </row>
    <row r="15" spans="1:11" s="121" customFormat="1" ht="45">
      <c r="A15" s="772">
        <f t="shared" si="1"/>
        <v>11</v>
      </c>
      <c r="B15" s="175" t="s">
        <v>970</v>
      </c>
      <c r="C15" s="286" t="s">
        <v>969</v>
      </c>
      <c r="D15" s="265"/>
      <c r="E15" s="265">
        <f>'[7]BS13-20'!$B$55/100</f>
        <v>500</v>
      </c>
      <c r="F15" s="265"/>
      <c r="G15" s="265"/>
      <c r="H15" s="265"/>
      <c r="I15" s="258">
        <v>536.52</v>
      </c>
      <c r="J15" s="758"/>
      <c r="K15" s="758"/>
    </row>
    <row r="16" spans="1:11" s="121" customFormat="1">
      <c r="A16" s="772">
        <f t="shared" si="1"/>
        <v>12</v>
      </c>
      <c r="B16" s="175" t="s">
        <v>745</v>
      </c>
      <c r="C16" s="259"/>
      <c r="D16" s="266">
        <f>+D14+D15</f>
        <v>388.47317329999998</v>
      </c>
      <c r="E16" s="266">
        <f>+E14+E15</f>
        <v>964.0335963</v>
      </c>
      <c r="F16" s="266">
        <f t="shared" ref="F16:H16" si="3">+F14+F15</f>
        <v>0</v>
      </c>
      <c r="G16" s="266">
        <f t="shared" si="3"/>
        <v>0</v>
      </c>
      <c r="H16" s="266">
        <f t="shared" si="3"/>
        <v>0</v>
      </c>
      <c r="I16" s="258">
        <f>807.46-I15</f>
        <v>270.94000000000005</v>
      </c>
      <c r="J16" s="758"/>
      <c r="K16" s="758"/>
    </row>
    <row r="17" spans="1:11" s="121" customFormat="1">
      <c r="A17" s="772">
        <f t="shared" si="1"/>
        <v>13</v>
      </c>
      <c r="B17" s="175" t="s">
        <v>753</v>
      </c>
      <c r="C17" s="259"/>
      <c r="D17" s="593">
        <f>'[3]Capitalization FY 2019-20'!$P$249</f>
        <v>57.980000000000004</v>
      </c>
      <c r="E17" s="593">
        <f>'[3]Capitalisation FY 2020-21'!$P$201</f>
        <v>102.29311199999999</v>
      </c>
      <c r="F17" s="265"/>
      <c r="G17" s="265"/>
      <c r="H17" s="265"/>
      <c r="I17" s="258">
        <f>+I16*0.105</f>
        <v>28.448700000000006</v>
      </c>
      <c r="J17" s="758"/>
      <c r="K17" s="758"/>
    </row>
    <row r="18" spans="1:11" s="121" customFormat="1">
      <c r="A18" s="772">
        <f t="shared" si="1"/>
        <v>14</v>
      </c>
      <c r="B18" s="175" t="s">
        <v>746</v>
      </c>
      <c r="C18" s="259"/>
      <c r="D18" s="267">
        <f>+D16+D17</f>
        <v>446.4531733</v>
      </c>
      <c r="E18" s="267">
        <f>+E16</f>
        <v>964.0335963</v>
      </c>
      <c r="F18" s="267">
        <f t="shared" ref="F18:H18" si="4">+F16</f>
        <v>0</v>
      </c>
      <c r="G18" s="267">
        <f t="shared" si="4"/>
        <v>0</v>
      </c>
      <c r="H18" s="267">
        <f t="shared" si="4"/>
        <v>0</v>
      </c>
      <c r="I18" s="258">
        <f>+I15*0.105</f>
        <v>56.334599999999995</v>
      </c>
      <c r="J18" s="758"/>
      <c r="K18" s="758"/>
    </row>
    <row r="19" spans="1:11" s="121" customFormat="1">
      <c r="A19" s="772">
        <f t="shared" si="1"/>
        <v>15</v>
      </c>
      <c r="B19" s="260" t="s">
        <v>747</v>
      </c>
      <c r="C19" s="259"/>
      <c r="D19" s="265"/>
      <c r="E19" s="265"/>
      <c r="F19" s="265"/>
      <c r="G19" s="265"/>
      <c r="H19" s="265"/>
      <c r="I19" s="258"/>
      <c r="J19" s="758"/>
      <c r="K19" s="758"/>
    </row>
    <row r="20" spans="1:11" s="121" customFormat="1">
      <c r="A20" s="772">
        <f t="shared" si="1"/>
        <v>16</v>
      </c>
      <c r="B20" s="260" t="s">
        <v>748</v>
      </c>
      <c r="C20" s="259"/>
      <c r="D20" s="267">
        <f>+D18+D19</f>
        <v>446.4531733</v>
      </c>
      <c r="E20" s="267">
        <f>+E18+E19</f>
        <v>964.0335963</v>
      </c>
      <c r="F20" s="267">
        <f t="shared" ref="F20:H20" si="5">+F18+F19</f>
        <v>0</v>
      </c>
      <c r="G20" s="267">
        <f t="shared" si="5"/>
        <v>0</v>
      </c>
      <c r="H20" s="267">
        <f t="shared" si="5"/>
        <v>0</v>
      </c>
      <c r="I20" s="258">
        <f>+I10+I15+I10</f>
        <v>1217.6199999999999</v>
      </c>
      <c r="J20" s="758">
        <f>+I20/2</f>
        <v>608.80999999999995</v>
      </c>
      <c r="K20" s="758">
        <f>+J20*0.105</f>
        <v>63.925049999999992</v>
      </c>
    </row>
    <row r="21" spans="1:11" s="121" customFormat="1">
      <c r="A21" s="228">
        <f t="shared" si="1"/>
        <v>17</v>
      </c>
      <c r="B21" s="260" t="s">
        <v>749</v>
      </c>
      <c r="C21" s="259"/>
      <c r="D21" s="1100">
        <f>Interest!D18</f>
        <v>1.6527750000000001E-2</v>
      </c>
      <c r="E21" s="265">
        <v>0</v>
      </c>
      <c r="F21" s="265">
        <v>0</v>
      </c>
      <c r="G21" s="265">
        <v>0</v>
      </c>
      <c r="H21" s="265">
        <v>0</v>
      </c>
      <c r="I21" s="258">
        <f>+I11+I16+I11</f>
        <v>722.40000000000009</v>
      </c>
      <c r="J21" s="758">
        <f>+I21/2</f>
        <v>361.20000000000005</v>
      </c>
      <c r="K21" s="758">
        <f>+J21*0.105</f>
        <v>37.926000000000002</v>
      </c>
    </row>
    <row r="22" spans="1:11" s="121" customFormat="1">
      <c r="A22" s="772">
        <f t="shared" si="1"/>
        <v>18</v>
      </c>
      <c r="B22" s="260" t="s">
        <v>752</v>
      </c>
      <c r="C22" s="259"/>
      <c r="D22" s="268">
        <f>+D20+D21</f>
        <v>446.46970105000003</v>
      </c>
      <c r="E22" s="268">
        <f>+E20+E21</f>
        <v>964.0335963</v>
      </c>
      <c r="F22" s="268">
        <f t="shared" ref="F22:H22" si="6">+F20+F21</f>
        <v>0</v>
      </c>
      <c r="G22" s="268">
        <f t="shared" si="6"/>
        <v>0</v>
      </c>
      <c r="H22" s="268">
        <f t="shared" si="6"/>
        <v>0</v>
      </c>
      <c r="I22" s="258"/>
      <c r="J22" s="758"/>
      <c r="K22" s="758"/>
    </row>
    <row r="23" spans="1:11" s="121" customFormat="1" ht="33.75" customHeight="1">
      <c r="A23" s="1692" t="s">
        <v>941</v>
      </c>
      <c r="B23" s="1692"/>
      <c r="C23" s="1692"/>
      <c r="D23" s="1692"/>
      <c r="E23" s="1692"/>
      <c r="F23" s="1692"/>
      <c r="G23" s="258"/>
      <c r="H23" s="258"/>
      <c r="I23" s="258"/>
      <c r="J23" s="758"/>
      <c r="K23" s="758"/>
    </row>
    <row r="24" spans="1:11" ht="15.75" thickBot="1">
      <c r="A24" s="414" t="s">
        <v>720</v>
      </c>
      <c r="B24" s="415"/>
      <c r="C24" s="416"/>
      <c r="D24" s="416"/>
      <c r="E24" s="416"/>
      <c r="F24" s="416"/>
      <c r="G24" s="416"/>
      <c r="H24" s="416"/>
      <c r="J24" s="179"/>
      <c r="K24" s="179"/>
    </row>
    <row r="25" spans="1:11" ht="45" customHeight="1">
      <c r="A25" s="417"/>
      <c r="B25" s="418" t="s">
        <v>48</v>
      </c>
      <c r="C25" s="417" t="s">
        <v>231</v>
      </c>
      <c r="D25" s="417" t="s">
        <v>232</v>
      </c>
      <c r="E25" s="419" t="s">
        <v>233</v>
      </c>
      <c r="F25" s="1693" t="s">
        <v>757</v>
      </c>
      <c r="G25" s="420"/>
      <c r="H25" s="420"/>
      <c r="I25" s="420"/>
      <c r="J25" s="420"/>
      <c r="K25" s="420"/>
    </row>
    <row r="26" spans="1:11">
      <c r="A26" s="421">
        <v>1</v>
      </c>
      <c r="B26" s="418" t="s">
        <v>234</v>
      </c>
      <c r="C26" s="422"/>
      <c r="D26" s="422"/>
      <c r="E26" s="423"/>
      <c r="F26" s="1694"/>
      <c r="G26" s="424"/>
      <c r="H26" s="424"/>
      <c r="I26" s="424"/>
      <c r="J26" s="424"/>
      <c r="K26" s="424"/>
    </row>
    <row r="27" spans="1:11">
      <c r="A27" s="425">
        <v>1.1000000000000001</v>
      </c>
      <c r="B27" s="418" t="s">
        <v>235</v>
      </c>
      <c r="C27" s="422"/>
      <c r="D27" s="422"/>
      <c r="E27" s="423"/>
      <c r="F27" s="1694"/>
      <c r="G27" s="424"/>
      <c r="H27" s="424"/>
      <c r="I27" s="424"/>
      <c r="J27" s="424"/>
      <c r="K27" s="424"/>
    </row>
    <row r="28" spans="1:11">
      <c r="A28" s="426" t="s">
        <v>236</v>
      </c>
      <c r="B28" s="427" t="s">
        <v>237</v>
      </c>
      <c r="C28" s="428"/>
      <c r="D28" s="429"/>
      <c r="E28" s="430"/>
      <c r="F28" s="1694"/>
      <c r="G28" s="431"/>
      <c r="H28" s="431"/>
      <c r="I28" s="431"/>
      <c r="J28" s="431"/>
      <c r="K28" s="431"/>
    </row>
    <row r="29" spans="1:11">
      <c r="A29" s="426"/>
      <c r="B29" s="427" t="s">
        <v>238</v>
      </c>
      <c r="C29" s="428"/>
      <c r="D29" s="429"/>
      <c r="E29" s="430"/>
      <c r="F29" s="1694"/>
      <c r="G29" s="431"/>
      <c r="H29" s="431"/>
      <c r="I29" s="431"/>
      <c r="J29" s="431"/>
      <c r="K29" s="431"/>
    </row>
    <row r="30" spans="1:11">
      <c r="A30" s="426"/>
      <c r="B30" s="427" t="s">
        <v>239</v>
      </c>
      <c r="C30" s="428"/>
      <c r="D30" s="429"/>
      <c r="E30" s="430"/>
      <c r="F30" s="1694"/>
      <c r="G30" s="431"/>
      <c r="H30" s="431"/>
      <c r="I30" s="431"/>
      <c r="J30" s="431"/>
      <c r="K30" s="431"/>
    </row>
    <row r="31" spans="1:11">
      <c r="A31" s="426"/>
      <c r="B31" s="427" t="s">
        <v>240</v>
      </c>
      <c r="C31" s="428"/>
      <c r="D31" s="429"/>
      <c r="E31" s="430"/>
      <c r="F31" s="1694"/>
      <c r="G31" s="431"/>
      <c r="H31" s="431"/>
      <c r="I31" s="431"/>
      <c r="J31" s="431"/>
      <c r="K31" s="431"/>
    </row>
    <row r="32" spans="1:11">
      <c r="A32" s="426" t="s">
        <v>241</v>
      </c>
      <c r="B32" s="427" t="s">
        <v>242</v>
      </c>
      <c r="C32" s="428"/>
      <c r="D32" s="429"/>
      <c r="E32" s="430"/>
      <c r="F32" s="1694"/>
      <c r="G32" s="431"/>
      <c r="H32" s="431"/>
      <c r="I32" s="431"/>
      <c r="J32" s="431"/>
      <c r="K32" s="431"/>
    </row>
    <row r="33" spans="1:11">
      <c r="A33" s="426"/>
      <c r="B33" s="427" t="s">
        <v>243</v>
      </c>
      <c r="C33" s="428"/>
      <c r="D33" s="429"/>
      <c r="E33" s="430"/>
      <c r="F33" s="1694"/>
      <c r="G33" s="431"/>
      <c r="H33" s="431"/>
      <c r="I33" s="431"/>
      <c r="J33" s="431"/>
      <c r="K33" s="431"/>
    </row>
    <row r="34" spans="1:11">
      <c r="A34" s="426"/>
      <c r="B34" s="427" t="s">
        <v>243</v>
      </c>
      <c r="C34" s="428"/>
      <c r="D34" s="429"/>
      <c r="E34" s="430"/>
      <c r="F34" s="1694"/>
      <c r="G34" s="431"/>
      <c r="H34" s="431"/>
      <c r="I34" s="431"/>
      <c r="J34" s="431"/>
      <c r="K34" s="431"/>
    </row>
    <row r="35" spans="1:11">
      <c r="A35" s="405"/>
      <c r="B35" s="432" t="s">
        <v>754</v>
      </c>
      <c r="C35" s="814"/>
      <c r="D35" s="433">
        <f t="shared" ref="C35:E36" si="7">D29+D33</f>
        <v>0</v>
      </c>
      <c r="E35" s="434">
        <f t="shared" si="7"/>
        <v>0</v>
      </c>
      <c r="F35" s="1694"/>
      <c r="G35" s="431"/>
      <c r="H35" s="431"/>
      <c r="I35" s="431"/>
      <c r="J35" s="431"/>
      <c r="K35" s="431"/>
    </row>
    <row r="36" spans="1:11">
      <c r="A36" s="405"/>
      <c r="B36" s="432" t="s">
        <v>755</v>
      </c>
      <c r="C36" s="433">
        <f t="shared" si="7"/>
        <v>0</v>
      </c>
      <c r="D36" s="433">
        <f t="shared" si="7"/>
        <v>0</v>
      </c>
      <c r="E36" s="434">
        <f t="shared" si="7"/>
        <v>0</v>
      </c>
      <c r="F36" s="1694"/>
      <c r="G36" s="431"/>
      <c r="H36" s="431"/>
      <c r="I36" s="431"/>
      <c r="J36" s="431"/>
      <c r="K36" s="431"/>
    </row>
    <row r="37" spans="1:11" ht="66" customHeight="1" thickBot="1">
      <c r="A37" s="405"/>
      <c r="B37" s="432" t="s">
        <v>756</v>
      </c>
      <c r="C37" s="435" t="e">
        <f>C31+#REF!</f>
        <v>#REF!</v>
      </c>
      <c r="D37" s="436" t="e">
        <f>D31+#REF!</f>
        <v>#REF!</v>
      </c>
      <c r="E37" s="437" t="e">
        <f>E31+#REF!</f>
        <v>#REF!</v>
      </c>
      <c r="F37" s="1695"/>
      <c r="G37" s="431"/>
      <c r="H37" s="431"/>
      <c r="I37" s="431"/>
      <c r="J37" s="431"/>
      <c r="K37" s="431"/>
    </row>
    <row r="38" spans="1:11" ht="21" customHeight="1">
      <c r="A38" s="438" t="s">
        <v>758</v>
      </c>
      <c r="B38" s="415"/>
      <c r="C38" s="416"/>
      <c r="D38" s="416"/>
      <c r="E38" s="416"/>
      <c r="F38" s="416"/>
      <c r="H38" s="416"/>
      <c r="I38" s="416"/>
      <c r="J38" s="416"/>
      <c r="K38" s="416"/>
    </row>
    <row r="39" spans="1:11" ht="21" hidden="1" customHeight="1">
      <c r="A39" s="194" t="s">
        <v>212</v>
      </c>
      <c r="B39" s="194"/>
      <c r="C39" s="194"/>
      <c r="D39" s="194"/>
      <c r="E39" s="194"/>
      <c r="F39" s="194"/>
      <c r="G39" s="194"/>
      <c r="H39" s="194"/>
      <c r="K39" s="416"/>
    </row>
    <row r="40" spans="1:11" ht="21" hidden="1" customHeight="1">
      <c r="A40" s="214">
        <v>1</v>
      </c>
      <c r="B40" s="214" t="s">
        <v>364</v>
      </c>
      <c r="C40" s="1510" t="s">
        <v>377</v>
      </c>
      <c r="D40" s="1569"/>
      <c r="E40" s="1569"/>
      <c r="F40" s="1569"/>
      <c r="G40" s="1569"/>
      <c r="H40" s="1513"/>
      <c r="I40" s="416"/>
      <c r="J40" s="416"/>
      <c r="K40" s="416"/>
    </row>
    <row r="41" spans="1:11" ht="21" hidden="1" customHeight="1">
      <c r="A41" s="246">
        <v>2</v>
      </c>
      <c r="B41" s="247" t="s">
        <v>368</v>
      </c>
      <c r="C41" s="252">
        <v>17.100000000000001</v>
      </c>
      <c r="D41" s="194"/>
      <c r="E41" s="194"/>
      <c r="F41" s="194"/>
      <c r="G41" s="194"/>
      <c r="H41" s="253"/>
    </row>
    <row r="42" spans="1:11" ht="21" hidden="1" customHeight="1">
      <c r="A42" s="214">
        <v>3</v>
      </c>
      <c r="B42" s="770" t="s">
        <v>355</v>
      </c>
      <c r="C42" s="761" t="s">
        <v>378</v>
      </c>
      <c r="D42" s="778"/>
      <c r="E42" s="778"/>
      <c r="F42" s="778"/>
      <c r="G42" s="778"/>
      <c r="H42" s="340"/>
    </row>
    <row r="43" spans="1:11" ht="21" hidden="1" customHeight="1">
      <c r="A43" s="214">
        <v>4</v>
      </c>
      <c r="B43" s="215" t="s">
        <v>356</v>
      </c>
      <c r="C43" s="1696"/>
      <c r="D43" s="1697"/>
      <c r="E43" s="1697"/>
      <c r="F43" s="1697"/>
      <c r="G43" s="1697"/>
      <c r="H43" s="1698"/>
    </row>
    <row r="44" spans="1:11" ht="21" hidden="1" customHeight="1">
      <c r="A44" s="214">
        <v>5</v>
      </c>
      <c r="B44" s="215" t="s">
        <v>357</v>
      </c>
      <c r="C44" s="761"/>
      <c r="D44" s="778"/>
      <c r="E44" s="778"/>
      <c r="F44" s="778"/>
      <c r="G44" s="778"/>
      <c r="H44" s="340"/>
    </row>
    <row r="45" spans="1:11" ht="21" hidden="1" customHeight="1"/>
    <row r="46" spans="1:11" ht="21" hidden="1" customHeight="1"/>
    <row r="47" spans="1:11" ht="21" hidden="1" customHeight="1"/>
    <row r="48" spans="1:11" ht="21" customHeight="1">
      <c r="A48" s="1699" t="s">
        <v>750</v>
      </c>
      <c r="B48" s="1699" t="s">
        <v>759</v>
      </c>
      <c r="C48" s="1556" t="s">
        <v>727</v>
      </c>
      <c r="D48" s="1703" t="s">
        <v>760</v>
      </c>
      <c r="E48" s="1703"/>
      <c r="F48" s="1703"/>
      <c r="G48" s="1703"/>
    </row>
    <row r="49" spans="1:14" ht="21" customHeight="1">
      <c r="A49" s="1700"/>
      <c r="B49" s="1700"/>
      <c r="C49" s="1702"/>
      <c r="D49" s="1699" t="s">
        <v>761</v>
      </c>
      <c r="E49" s="1699" t="s">
        <v>764</v>
      </c>
      <c r="F49" s="1553" t="s">
        <v>762</v>
      </c>
      <c r="G49" s="1699" t="s">
        <v>763</v>
      </c>
    </row>
    <row r="50" spans="1:14" ht="30.75" customHeight="1">
      <c r="A50" s="1701"/>
      <c r="B50" s="1701"/>
      <c r="C50" s="1557"/>
      <c r="D50" s="1701"/>
      <c r="E50" s="1701"/>
      <c r="F50" s="1553"/>
      <c r="G50" s="1701"/>
    </row>
    <row r="51" spans="1:14" ht="21" customHeight="1">
      <c r="A51" s="773"/>
      <c r="B51" s="773">
        <v>1</v>
      </c>
      <c r="C51" s="171">
        <v>2</v>
      </c>
      <c r="D51" s="171">
        <v>3</v>
      </c>
      <c r="E51" s="773">
        <v>4</v>
      </c>
      <c r="F51" s="171">
        <v>5</v>
      </c>
      <c r="G51" s="773">
        <v>6</v>
      </c>
    </row>
    <row r="52" spans="1:14" ht="21" customHeight="1">
      <c r="A52" s="172">
        <v>1</v>
      </c>
      <c r="B52" s="172" t="s">
        <v>952</v>
      </c>
      <c r="C52" s="772" t="s">
        <v>953</v>
      </c>
      <c r="D52" s="1101"/>
      <c r="E52" s="1101">
        <f>D17</f>
        <v>57.980000000000004</v>
      </c>
      <c r="F52" s="1102">
        <f>E17</f>
        <v>102.29311199999999</v>
      </c>
      <c r="G52" s="175">
        <v>0</v>
      </c>
    </row>
    <row r="53" spans="1:14" ht="21" customHeight="1">
      <c r="A53" s="172">
        <v>2</v>
      </c>
      <c r="B53" s="172"/>
      <c r="C53" s="772"/>
      <c r="D53" s="175"/>
      <c r="E53" s="175"/>
      <c r="F53" s="175"/>
      <c r="G53" s="175"/>
    </row>
    <row r="54" spans="1:14" ht="21" customHeight="1"/>
    <row r="55" spans="1:14" ht="21" hidden="1" customHeight="1">
      <c r="B55" s="1514" t="s">
        <v>992</v>
      </c>
      <c r="C55" s="1514"/>
      <c r="D55" s="1514"/>
      <c r="E55" s="1514"/>
      <c r="F55" s="1514"/>
    </row>
    <row r="56" spans="1:14" ht="21" hidden="1" customHeight="1"/>
    <row r="57" spans="1:14" ht="21" hidden="1" customHeight="1">
      <c r="B57" s="1704" t="s">
        <v>972</v>
      </c>
      <c r="C57" s="1706" t="s">
        <v>973</v>
      </c>
      <c r="D57" s="1708" t="s">
        <v>974</v>
      </c>
      <c r="E57" s="1709"/>
      <c r="F57" s="1709"/>
      <c r="G57" s="1710"/>
      <c r="H57" s="1708" t="s">
        <v>975</v>
      </c>
      <c r="I57" s="1709"/>
      <c r="J57" s="1709"/>
      <c r="K57" s="1709"/>
      <c r="L57" s="1709"/>
      <c r="M57" s="1709"/>
      <c r="N57" s="1710"/>
    </row>
    <row r="58" spans="1:14" ht="44.25" hidden="1" customHeight="1">
      <c r="B58" s="1705"/>
      <c r="C58" s="1707"/>
      <c r="D58" s="298" t="s">
        <v>976</v>
      </c>
      <c r="E58" s="1711" t="s">
        <v>977</v>
      </c>
      <c r="F58" s="1712"/>
      <c r="G58" s="298" t="s">
        <v>978</v>
      </c>
      <c r="H58" s="298" t="s">
        <v>979</v>
      </c>
      <c r="I58" s="1711" t="s">
        <v>980</v>
      </c>
      <c r="J58" s="1712"/>
      <c r="K58" s="1711" t="s">
        <v>981</v>
      </c>
      <c r="L58" s="1713"/>
      <c r="M58" s="1713"/>
      <c r="N58" s="1712"/>
    </row>
    <row r="59" spans="1:14" ht="21" hidden="1" customHeight="1">
      <c r="B59" s="299">
        <v>1</v>
      </c>
      <c r="C59" s="300" t="s">
        <v>982</v>
      </c>
      <c r="D59" s="301">
        <v>2193.58</v>
      </c>
      <c r="E59" s="1714">
        <v>3034.34</v>
      </c>
      <c r="F59" s="1715"/>
      <c r="G59" s="301">
        <v>566.28</v>
      </c>
      <c r="H59" s="301">
        <f>+G62</f>
        <v>1373.74</v>
      </c>
      <c r="I59" s="1714">
        <f>+H62</f>
        <v>3688.58</v>
      </c>
      <c r="J59" s="1715"/>
      <c r="K59" s="1714">
        <f>+I62</f>
        <v>4450.1099999999997</v>
      </c>
      <c r="L59" s="1716"/>
      <c r="M59" s="1716"/>
      <c r="N59" s="1715"/>
    </row>
    <row r="60" spans="1:14" ht="21" hidden="1" customHeight="1">
      <c r="B60" s="299">
        <v>2</v>
      </c>
      <c r="C60" s="302" t="s">
        <v>983</v>
      </c>
      <c r="D60" s="303">
        <v>962.27</v>
      </c>
      <c r="E60" s="1717">
        <v>1796.7</v>
      </c>
      <c r="F60" s="1718"/>
      <c r="G60" s="303">
        <f>270.94+536.52</f>
        <v>807.46</v>
      </c>
      <c r="H60" s="303">
        <v>2314.84</v>
      </c>
      <c r="I60" s="1719">
        <v>761.53</v>
      </c>
      <c r="J60" s="1720"/>
      <c r="K60" s="1719">
        <v>107.55</v>
      </c>
      <c r="L60" s="1721"/>
      <c r="M60" s="1721"/>
      <c r="N60" s="1720"/>
    </row>
    <row r="61" spans="1:14" ht="21" hidden="1" customHeight="1">
      <c r="B61" s="299">
        <v>3</v>
      </c>
      <c r="C61" s="304" t="s">
        <v>984</v>
      </c>
      <c r="D61" s="309">
        <v>177.47</v>
      </c>
      <c r="E61" s="1722">
        <v>324.07</v>
      </c>
      <c r="F61" s="1723"/>
      <c r="G61" s="311"/>
      <c r="H61" s="305">
        <v>0</v>
      </c>
      <c r="I61" s="1724">
        <v>0</v>
      </c>
      <c r="J61" s="1725"/>
      <c r="K61" s="1724">
        <v>0</v>
      </c>
      <c r="L61" s="1726"/>
      <c r="M61" s="1726"/>
      <c r="N61" s="1725"/>
    </row>
    <row r="62" spans="1:14" ht="21" hidden="1" customHeight="1">
      <c r="B62" s="299">
        <v>4</v>
      </c>
      <c r="C62" s="304" t="s">
        <v>985</v>
      </c>
      <c r="D62" s="306">
        <v>3578.38</v>
      </c>
      <c r="E62" s="1727">
        <v>4506.95</v>
      </c>
      <c r="F62" s="1728"/>
      <c r="G62" s="309">
        <f>+G59+G60-G61</f>
        <v>1373.74</v>
      </c>
      <c r="H62" s="309">
        <f>+H59+H60-H61</f>
        <v>3688.58</v>
      </c>
      <c r="I62" s="1727">
        <f>+I59+I60-I61</f>
        <v>4450.1099999999997</v>
      </c>
      <c r="J62" s="1728"/>
      <c r="K62" s="1727">
        <f>+K59+K60-K61</f>
        <v>4557.66</v>
      </c>
      <c r="L62" s="1729"/>
      <c r="M62" s="1729"/>
      <c r="N62" s="1728"/>
    </row>
    <row r="63" spans="1:14" ht="21" hidden="1" customHeight="1">
      <c r="B63" s="299">
        <v>5</v>
      </c>
      <c r="C63" s="302" t="s">
        <v>986</v>
      </c>
      <c r="D63" s="306">
        <v>3185.98</v>
      </c>
      <c r="E63" s="1727">
        <v>3770.63</v>
      </c>
      <c r="F63" s="1728"/>
      <c r="G63" s="306">
        <f>(G59+G62)/2</f>
        <v>970.01</v>
      </c>
      <c r="H63" s="306">
        <f>(H59+H62)/2</f>
        <v>2531.16</v>
      </c>
      <c r="I63" s="1727">
        <f>(I59+I62)/2</f>
        <v>4069.3449999999998</v>
      </c>
      <c r="J63" s="1728"/>
      <c r="K63" s="1727">
        <f>(K59+K62)/2</f>
        <v>4503.8850000000002</v>
      </c>
      <c r="L63" s="1729"/>
      <c r="M63" s="1729"/>
      <c r="N63" s="1728"/>
    </row>
    <row r="64" spans="1:14" ht="21" hidden="1" customHeight="1">
      <c r="B64" s="299">
        <v>6</v>
      </c>
      <c r="C64" s="300" t="s">
        <v>987</v>
      </c>
      <c r="D64" s="312">
        <v>7.1499999999999994E-2</v>
      </c>
      <c r="E64" s="1730">
        <v>8.6800000000000002E-2</v>
      </c>
      <c r="F64" s="1731"/>
      <c r="G64" s="307">
        <v>0.105</v>
      </c>
      <c r="H64" s="307">
        <v>0.105</v>
      </c>
      <c r="I64" s="1732">
        <v>0.105</v>
      </c>
      <c r="J64" s="1733"/>
      <c r="K64" s="1732">
        <v>0.105</v>
      </c>
      <c r="L64" s="1734"/>
      <c r="M64" s="1734"/>
      <c r="N64" s="1733"/>
    </row>
    <row r="65" spans="2:14" ht="21" hidden="1" customHeight="1">
      <c r="B65" s="299">
        <v>7</v>
      </c>
      <c r="C65" s="302" t="s">
        <v>988</v>
      </c>
      <c r="D65" s="313">
        <v>227.8</v>
      </c>
      <c r="E65" s="1727">
        <v>327.29000000000002</v>
      </c>
      <c r="F65" s="1728"/>
      <c r="G65" s="306">
        <f>+G63*G64</f>
        <v>101.85105</v>
      </c>
      <c r="H65" s="306">
        <f>+H63*H64</f>
        <v>265.77179999999998</v>
      </c>
      <c r="I65" s="1727">
        <f>+I63*I64</f>
        <v>427.28122499999995</v>
      </c>
      <c r="J65" s="1728"/>
      <c r="K65" s="1727">
        <f>+K63*K64</f>
        <v>472.90792499999998</v>
      </c>
      <c r="L65" s="1729"/>
      <c r="M65" s="1729"/>
      <c r="N65" s="1728"/>
    </row>
    <row r="66" spans="2:14" ht="21" hidden="1" customHeight="1">
      <c r="B66" s="299">
        <v>8</v>
      </c>
      <c r="C66" s="308" t="s">
        <v>989</v>
      </c>
      <c r="D66" s="309">
        <v>0.01</v>
      </c>
      <c r="E66" s="1735" t="s">
        <v>990</v>
      </c>
      <c r="F66" s="1736"/>
      <c r="G66" s="310">
        <v>0</v>
      </c>
      <c r="H66" s="310">
        <v>0</v>
      </c>
      <c r="I66" s="1737">
        <v>0</v>
      </c>
      <c r="J66" s="1738"/>
      <c r="K66" s="1737">
        <v>0</v>
      </c>
      <c r="L66" s="1739"/>
      <c r="M66" s="1739"/>
      <c r="N66" s="1738"/>
    </row>
    <row r="67" spans="2:14" ht="21" hidden="1" customHeight="1">
      <c r="B67" s="299">
        <v>9</v>
      </c>
      <c r="C67" s="302" t="s">
        <v>991</v>
      </c>
      <c r="D67" s="309">
        <v>227.81</v>
      </c>
      <c r="E67" s="1722">
        <v>327.29000000000002</v>
      </c>
      <c r="F67" s="1723"/>
      <c r="G67" s="309">
        <f>+G65+G66</f>
        <v>101.85105</v>
      </c>
      <c r="H67" s="309">
        <f>+H65+H66</f>
        <v>265.77179999999998</v>
      </c>
      <c r="I67" s="1722">
        <f>+I65+I66</f>
        <v>427.28122499999995</v>
      </c>
      <c r="J67" s="1723"/>
      <c r="K67" s="1722">
        <f>+K65+K66</f>
        <v>472.90792499999998</v>
      </c>
      <c r="L67" s="1740"/>
      <c r="M67" s="1740"/>
      <c r="N67" s="1723"/>
    </row>
    <row r="68" spans="2:14" ht="21" customHeight="1"/>
    <row r="69" spans="2:14" ht="21" customHeight="1">
      <c r="E69" s="1572" t="s">
        <v>427</v>
      </c>
      <c r="F69" s="1572"/>
      <c r="G69" s="1572"/>
    </row>
    <row r="70" spans="2:14" ht="21" customHeight="1"/>
    <row r="71" spans="2:14" ht="21" customHeight="1"/>
    <row r="72" spans="2:14" ht="21" customHeight="1"/>
    <row r="73" spans="2:14" ht="21" customHeight="1"/>
    <row r="74" spans="2:14" ht="21" customHeight="1"/>
    <row r="75" spans="2:14" ht="21" customHeight="1"/>
    <row r="76" spans="2:14" ht="21" customHeight="1"/>
    <row r="77" spans="2:14" ht="21" customHeight="1"/>
    <row r="78" spans="2:14" ht="21" customHeight="1"/>
    <row r="79" spans="2:14" ht="21" customHeight="1"/>
    <row r="80" spans="2:14"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sheetData>
  <mergeCells count="48">
    <mergeCell ref="E65:F65"/>
    <mergeCell ref="I65:J65"/>
    <mergeCell ref="K65:N65"/>
    <mergeCell ref="E69:G69"/>
    <mergeCell ref="E66:F66"/>
    <mergeCell ref="I66:J66"/>
    <mergeCell ref="K66:N66"/>
    <mergeCell ref="E67:F67"/>
    <mergeCell ref="I67:J67"/>
    <mergeCell ref="K67:N67"/>
    <mergeCell ref="E63:F63"/>
    <mergeCell ref="I63:J63"/>
    <mergeCell ref="K63:N63"/>
    <mergeCell ref="E64:F64"/>
    <mergeCell ref="I64:J64"/>
    <mergeCell ref="K64:N64"/>
    <mergeCell ref="E61:F61"/>
    <mergeCell ref="I61:J61"/>
    <mergeCell ref="K61:N61"/>
    <mergeCell ref="E62:F62"/>
    <mergeCell ref="I62:J62"/>
    <mergeCell ref="K62:N62"/>
    <mergeCell ref="E59:F59"/>
    <mergeCell ref="I59:J59"/>
    <mergeCell ref="K59:N59"/>
    <mergeCell ref="E60:F60"/>
    <mergeCell ref="I60:J60"/>
    <mergeCell ref="K60:N60"/>
    <mergeCell ref="B55:F55"/>
    <mergeCell ref="B57:B58"/>
    <mergeCell ref="C57:C58"/>
    <mergeCell ref="D57:G57"/>
    <mergeCell ref="H57:N57"/>
    <mergeCell ref="E58:F58"/>
    <mergeCell ref="I58:J58"/>
    <mergeCell ref="K58:N58"/>
    <mergeCell ref="A23:F23"/>
    <mergeCell ref="F25:F37"/>
    <mergeCell ref="C40:H40"/>
    <mergeCell ref="C43:H43"/>
    <mergeCell ref="A48:A50"/>
    <mergeCell ref="B48:B50"/>
    <mergeCell ref="C48:C50"/>
    <mergeCell ref="D48:G48"/>
    <mergeCell ref="D49:D50"/>
    <mergeCell ref="E49:E50"/>
    <mergeCell ref="F49:F50"/>
    <mergeCell ref="G49:G50"/>
  </mergeCells>
  <pageMargins left="0.70866141732283472" right="0.70866141732283472" top="0.74803149606299213" bottom="0.74803149606299213" header="0.31496062992125984" footer="0.31496062992125984"/>
  <pageSetup paperSize="9" scale="55" fitToHeight="2" orientation="portrait"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
  <sheetViews>
    <sheetView showGridLines="0" view="pageBreakPreview" zoomScale="90" zoomScaleNormal="100" zoomScaleSheetLayoutView="90" workbookViewId="0">
      <selection activeCell="K22" sqref="K21:K22"/>
    </sheetView>
  </sheetViews>
  <sheetFormatPr defaultColWidth="9.140625" defaultRowHeight="15"/>
  <cols>
    <col min="1" max="1" width="9.140625" style="174"/>
    <col min="2" max="2" width="11.5703125" style="174" customWidth="1"/>
    <col min="3" max="3" width="14.85546875" style="174" bestFit="1" customWidth="1"/>
    <col min="4" max="4" width="11" style="174" customWidth="1"/>
    <col min="5" max="5" width="10.42578125" style="174" customWidth="1"/>
    <col min="6" max="6" width="10.85546875" style="174" customWidth="1"/>
    <col min="7" max="7" width="14.5703125" style="174" customWidth="1"/>
    <col min="8" max="8" width="12.5703125" style="174" customWidth="1"/>
    <col min="9" max="16384" width="9.140625" style="174"/>
  </cols>
  <sheetData>
    <row r="1" spans="1:8" ht="28.5" customHeight="1">
      <c r="A1" s="1743" t="s">
        <v>1233</v>
      </c>
      <c r="B1" s="1743"/>
      <c r="C1" s="1743"/>
      <c r="D1" s="1743"/>
      <c r="E1" s="1743"/>
      <c r="F1" s="1743"/>
      <c r="G1" s="1743"/>
      <c r="H1" s="1743"/>
    </row>
    <row r="2" spans="1:8">
      <c r="A2" s="244" t="s">
        <v>775</v>
      </c>
      <c r="B2" s="244"/>
      <c r="C2" s="198"/>
      <c r="D2" s="198"/>
      <c r="E2" s="198"/>
      <c r="F2" s="198"/>
      <c r="H2" s="261" t="s">
        <v>553</v>
      </c>
    </row>
    <row r="3" spans="1:8" ht="30">
      <c r="A3" s="1753" t="s">
        <v>651</v>
      </c>
      <c r="B3" s="1754" t="s">
        <v>765</v>
      </c>
      <c r="C3" s="1754" t="s">
        <v>567</v>
      </c>
      <c r="D3" s="1754"/>
      <c r="E3" s="339" t="s">
        <v>766</v>
      </c>
      <c r="F3" s="1754" t="s">
        <v>768</v>
      </c>
      <c r="G3" s="339" t="s">
        <v>769</v>
      </c>
      <c r="H3" s="339" t="s">
        <v>771</v>
      </c>
    </row>
    <row r="4" spans="1:8" ht="30">
      <c r="A4" s="1753"/>
      <c r="B4" s="1754"/>
      <c r="C4" s="338" t="s">
        <v>773</v>
      </c>
      <c r="D4" s="339" t="s">
        <v>774</v>
      </c>
      <c r="E4" s="339" t="s">
        <v>767</v>
      </c>
      <c r="F4" s="1754"/>
      <c r="G4" s="339" t="s">
        <v>770</v>
      </c>
      <c r="H4" s="339" t="s">
        <v>772</v>
      </c>
    </row>
    <row r="5" spans="1:8">
      <c r="A5" s="171">
        <v>1</v>
      </c>
      <c r="B5" s="337">
        <v>2</v>
      </c>
      <c r="C5" s="171">
        <v>3</v>
      </c>
      <c r="D5" s="337">
        <v>4</v>
      </c>
      <c r="E5" s="337">
        <v>5</v>
      </c>
      <c r="F5" s="171">
        <v>6</v>
      </c>
      <c r="G5" s="337">
        <v>7</v>
      </c>
      <c r="H5" s="171">
        <v>8</v>
      </c>
    </row>
    <row r="6" spans="1:8">
      <c r="A6" s="1744" t="s">
        <v>968</v>
      </c>
      <c r="B6" s="1745"/>
      <c r="C6" s="1745"/>
      <c r="D6" s="1745"/>
      <c r="E6" s="1745"/>
      <c r="F6" s="1745"/>
      <c r="G6" s="1745"/>
      <c r="H6" s="1746"/>
    </row>
    <row r="7" spans="1:8">
      <c r="A7" s="1747"/>
      <c r="B7" s="1748"/>
      <c r="C7" s="1748"/>
      <c r="D7" s="1748"/>
      <c r="E7" s="1748"/>
      <c r="F7" s="1748"/>
      <c r="G7" s="1748"/>
      <c r="H7" s="1749"/>
    </row>
    <row r="8" spans="1:8">
      <c r="A8" s="1747"/>
      <c r="B8" s="1748"/>
      <c r="C8" s="1748"/>
      <c r="D8" s="1748"/>
      <c r="E8" s="1748"/>
      <c r="F8" s="1748"/>
      <c r="G8" s="1748"/>
      <c r="H8" s="1749"/>
    </row>
    <row r="9" spans="1:8">
      <c r="A9" s="1747"/>
      <c r="B9" s="1748"/>
      <c r="C9" s="1748"/>
      <c r="D9" s="1748"/>
      <c r="E9" s="1748"/>
      <c r="F9" s="1748"/>
      <c r="G9" s="1748"/>
      <c r="H9" s="1749"/>
    </row>
    <row r="10" spans="1:8">
      <c r="A10" s="1747"/>
      <c r="B10" s="1748"/>
      <c r="C10" s="1748"/>
      <c r="D10" s="1748"/>
      <c r="E10" s="1748"/>
      <c r="F10" s="1748"/>
      <c r="G10" s="1748"/>
      <c r="H10" s="1749"/>
    </row>
    <row r="11" spans="1:8">
      <c r="A11" s="1747"/>
      <c r="B11" s="1748"/>
      <c r="C11" s="1748"/>
      <c r="D11" s="1748"/>
      <c r="E11" s="1748"/>
      <c r="F11" s="1748"/>
      <c r="G11" s="1748"/>
      <c r="H11" s="1749"/>
    </row>
    <row r="12" spans="1:8">
      <c r="A12" s="1750"/>
      <c r="B12" s="1751"/>
      <c r="C12" s="1751"/>
      <c r="D12" s="1751"/>
      <c r="E12" s="1751"/>
      <c r="F12" s="1751"/>
      <c r="G12" s="1751"/>
      <c r="H12" s="1752"/>
    </row>
    <row r="13" spans="1:8">
      <c r="A13" s="174" t="s">
        <v>776</v>
      </c>
    </row>
    <row r="16" spans="1:8" ht="15.75">
      <c r="F16" s="1741" t="s">
        <v>427</v>
      </c>
      <c r="G16" s="1741"/>
      <c r="H16" s="1742"/>
    </row>
  </sheetData>
  <mergeCells count="7">
    <mergeCell ref="F16:H16"/>
    <mergeCell ref="A1:H1"/>
    <mergeCell ref="A6:H12"/>
    <mergeCell ref="A3:A4"/>
    <mergeCell ref="B3:B4"/>
    <mergeCell ref="C3:D3"/>
    <mergeCell ref="F3:F4"/>
  </mergeCell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2D050"/>
    <pageSetUpPr fitToPage="1"/>
  </sheetPr>
  <dimension ref="A1:K148"/>
  <sheetViews>
    <sheetView showGridLines="0" view="pageBreakPreview" topLeftCell="C16" zoomScale="70" zoomScaleNormal="90" zoomScaleSheetLayoutView="70" workbookViewId="0">
      <selection activeCell="H31" sqref="H31"/>
    </sheetView>
  </sheetViews>
  <sheetFormatPr defaultColWidth="9.140625" defaultRowHeight="15.75"/>
  <cols>
    <col min="1" max="1" width="8.140625" style="75" customWidth="1"/>
    <col min="2" max="2" width="34.5703125" style="75" customWidth="1"/>
    <col min="3" max="5" width="18.7109375" style="75" customWidth="1"/>
    <col min="6" max="7" width="18.7109375" style="75" hidden="1" customWidth="1"/>
    <col min="8" max="10" width="18.7109375" style="75" customWidth="1"/>
    <col min="11" max="11" width="3.5703125" style="75" customWidth="1"/>
    <col min="12" max="16384" width="9.140625" style="75"/>
  </cols>
  <sheetData>
    <row r="1" spans="1:10" ht="21" customHeight="1">
      <c r="A1" s="1755" t="s">
        <v>1233</v>
      </c>
      <c r="B1" s="1755"/>
      <c r="C1" s="1755"/>
      <c r="D1" s="1755"/>
      <c r="E1" s="1755"/>
      <c r="F1" s="1755"/>
      <c r="G1" s="1755"/>
      <c r="H1" s="1755"/>
    </row>
    <row r="2" spans="1:10" ht="21" customHeight="1">
      <c r="A2" s="1757" t="s">
        <v>76</v>
      </c>
      <c r="B2" s="1757"/>
      <c r="C2" s="445"/>
      <c r="D2" s="445"/>
      <c r="E2" s="445"/>
      <c r="F2" s="445"/>
      <c r="G2" s="1552"/>
      <c r="H2" s="1552"/>
      <c r="I2" s="1552" t="s">
        <v>662</v>
      </c>
      <c r="J2" s="1552"/>
    </row>
    <row r="3" spans="1:10" ht="21" customHeight="1">
      <c r="B3" s="77"/>
      <c r="G3" s="1756" t="s">
        <v>345</v>
      </c>
      <c r="H3" s="1756"/>
    </row>
    <row r="4" spans="1:10" ht="43.5" customHeight="1">
      <c r="A4" s="1383" t="s">
        <v>325</v>
      </c>
      <c r="B4" s="1383" t="s">
        <v>48</v>
      </c>
      <c r="C4" s="1431" t="s">
        <v>1916</v>
      </c>
      <c r="D4" s="1432"/>
      <c r="E4" s="1375" t="s">
        <v>1917</v>
      </c>
      <c r="F4" s="1376"/>
      <c r="G4" s="1376"/>
      <c r="H4" s="1377"/>
      <c r="I4" s="1365" t="s">
        <v>1918</v>
      </c>
      <c r="J4" s="1365"/>
    </row>
    <row r="5" spans="1:10" ht="43.5" customHeight="1">
      <c r="A5" s="1384"/>
      <c r="B5" s="1384"/>
      <c r="C5" s="455" t="s">
        <v>1250</v>
      </c>
      <c r="D5" s="328" t="s">
        <v>1384</v>
      </c>
      <c r="E5" s="455" t="s">
        <v>1235</v>
      </c>
      <c r="F5" s="455" t="s">
        <v>1239</v>
      </c>
      <c r="G5" s="455" t="s">
        <v>1240</v>
      </c>
      <c r="H5" s="459" t="s">
        <v>1241</v>
      </c>
      <c r="I5" s="455" t="s">
        <v>1235</v>
      </c>
      <c r="J5" s="455" t="s">
        <v>1243</v>
      </c>
    </row>
    <row r="6" spans="1:10" ht="31.5">
      <c r="A6" s="531">
        <v>1</v>
      </c>
      <c r="B6" s="535" t="s">
        <v>275</v>
      </c>
      <c r="C6" s="672">
        <f>'F15'!C13</f>
        <v>96.734560000000002</v>
      </c>
      <c r="D6" s="672">
        <f>'F15'!D13</f>
        <v>84.352566498405594</v>
      </c>
      <c r="E6" s="672">
        <f>'F15'!E8</f>
        <v>103.07752799999999</v>
      </c>
      <c r="F6" s="596"/>
      <c r="G6" s="596"/>
      <c r="H6" s="672">
        <f>'F15'!F8</f>
        <v>109.9224666663472</v>
      </c>
      <c r="I6" s="672">
        <f>'F15'!G8</f>
        <v>139.475888</v>
      </c>
      <c r="J6" s="672">
        <f>'F15'!H13</f>
        <v>132.12505298954719</v>
      </c>
    </row>
    <row r="7" spans="1:10">
      <c r="A7" s="531">
        <v>2</v>
      </c>
      <c r="B7" s="535" t="s">
        <v>276</v>
      </c>
      <c r="C7" s="671">
        <v>182.06</v>
      </c>
      <c r="D7" s="671">
        <f>'F14-1'!E37</f>
        <v>188.70411387605893</v>
      </c>
      <c r="E7" s="671">
        <v>193.05</v>
      </c>
      <c r="F7" s="596"/>
      <c r="G7" s="596"/>
      <c r="H7" s="671">
        <f>'F14-1'!I37</f>
        <v>211.86081281817502</v>
      </c>
      <c r="I7" s="671">
        <v>256.05</v>
      </c>
      <c r="J7" s="671">
        <f>'F14-1'!K37</f>
        <v>235.15158617980126</v>
      </c>
    </row>
    <row r="8" spans="1:10" ht="31.5">
      <c r="A8" s="531">
        <v>3</v>
      </c>
      <c r="B8" s="535" t="s">
        <v>277</v>
      </c>
      <c r="C8" s="672">
        <f>'F16'!C57</f>
        <v>44.611318959999991</v>
      </c>
      <c r="D8" s="672">
        <f>'F16'!D57</f>
        <v>42.070986721287518</v>
      </c>
      <c r="E8" s="672">
        <f>'F16'!E57</f>
        <v>44.631063999999995</v>
      </c>
      <c r="F8" s="596"/>
      <c r="G8" s="596"/>
      <c r="H8" s="672">
        <f>'F16'!F57</f>
        <v>43.966589551950179</v>
      </c>
      <c r="I8" s="672">
        <f>'F16'!I57</f>
        <v>61.647340794000002</v>
      </c>
      <c r="J8" s="672">
        <f>'F16'!J57</f>
        <v>45.777902866959877</v>
      </c>
    </row>
    <row r="9" spans="1:10">
      <c r="A9" s="531">
        <v>4</v>
      </c>
      <c r="B9" s="535" t="s">
        <v>949</v>
      </c>
      <c r="C9" s="671">
        <v>10.63</v>
      </c>
      <c r="D9" s="671">
        <v>11.96</v>
      </c>
      <c r="E9" s="671">
        <v>12.96</v>
      </c>
      <c r="F9" s="596"/>
      <c r="G9" s="596"/>
      <c r="H9" s="671">
        <f>D9</f>
        <v>11.96</v>
      </c>
      <c r="I9" s="316">
        <v>10.7</v>
      </c>
      <c r="J9" s="316">
        <f>H9</f>
        <v>11.96</v>
      </c>
    </row>
    <row r="10" spans="1:10" ht="21" customHeight="1">
      <c r="A10" s="531"/>
      <c r="B10" s="535" t="s">
        <v>278</v>
      </c>
      <c r="C10" s="596"/>
      <c r="D10" s="597"/>
      <c r="E10" s="598"/>
      <c r="F10" s="599"/>
      <c r="G10" s="599"/>
      <c r="H10" s="599"/>
      <c r="I10" s="148"/>
      <c r="J10" s="148"/>
    </row>
    <row r="11" spans="1:10">
      <c r="A11" s="531">
        <v>5</v>
      </c>
      <c r="B11" s="535" t="s">
        <v>279</v>
      </c>
      <c r="C11" s="671">
        <v>0</v>
      </c>
      <c r="D11" s="671">
        <v>0</v>
      </c>
      <c r="E11" s="598"/>
      <c r="F11" s="599"/>
      <c r="G11" s="599"/>
      <c r="H11" s="599"/>
      <c r="I11" s="148"/>
      <c r="J11" s="148"/>
    </row>
    <row r="12" spans="1:10" ht="21" customHeight="1" thickBot="1">
      <c r="A12" s="600"/>
      <c r="B12" s="601" t="s">
        <v>280</v>
      </c>
      <c r="C12" s="673">
        <f>SUM(C6:C9)-C11</f>
        <v>334.03587895999999</v>
      </c>
      <c r="D12" s="673">
        <f>SUM(D6:D9)-D11</f>
        <v>327.08766709575201</v>
      </c>
      <c r="E12" s="673">
        <f>SUM(E6:E9)-E11+0.01</f>
        <v>353.72859199999994</v>
      </c>
      <c r="F12" s="609"/>
      <c r="G12" s="609"/>
      <c r="H12" s="673">
        <f t="shared" ref="H12:J12" si="0">SUM(H6:H9)-H11</f>
        <v>377.70986903647236</v>
      </c>
      <c r="I12" s="673">
        <f t="shared" si="0"/>
        <v>467.873228794</v>
      </c>
      <c r="J12" s="673">
        <f t="shared" si="0"/>
        <v>425.01454203630828</v>
      </c>
    </row>
    <row r="13" spans="1:10" ht="21" customHeight="1" thickTop="1">
      <c r="I13" s="640"/>
      <c r="J13" s="640"/>
    </row>
    <row r="14" spans="1:10" ht="21" customHeight="1">
      <c r="A14" s="1383" t="s">
        <v>325</v>
      </c>
      <c r="B14" s="1383" t="s">
        <v>48</v>
      </c>
      <c r="C14" s="1431" t="s">
        <v>1916</v>
      </c>
      <c r="D14" s="1432"/>
      <c r="E14" s="1375" t="s">
        <v>1917</v>
      </c>
      <c r="F14" s="1376"/>
      <c r="G14" s="1376"/>
      <c r="H14" s="1377"/>
      <c r="I14" s="1365" t="s">
        <v>1918</v>
      </c>
      <c r="J14" s="1365"/>
    </row>
    <row r="15" spans="1:10" ht="21" customHeight="1">
      <c r="A15" s="1384"/>
      <c r="B15" s="1384"/>
      <c r="C15" s="1060" t="s">
        <v>1250</v>
      </c>
      <c r="D15" s="328" t="s">
        <v>1919</v>
      </c>
      <c r="E15" s="1060" t="s">
        <v>1235</v>
      </c>
      <c r="F15" s="1060" t="s">
        <v>1239</v>
      </c>
      <c r="G15" s="1060" t="s">
        <v>1240</v>
      </c>
      <c r="H15" s="1061" t="s">
        <v>1241</v>
      </c>
      <c r="I15" s="1060" t="s">
        <v>1235</v>
      </c>
      <c r="J15" s="1060" t="s">
        <v>1243</v>
      </c>
    </row>
    <row r="16" spans="1:10" ht="21" customHeight="1">
      <c r="A16" s="531">
        <v>1</v>
      </c>
      <c r="B16" s="535" t="s">
        <v>275</v>
      </c>
      <c r="C16" s="672"/>
      <c r="D16" s="672">
        <f>'F15'!D10</f>
        <v>32.600040204000003</v>
      </c>
      <c r="E16" s="672"/>
      <c r="F16" s="596"/>
      <c r="G16" s="596"/>
      <c r="H16" s="672"/>
      <c r="I16" s="672"/>
      <c r="J16" s="672"/>
    </row>
    <row r="17" spans="1:11" ht="21" hidden="1" customHeight="1">
      <c r="A17" s="531">
        <v>2</v>
      </c>
      <c r="B17" s="535" t="s">
        <v>276</v>
      </c>
      <c r="C17" s="671"/>
      <c r="D17" s="671"/>
      <c r="E17" s="671"/>
      <c r="F17" s="596"/>
      <c r="G17" s="596"/>
      <c r="H17" s="671"/>
      <c r="I17" s="671"/>
      <c r="J17" s="671"/>
    </row>
    <row r="18" spans="1:11" ht="21" hidden="1" customHeight="1">
      <c r="A18" s="531">
        <v>3</v>
      </c>
      <c r="B18" s="535" t="s">
        <v>277</v>
      </c>
      <c r="C18" s="672"/>
      <c r="D18" s="672"/>
      <c r="E18" s="672"/>
      <c r="F18" s="596"/>
      <c r="G18" s="596"/>
      <c r="H18" s="672"/>
      <c r="I18" s="672"/>
      <c r="J18" s="672"/>
    </row>
    <row r="19" spans="1:11" ht="21" hidden="1" customHeight="1">
      <c r="A19" s="531">
        <v>4</v>
      </c>
      <c r="B19" s="535" t="s">
        <v>949</v>
      </c>
      <c r="C19" s="671"/>
      <c r="D19" s="671"/>
      <c r="E19" s="671"/>
      <c r="F19" s="596"/>
      <c r="G19" s="596"/>
      <c r="H19" s="671"/>
      <c r="I19" s="316"/>
      <c r="J19" s="316"/>
    </row>
    <row r="20" spans="1:11" ht="21" hidden="1" customHeight="1">
      <c r="A20" s="531"/>
      <c r="B20" s="535" t="s">
        <v>278</v>
      </c>
      <c r="C20" s="596"/>
      <c r="D20" s="597"/>
      <c r="E20" s="598"/>
      <c r="F20" s="599"/>
      <c r="G20" s="599"/>
      <c r="H20" s="599"/>
      <c r="I20" s="148"/>
      <c r="J20" s="148"/>
    </row>
    <row r="21" spans="1:11" ht="21" hidden="1" customHeight="1">
      <c r="A21" s="531">
        <v>5</v>
      </c>
      <c r="B21" s="535" t="s">
        <v>279</v>
      </c>
      <c r="C21" s="671"/>
      <c r="D21" s="671"/>
      <c r="E21" s="598"/>
      <c r="F21" s="599"/>
      <c r="G21" s="599"/>
      <c r="H21" s="599"/>
      <c r="I21" s="148"/>
      <c r="J21" s="148"/>
    </row>
    <row r="22" spans="1:11" ht="21" hidden="1" customHeight="1">
      <c r="A22" s="600"/>
      <c r="B22" s="601" t="s">
        <v>280</v>
      </c>
      <c r="C22" s="673"/>
      <c r="D22" s="673"/>
      <c r="E22" s="673"/>
      <c r="F22" s="609"/>
      <c r="G22" s="609"/>
      <c r="H22" s="673"/>
      <c r="I22" s="673"/>
      <c r="J22" s="673"/>
    </row>
    <row r="23" spans="1:11" ht="21" customHeight="1">
      <c r="A23" s="531">
        <v>2</v>
      </c>
      <c r="B23" s="535" t="s">
        <v>276</v>
      </c>
      <c r="C23" s="671"/>
      <c r="D23" s="671">
        <f>'F14-1'!E38</f>
        <v>231.02527449999999</v>
      </c>
      <c r="E23" s="671"/>
      <c r="F23" s="596"/>
      <c r="G23" s="596"/>
      <c r="H23" s="671"/>
      <c r="I23" s="671"/>
      <c r="J23" s="671"/>
    </row>
    <row r="24" spans="1:11" ht="21" customHeight="1">
      <c r="A24" s="531">
        <v>3</v>
      </c>
      <c r="B24" s="535" t="s">
        <v>277</v>
      </c>
      <c r="C24" s="672"/>
      <c r="D24" s="672">
        <f>'F16'!D34</f>
        <v>50.864410969999987</v>
      </c>
      <c r="E24" s="672"/>
      <c r="F24" s="596"/>
      <c r="G24" s="596"/>
      <c r="H24" s="672"/>
      <c r="I24" s="672"/>
      <c r="J24" s="672"/>
    </row>
    <row r="25" spans="1:11" ht="21" customHeight="1" thickBot="1">
      <c r="A25" s="600"/>
      <c r="B25" s="601" t="s">
        <v>280</v>
      </c>
      <c r="C25" s="673">
        <f>SUM(C19:C22)-C24</f>
        <v>0</v>
      </c>
      <c r="D25" s="673">
        <f>D16+D23+D24</f>
        <v>314.489725674</v>
      </c>
      <c r="E25" s="673">
        <f>SUM(E19:E22)-E24+0.01</f>
        <v>0.01</v>
      </c>
      <c r="F25" s="609"/>
      <c r="G25" s="609"/>
      <c r="H25" s="673">
        <f t="shared" ref="H25:J25" si="1">SUM(H19:H22)-H24</f>
        <v>0</v>
      </c>
      <c r="I25" s="673">
        <f t="shared" si="1"/>
        <v>0</v>
      </c>
      <c r="J25" s="673">
        <f t="shared" si="1"/>
        <v>0</v>
      </c>
    </row>
    <row r="26" spans="1:11" ht="21" customHeight="1" thickTop="1"/>
    <row r="27" spans="1:11" s="1062" customFormat="1" ht="21" customHeight="1">
      <c r="B27" s="75" t="s">
        <v>2308</v>
      </c>
    </row>
    <row r="28" spans="1:11" ht="21" customHeight="1">
      <c r="B28" s="535" t="s">
        <v>275</v>
      </c>
      <c r="C28" s="148"/>
      <c r="D28" s="543">
        <f>D16-D6</f>
        <v>-51.752526294405591</v>
      </c>
      <c r="E28" s="560">
        <f>D28*2/3</f>
        <v>-34.501684196270396</v>
      </c>
      <c r="H28" s="640">
        <f>E28/2</f>
        <v>-17.250842098135198</v>
      </c>
    </row>
    <row r="29" spans="1:11" ht="21" customHeight="1">
      <c r="B29" s="535" t="s">
        <v>276</v>
      </c>
      <c r="C29" s="148"/>
      <c r="D29" s="543">
        <f>D23-D7</f>
        <v>42.321160623941068</v>
      </c>
      <c r="E29" s="560">
        <f>D29*2/3</f>
        <v>28.214107082627379</v>
      </c>
      <c r="H29" s="640">
        <f t="shared" ref="H29:H31" si="2">E29/2</f>
        <v>14.107053541313689</v>
      </c>
    </row>
    <row r="30" spans="1:11" ht="21" customHeight="1">
      <c r="B30" s="535" t="s">
        <v>277</v>
      </c>
      <c r="C30" s="148"/>
      <c r="D30" s="543">
        <f>D24-D8</f>
        <v>8.7934242487124692</v>
      </c>
      <c r="E30" s="560">
        <f>D30*2/3</f>
        <v>5.8622828324749792</v>
      </c>
      <c r="H30" s="640">
        <f t="shared" si="2"/>
        <v>2.9311414162374896</v>
      </c>
    </row>
    <row r="31" spans="1:11" ht="21" customHeight="1">
      <c r="B31" s="148" t="s">
        <v>1081</v>
      </c>
      <c r="C31" s="148"/>
      <c r="D31" s="542">
        <f>SUM(D28:D30)</f>
        <v>-0.63794142175205337</v>
      </c>
      <c r="E31" s="560">
        <f>D31*2/3</f>
        <v>-0.42529428116803558</v>
      </c>
      <c r="H31" s="640">
        <f t="shared" si="2"/>
        <v>-0.21264714058401779</v>
      </c>
    </row>
    <row r="32" spans="1:11" ht="21" customHeight="1">
      <c r="I32" s="1741" t="s">
        <v>427</v>
      </c>
      <c r="J32" s="1741"/>
      <c r="K32" s="1741"/>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sheetData>
  <mergeCells count="16">
    <mergeCell ref="I32:K32"/>
    <mergeCell ref="A14:A15"/>
    <mergeCell ref="B14:B15"/>
    <mergeCell ref="A1:H1"/>
    <mergeCell ref="A4:A5"/>
    <mergeCell ref="B4:B5"/>
    <mergeCell ref="G3:H3"/>
    <mergeCell ref="G2:H2"/>
    <mergeCell ref="C4:D4"/>
    <mergeCell ref="A2:B2"/>
    <mergeCell ref="E4:H4"/>
    <mergeCell ref="C14:D14"/>
    <mergeCell ref="E14:H14"/>
    <mergeCell ref="I14:J14"/>
    <mergeCell ref="I4:J4"/>
    <mergeCell ref="I2:J2"/>
  </mergeCells>
  <pageMargins left="0.70866141732283472" right="0.70866141732283472" top="0.74803149606299213" bottom="0.74803149606299213" header="0.31496062992125984" footer="0.31496062992125984"/>
  <pageSetup paperSize="9" scale="82" orientation="landscape"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92D050"/>
    <pageSetUpPr fitToPage="1"/>
  </sheetPr>
  <dimension ref="A1:M44"/>
  <sheetViews>
    <sheetView showGridLines="0" view="pageBreakPreview" topLeftCell="C20" zoomScale="70" zoomScaleNormal="70" zoomScaleSheetLayoutView="70" workbookViewId="0">
      <selection activeCell="E30" sqref="E30"/>
    </sheetView>
  </sheetViews>
  <sheetFormatPr defaultColWidth="9.140625" defaultRowHeight="15.75"/>
  <cols>
    <col min="1" max="1" width="5.42578125" style="1991" customWidth="1"/>
    <col min="2" max="2" width="60.7109375" style="1991" customWidth="1"/>
    <col min="3" max="3" width="11.7109375" style="1991" customWidth="1"/>
    <col min="4" max="4" width="16.42578125" style="1991" customWidth="1"/>
    <col min="5" max="5" width="18.42578125" style="1991" customWidth="1"/>
    <col min="6" max="6" width="16.42578125" style="1991" customWidth="1"/>
    <col min="7" max="8" width="19.28515625" style="1991" hidden="1" customWidth="1"/>
    <col min="9" max="9" width="18.42578125" style="1991" customWidth="1"/>
    <col min="10" max="10" width="16.42578125" style="1991" customWidth="1"/>
    <col min="11" max="11" width="18.42578125" style="1991" customWidth="1"/>
    <col min="12" max="16384" width="9.140625" style="1991"/>
  </cols>
  <sheetData>
    <row r="1" spans="1:11" ht="21" customHeight="1">
      <c r="A1" s="1118" t="s">
        <v>1233</v>
      </c>
      <c r="B1" s="1119"/>
      <c r="C1" s="1119"/>
      <c r="D1" s="1119"/>
      <c r="E1" s="1119"/>
      <c r="F1" s="1119"/>
      <c r="G1" s="1119"/>
    </row>
    <row r="2" spans="1:11" ht="21" customHeight="1">
      <c r="A2" s="1992" t="s">
        <v>942</v>
      </c>
      <c r="B2" s="1992"/>
      <c r="C2" s="1993"/>
      <c r="D2" s="1993"/>
      <c r="E2" s="1993"/>
      <c r="F2" s="1993"/>
      <c r="G2" s="1994"/>
      <c r="H2" s="1994"/>
      <c r="I2" s="1994"/>
      <c r="J2" s="1995" t="s">
        <v>946</v>
      </c>
      <c r="K2" s="1995"/>
    </row>
    <row r="3" spans="1:11" ht="21" customHeight="1">
      <c r="A3" s="1996"/>
      <c r="B3" s="1996"/>
      <c r="C3" s="1996"/>
      <c r="D3" s="1996"/>
      <c r="E3" s="1996"/>
      <c r="F3" s="1996"/>
      <c r="G3" s="1139" t="s">
        <v>345</v>
      </c>
    </row>
    <row r="4" spans="1:11" s="1998" customFormat="1" ht="45.75" customHeight="1">
      <c r="A4" s="1099" t="s">
        <v>651</v>
      </c>
      <c r="B4" s="1099" t="s">
        <v>48</v>
      </c>
      <c r="C4" s="1293" t="s">
        <v>1342</v>
      </c>
      <c r="D4" s="1424" t="s">
        <v>1916</v>
      </c>
      <c r="E4" s="1424"/>
      <c r="F4" s="1997" t="s">
        <v>1238</v>
      </c>
      <c r="G4" s="1997"/>
      <c r="H4" s="1997"/>
      <c r="I4" s="1997"/>
      <c r="J4" s="1424" t="s">
        <v>1242</v>
      </c>
      <c r="K4" s="1424"/>
    </row>
    <row r="5" spans="1:11" ht="31.5">
      <c r="A5" s="1130"/>
      <c r="B5" s="1130"/>
      <c r="C5" s="1137"/>
      <c r="D5" s="1293" t="s">
        <v>1235</v>
      </c>
      <c r="E5" s="1137" t="s">
        <v>1919</v>
      </c>
      <c r="F5" s="1293" t="s">
        <v>1235</v>
      </c>
      <c r="G5" s="1293" t="s">
        <v>1239</v>
      </c>
      <c r="H5" s="1293" t="s">
        <v>1240</v>
      </c>
      <c r="I5" s="1293" t="s">
        <v>1243</v>
      </c>
      <c r="J5" s="1293" t="s">
        <v>1235</v>
      </c>
      <c r="K5" s="1293" t="s">
        <v>1243</v>
      </c>
    </row>
    <row r="6" spans="1:11">
      <c r="A6" s="1127">
        <v>1</v>
      </c>
      <c r="B6" s="1133" t="s">
        <v>1335</v>
      </c>
      <c r="C6" s="1999"/>
      <c r="D6" s="1130"/>
      <c r="E6" s="1999"/>
      <c r="F6" s="1999"/>
      <c r="G6" s="2000"/>
      <c r="H6" s="2000"/>
      <c r="I6" s="2000"/>
      <c r="J6" s="1036"/>
      <c r="K6" s="1036"/>
    </row>
    <row r="7" spans="1:11">
      <c r="A7" s="1127" t="s">
        <v>663</v>
      </c>
      <c r="B7" s="1130" t="s">
        <v>664</v>
      </c>
      <c r="C7" s="2001"/>
      <c r="D7" s="1130"/>
      <c r="E7" s="1131">
        <f>'[1]P&amp;L23-25'!$B$7/100</f>
        <v>127.18772610000001</v>
      </c>
      <c r="F7" s="1131"/>
      <c r="G7" s="1131"/>
      <c r="H7" s="1131"/>
      <c r="I7" s="1131"/>
      <c r="J7" s="1036"/>
      <c r="K7" s="2002"/>
    </row>
    <row r="8" spans="1:11">
      <c r="A8" s="1127" t="s">
        <v>665</v>
      </c>
      <c r="B8" s="1130" t="s">
        <v>666</v>
      </c>
      <c r="C8" s="2001"/>
      <c r="D8" s="1130"/>
      <c r="E8" s="2001" t="s">
        <v>175</v>
      </c>
      <c r="F8" s="1131"/>
      <c r="G8" s="1131"/>
      <c r="H8" s="1131"/>
      <c r="I8" s="1131"/>
      <c r="J8" s="1036"/>
      <c r="K8" s="1036"/>
    </row>
    <row r="9" spans="1:11">
      <c r="A9" s="1127"/>
      <c r="B9" s="1130" t="s">
        <v>1336</v>
      </c>
      <c r="C9" s="1131"/>
      <c r="D9" s="1130"/>
      <c r="E9" s="1131">
        <f>SUM(E7:E8)</f>
        <v>127.18772610000001</v>
      </c>
      <c r="F9" s="1131"/>
      <c r="G9" s="1131"/>
      <c r="H9" s="1131"/>
      <c r="I9" s="1131"/>
      <c r="J9" s="1036"/>
      <c r="K9" s="1036"/>
    </row>
    <row r="10" spans="1:11">
      <c r="A10" s="1127">
        <v>2</v>
      </c>
      <c r="B10" s="1130" t="s">
        <v>1330</v>
      </c>
      <c r="C10" s="1131"/>
      <c r="D10" s="1130"/>
      <c r="E10" s="2003">
        <f>'[1]P&amp;L23-25'!$B$8/100</f>
        <v>2.6280419999999998</v>
      </c>
      <c r="F10" s="1131"/>
      <c r="G10" s="1131"/>
      <c r="H10" s="1131"/>
      <c r="I10" s="1131"/>
      <c r="J10" s="1036"/>
      <c r="K10" s="1036"/>
    </row>
    <row r="11" spans="1:11">
      <c r="A11" s="1127">
        <v>3</v>
      </c>
      <c r="B11" s="1130" t="s">
        <v>1331</v>
      </c>
      <c r="C11" s="1131"/>
      <c r="D11" s="1130"/>
      <c r="E11" s="2003">
        <f>'[1]P&amp;L23-25'!$B$9/100</f>
        <v>18.2175926</v>
      </c>
      <c r="F11" s="1131"/>
      <c r="G11" s="1131"/>
      <c r="H11" s="1131"/>
      <c r="I11" s="1131"/>
      <c r="J11" s="1036"/>
      <c r="K11" s="1036"/>
    </row>
    <row r="12" spans="1:11">
      <c r="A12" s="1127">
        <v>4</v>
      </c>
      <c r="B12" s="1130" t="s">
        <v>1332</v>
      </c>
      <c r="C12" s="1131"/>
      <c r="D12" s="1130"/>
      <c r="E12" s="2003">
        <f>'[1]P&amp;L23-25'!$B$10/100</f>
        <v>19.347882999999999</v>
      </c>
      <c r="F12" s="1131"/>
      <c r="G12" s="1131"/>
      <c r="H12" s="1131"/>
      <c r="I12" s="1131"/>
      <c r="J12" s="1036"/>
      <c r="K12" s="1036"/>
    </row>
    <row r="13" spans="1:11">
      <c r="A13" s="1127">
        <v>5</v>
      </c>
      <c r="B13" s="1130" t="s">
        <v>1333</v>
      </c>
      <c r="C13" s="1131"/>
      <c r="D13" s="1130"/>
      <c r="E13" s="2003">
        <f>'[1]P&amp;L23-25'!$B$11/100</f>
        <v>0.61609520000000007</v>
      </c>
      <c r="F13" s="1131"/>
      <c r="G13" s="1131"/>
      <c r="H13" s="1131"/>
      <c r="I13" s="1131"/>
      <c r="J13" s="1036"/>
      <c r="K13" s="1036"/>
    </row>
    <row r="14" spans="1:11">
      <c r="A14" s="1127">
        <v>6</v>
      </c>
      <c r="B14" s="1130" t="s">
        <v>1334</v>
      </c>
      <c r="C14" s="1131"/>
      <c r="D14" s="1130"/>
      <c r="E14" s="2003">
        <f>'[1]P&amp;L23-25'!$B$12/100</f>
        <v>0.32925330000000003</v>
      </c>
      <c r="F14" s="1131"/>
      <c r="G14" s="1131"/>
      <c r="H14" s="1131"/>
      <c r="I14" s="1131"/>
      <c r="J14" s="1036"/>
      <c r="K14" s="1036"/>
    </row>
    <row r="15" spans="1:11">
      <c r="A15" s="1127"/>
      <c r="B15" s="1130"/>
      <c r="C15" s="2001"/>
      <c r="D15" s="1130"/>
      <c r="E15" s="2001"/>
      <c r="F15" s="1131"/>
      <c r="G15" s="1131"/>
      <c r="H15" s="1131"/>
      <c r="I15" s="1131"/>
      <c r="J15" s="1036"/>
      <c r="K15" s="1036"/>
    </row>
    <row r="16" spans="1:11">
      <c r="A16" s="1127"/>
      <c r="B16" s="1130" t="s">
        <v>1326</v>
      </c>
      <c r="C16" s="2004"/>
      <c r="D16" s="2005"/>
      <c r="E16" s="2004"/>
      <c r="F16" s="2005"/>
      <c r="G16" s="2005"/>
      <c r="H16" s="2005"/>
      <c r="I16" s="2005"/>
      <c r="J16" s="1036"/>
      <c r="K16" s="1036"/>
    </row>
    <row r="17" spans="1:13">
      <c r="A17" s="1127"/>
      <c r="B17" s="1130" t="s">
        <v>1327</v>
      </c>
      <c r="C17" s="2004"/>
      <c r="D17" s="2006"/>
      <c r="E17" s="2004"/>
      <c r="F17" s="2005"/>
      <c r="G17" s="2005"/>
      <c r="H17" s="2005"/>
      <c r="I17" s="2005"/>
      <c r="J17" s="1036"/>
      <c r="K17" s="1036"/>
    </row>
    <row r="18" spans="1:13">
      <c r="A18" s="1127"/>
      <c r="B18" s="1130" t="s">
        <v>1328</v>
      </c>
      <c r="C18" s="2004"/>
      <c r="D18" s="2005"/>
      <c r="E18" s="2004"/>
      <c r="F18" s="2005"/>
      <c r="G18" s="2005"/>
      <c r="H18" s="2005"/>
      <c r="I18" s="2005"/>
      <c r="J18" s="1036"/>
      <c r="K18" s="1036"/>
    </row>
    <row r="19" spans="1:13">
      <c r="A19" s="1127"/>
      <c r="B19" s="1133" t="s">
        <v>1329</v>
      </c>
      <c r="C19" s="2007"/>
      <c r="D19" s="1134"/>
      <c r="E19" s="2007">
        <f>SUM(E9:E14)</f>
        <v>168.32659219999999</v>
      </c>
      <c r="F19" s="1134"/>
      <c r="G19" s="1134"/>
      <c r="H19" s="1134"/>
      <c r="I19" s="1134"/>
      <c r="J19" s="2008"/>
      <c r="K19" s="2008"/>
    </row>
    <row r="20" spans="1:13">
      <c r="A20" s="1127"/>
      <c r="B20" s="1133"/>
      <c r="C20" s="2007"/>
      <c r="D20" s="1134"/>
      <c r="E20" s="2007"/>
      <c r="F20" s="1134"/>
      <c r="G20" s="1134"/>
      <c r="H20" s="1134"/>
      <c r="I20" s="1134"/>
      <c r="J20" s="2008"/>
      <c r="K20" s="2008"/>
    </row>
    <row r="21" spans="1:13">
      <c r="A21" s="1127"/>
      <c r="B21" s="1130" t="s">
        <v>1337</v>
      </c>
      <c r="C21" s="2004"/>
      <c r="D21" s="2006">
        <v>4.2799999999999998E-2</v>
      </c>
      <c r="E21" s="2006">
        <f>AVERAGE('F14-2'!C7:E7)</f>
        <v>4.2166293658433197E-2</v>
      </c>
      <c r="F21" s="2006">
        <v>4.2799999999999998E-2</v>
      </c>
      <c r="G21" s="1134"/>
      <c r="H21" s="1134"/>
      <c r="I21" s="2006">
        <f>'F14-2'!G7</f>
        <v>5.3534202167843249E-2</v>
      </c>
      <c r="J21" s="2006">
        <v>4.2799999999999998E-2</v>
      </c>
      <c r="K21" s="1989">
        <f>'F14-2'!H7</f>
        <v>5.3534202167843249E-2</v>
      </c>
    </row>
    <row r="22" spans="1:13">
      <c r="A22" s="1127"/>
      <c r="B22" s="1130" t="s">
        <v>1338</v>
      </c>
      <c r="C22" s="2009">
        <v>8.2199999999999995E-2</v>
      </c>
      <c r="D22" s="2009">
        <f>C22*(1+D21)</f>
        <v>8.5718159999999988E-2</v>
      </c>
      <c r="E22" s="2009">
        <f>C22*(1+E21)</f>
        <v>8.5666069338723214E-2</v>
      </c>
      <c r="F22" s="2009">
        <f>D22*(1+F21)</f>
        <v>8.9386897247999988E-2</v>
      </c>
      <c r="G22" s="1134"/>
      <c r="H22" s="1134"/>
      <c r="I22" s="2009">
        <f>E22*(1+I21)</f>
        <v>9.0252134013626903E-2</v>
      </c>
      <c r="J22" s="2010">
        <f>F22*(1+J21)</f>
        <v>9.3212656450214385E-2</v>
      </c>
      <c r="K22" s="2010">
        <f>I22*(1+K21)</f>
        <v>9.50837100019917E-2</v>
      </c>
    </row>
    <row r="23" spans="1:13">
      <c r="A23" s="1127"/>
      <c r="B23" s="1130" t="s">
        <v>1339</v>
      </c>
      <c r="C23" s="2007"/>
      <c r="D23" s="1184">
        <v>15500</v>
      </c>
      <c r="E23" s="1184">
        <f>12000.92+4692.68</f>
        <v>16693.599999999999</v>
      </c>
      <c r="F23" s="1184">
        <v>18500</v>
      </c>
      <c r="G23" s="1134"/>
      <c r="H23" s="1134"/>
      <c r="I23" s="1184">
        <f>4722.68+12133.98</f>
        <v>16856.66</v>
      </c>
      <c r="J23" s="2011">
        <v>19700</v>
      </c>
      <c r="K23" s="2011">
        <f>I23</f>
        <v>16856.66</v>
      </c>
      <c r="M23" s="2012"/>
    </row>
    <row r="24" spans="1:13">
      <c r="A24" s="1127"/>
      <c r="B24" s="1130" t="s">
        <v>1340</v>
      </c>
      <c r="C24" s="2009">
        <v>6.6429999999999998</v>
      </c>
      <c r="D24" s="2009">
        <f>C24*(1+D21)</f>
        <v>6.9273203999999993</v>
      </c>
      <c r="E24" s="2009">
        <f>C24*(1+E21)</f>
        <v>6.9231106887729723</v>
      </c>
      <c r="F24" s="2009">
        <f>D24*(1+F21)</f>
        <v>7.2238097131199988</v>
      </c>
      <c r="G24" s="1134"/>
      <c r="H24" s="1134"/>
      <c r="I24" s="2009">
        <f>E24*(1+I21)</f>
        <v>7.2937338960161018</v>
      </c>
      <c r="J24" s="2010">
        <f>(F24*(1+J21))-0.001</f>
        <v>7.5319887688415337</v>
      </c>
      <c r="K24" s="2010">
        <f>I24*(1+K21)</f>
        <v>7.6841981209638792</v>
      </c>
    </row>
    <row r="25" spans="1:13">
      <c r="A25" s="1127"/>
      <c r="B25" s="1130" t="s">
        <v>1341</v>
      </c>
      <c r="C25" s="2013"/>
      <c r="D25" s="2014">
        <v>146</v>
      </c>
      <c r="E25" s="993">
        <f>125+19</f>
        <v>144</v>
      </c>
      <c r="F25" s="2014">
        <v>155</v>
      </c>
      <c r="G25" s="2015"/>
      <c r="H25" s="2015"/>
      <c r="I25" s="2014">
        <f>126+20</f>
        <v>146</v>
      </c>
      <c r="J25" s="2016">
        <v>158</v>
      </c>
      <c r="K25" s="2016">
        <f>I25</f>
        <v>146</v>
      </c>
    </row>
    <row r="26" spans="1:13">
      <c r="A26" s="1127"/>
      <c r="B26" s="1130" t="s">
        <v>1343</v>
      </c>
      <c r="C26" s="2017">
        <f>0.07461*100</f>
        <v>7.4609999999999994</v>
      </c>
      <c r="D26" s="2017">
        <f>C26*(1+D21)</f>
        <v>7.7803307999999989</v>
      </c>
      <c r="E26" s="2017">
        <f>C26*(1+E21)</f>
        <v>7.7756027169855697</v>
      </c>
      <c r="F26" s="2017">
        <f>D26*(1+F21)</f>
        <v>8.1133289582399986</v>
      </c>
      <c r="G26" s="1134"/>
      <c r="H26" s="1134"/>
      <c r="I26" s="2017">
        <f>E26*(1+I21)</f>
        <v>8.1918634048135068</v>
      </c>
      <c r="J26" s="2017">
        <f>F26*(1+J21)</f>
        <v>8.4605794376526706</v>
      </c>
      <c r="K26" s="2010">
        <f>I26*(1+K21)</f>
        <v>8.6304082764581498</v>
      </c>
    </row>
    <row r="27" spans="1:13">
      <c r="A27" s="1127"/>
      <c r="B27" s="1130"/>
      <c r="C27" s="2007"/>
      <c r="D27" s="1134"/>
      <c r="E27" s="2007"/>
      <c r="F27" s="1134"/>
      <c r="G27" s="1134"/>
      <c r="H27" s="1134"/>
      <c r="I27" s="1134"/>
      <c r="J27" s="2008"/>
      <c r="K27" s="2008"/>
    </row>
    <row r="28" spans="1:13">
      <c r="A28" s="1127"/>
      <c r="B28" s="1130" t="s">
        <v>1344</v>
      </c>
      <c r="C28" s="2007"/>
      <c r="D28" s="2005">
        <f>((D22*D23*D26)/100)</f>
        <v>103.3719242569358</v>
      </c>
      <c r="E28" s="2005">
        <f>((E22*E23*E26)/100)</f>
        <v>111.19695795053337</v>
      </c>
      <c r="F28" s="2005">
        <f>((F22*F23*F26)/100)+0.25</f>
        <v>134.41668085694297</v>
      </c>
      <c r="G28" s="1134"/>
      <c r="H28" s="1134"/>
      <c r="I28" s="2005">
        <f>((I22*I23*I26)/100)</f>
        <v>124.62687600883069</v>
      </c>
      <c r="J28" s="2005">
        <f>((J22*J23*J26)/100)+0.25</f>
        <v>155.61071764485825</v>
      </c>
      <c r="K28" s="2005">
        <f>(K22*K23*K26)/100</f>
        <v>138.32764627057944</v>
      </c>
    </row>
    <row r="29" spans="1:13">
      <c r="A29" s="1127"/>
      <c r="B29" s="1130" t="s">
        <v>1345</v>
      </c>
      <c r="C29" s="2007"/>
      <c r="D29" s="2005">
        <f>((D24*D25*D26)/100)</f>
        <v>78.689392633598928</v>
      </c>
      <c r="E29" s="2005">
        <f>((E24*E25*E26)/100)</f>
        <v>77.517155925525543</v>
      </c>
      <c r="F29" s="2005">
        <f>((F24*F25*F26)/100)-0.01</f>
        <v>90.834174028121396</v>
      </c>
      <c r="G29" s="1134"/>
      <c r="H29" s="1134"/>
      <c r="I29" s="2005">
        <f>((I24*I25*I26)/100)</f>
        <v>87.233936809344343</v>
      </c>
      <c r="J29" s="2005">
        <f>((J24*J25*J26)/100)-0.01</f>
        <v>100.67548309762061</v>
      </c>
      <c r="K29" s="2005">
        <f>((K24*K25*K26)/100)</f>
        <v>96.823939909221806</v>
      </c>
    </row>
    <row r="30" spans="1:13">
      <c r="A30" s="1127"/>
      <c r="B30" s="1133" t="s">
        <v>1329</v>
      </c>
      <c r="C30" s="2007"/>
      <c r="D30" s="1134">
        <f>D28+D29-0.01</f>
        <v>182.05131689053474</v>
      </c>
      <c r="E30" s="1134">
        <f>E28+E29-0.01</f>
        <v>188.70411387605893</v>
      </c>
      <c r="F30" s="1134">
        <f>F28+F29-0.01</f>
        <v>225.24085488506438</v>
      </c>
      <c r="G30" s="1134"/>
      <c r="H30" s="1134"/>
      <c r="I30" s="1134">
        <f>I28+I29</f>
        <v>211.86081281817502</v>
      </c>
      <c r="J30" s="1134">
        <f>J28+J29</f>
        <v>256.28620074247885</v>
      </c>
      <c r="K30" s="1134">
        <f>K28+K29</f>
        <v>235.15158617980126</v>
      </c>
    </row>
    <row r="31" spans="1:13">
      <c r="A31" s="1127"/>
      <c r="B31" s="1130"/>
      <c r="C31" s="2004"/>
      <c r="D31" s="2005"/>
      <c r="E31" s="2004"/>
      <c r="F31" s="2005"/>
      <c r="G31" s="2005"/>
      <c r="H31" s="2005"/>
      <c r="I31" s="2005"/>
      <c r="J31" s="1036"/>
      <c r="K31" s="1036"/>
    </row>
    <row r="32" spans="1:13">
      <c r="A32" s="2018">
        <v>7</v>
      </c>
      <c r="B32" s="1133" t="s">
        <v>667</v>
      </c>
      <c r="C32" s="1131"/>
      <c r="D32" s="1130"/>
      <c r="E32" s="1131"/>
      <c r="F32" s="1131"/>
      <c r="G32" s="1131"/>
      <c r="H32" s="1131"/>
      <c r="I32" s="1131"/>
      <c r="J32" s="1036"/>
      <c r="K32" s="1036"/>
    </row>
    <row r="33" spans="1:11">
      <c r="A33" s="2018"/>
      <c r="B33" s="1130" t="s">
        <v>668</v>
      </c>
      <c r="C33" s="1131"/>
      <c r="D33" s="2019">
        <f>D19+D32</f>
        <v>0</v>
      </c>
      <c r="E33" s="2003">
        <f>'[1]P&amp;L23-25'!$B$13/100</f>
        <v>67.798682299999996</v>
      </c>
      <c r="F33" s="1131"/>
      <c r="G33" s="2000"/>
      <c r="H33" s="2000"/>
      <c r="I33" s="2000"/>
      <c r="J33" s="1036"/>
      <c r="K33" s="1036"/>
    </row>
    <row r="34" spans="1:11">
      <c r="A34" s="2018"/>
      <c r="B34" s="1130" t="s">
        <v>669</v>
      </c>
      <c r="C34" s="1131"/>
      <c r="D34" s="2005">
        <v>0</v>
      </c>
      <c r="E34" s="1131">
        <v>0</v>
      </c>
      <c r="F34" s="1131"/>
      <c r="G34" s="2000"/>
      <c r="H34" s="2000"/>
      <c r="I34" s="2000"/>
      <c r="J34" s="1036"/>
      <c r="K34" s="1036"/>
    </row>
    <row r="35" spans="1:11">
      <c r="A35" s="2018"/>
      <c r="B35" s="1130" t="s">
        <v>670</v>
      </c>
      <c r="C35" s="2005"/>
      <c r="D35" s="2019">
        <f>D33-D34</f>
        <v>0</v>
      </c>
      <c r="E35" s="2005">
        <f>E33-E34</f>
        <v>67.798682299999996</v>
      </c>
      <c r="F35" s="1131"/>
      <c r="G35" s="2000"/>
      <c r="H35" s="2000"/>
      <c r="I35" s="2000"/>
      <c r="J35" s="1036"/>
      <c r="K35" s="1036"/>
    </row>
    <row r="36" spans="1:11">
      <c r="A36" s="2018"/>
      <c r="B36" s="1130" t="s">
        <v>1404</v>
      </c>
      <c r="C36" s="2005"/>
      <c r="D36" s="2019"/>
      <c r="E36" s="2020">
        <v>5.0999999999999996</v>
      </c>
      <c r="F36" s="1131"/>
      <c r="G36" s="2000"/>
      <c r="H36" s="2000"/>
      <c r="I36" s="2000"/>
      <c r="J36" s="1036"/>
      <c r="K36" s="1036"/>
    </row>
    <row r="37" spans="1:11">
      <c r="A37" s="2018"/>
      <c r="B37" s="1133" t="s">
        <v>296</v>
      </c>
      <c r="C37" s="1134"/>
      <c r="D37" s="1134">
        <f>D30</f>
        <v>182.05131689053474</v>
      </c>
      <c r="E37" s="1134">
        <f>E30</f>
        <v>188.70411387605893</v>
      </c>
      <c r="F37" s="1134">
        <f>F30</f>
        <v>225.24085488506438</v>
      </c>
      <c r="G37" s="1133"/>
      <c r="H37" s="1133"/>
      <c r="I37" s="1134">
        <f>I30</f>
        <v>211.86081281817502</v>
      </c>
      <c r="J37" s="1134">
        <f>J30</f>
        <v>256.28620074247885</v>
      </c>
      <c r="K37" s="1134">
        <f>K30</f>
        <v>235.15158617980126</v>
      </c>
    </row>
    <row r="38" spans="1:11">
      <c r="A38" s="2021" t="s">
        <v>581</v>
      </c>
      <c r="B38" s="1181"/>
      <c r="E38" s="2022">
        <f>E19+E35-E36</f>
        <v>231.02527449999999</v>
      </c>
    </row>
    <row r="39" spans="1:11" ht="30" customHeight="1">
      <c r="A39" s="2023" t="s">
        <v>671</v>
      </c>
      <c r="B39" s="2024" t="s">
        <v>672</v>
      </c>
      <c r="C39" s="2024"/>
      <c r="D39" s="2024"/>
      <c r="E39" s="2024"/>
      <c r="F39" s="2024"/>
      <c r="G39" s="2024"/>
    </row>
    <row r="40" spans="1:11">
      <c r="A40" s="2023" t="s">
        <v>665</v>
      </c>
      <c r="B40" s="2024" t="s">
        <v>673</v>
      </c>
      <c r="C40" s="2024"/>
      <c r="D40" s="2024"/>
      <c r="E40" s="2024"/>
      <c r="F40" s="2024"/>
      <c r="G40" s="2024"/>
    </row>
    <row r="41" spans="1:11">
      <c r="A41" s="2023" t="s">
        <v>674</v>
      </c>
      <c r="B41" s="2025" t="s">
        <v>675</v>
      </c>
    </row>
    <row r="44" spans="1:11">
      <c r="I44" s="2026" t="s">
        <v>427</v>
      </c>
      <c r="J44" s="2026"/>
      <c r="K44" s="2027"/>
    </row>
  </sheetData>
  <mergeCells count="7">
    <mergeCell ref="J2:K2"/>
    <mergeCell ref="I44:K44"/>
    <mergeCell ref="B40:G40"/>
    <mergeCell ref="B39:G39"/>
    <mergeCell ref="D4:E4"/>
    <mergeCell ref="F4:I4"/>
    <mergeCell ref="J4:K4"/>
  </mergeCells>
  <printOptions horizontalCentered="1"/>
  <pageMargins left="0.70866141732283505" right="0.70866141732283505" top="0.74803149606299202" bottom="0.74803149606299202" header="0.31496062992126" footer="0.31496062992126"/>
  <pageSetup paperSize="9" scale="65" orientation="landscape"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92D050"/>
    <pageSetUpPr fitToPage="1"/>
  </sheetPr>
  <dimension ref="A1:I105"/>
  <sheetViews>
    <sheetView showGridLines="0" view="pageBreakPreview" zoomScale="85" zoomScaleNormal="85" zoomScaleSheetLayoutView="85" workbookViewId="0">
      <selection activeCell="E5" sqref="E5"/>
    </sheetView>
  </sheetViews>
  <sheetFormatPr defaultColWidth="9.140625" defaultRowHeight="15"/>
  <cols>
    <col min="1" max="1" width="34.28515625" style="336" customWidth="1"/>
    <col min="2" max="2" width="16.42578125" style="1068" customWidth="1"/>
    <col min="3" max="3" width="15.28515625" style="336" customWidth="1"/>
    <col min="4" max="4" width="15.140625" style="336" customWidth="1"/>
    <col min="5" max="6" width="16.140625" style="336" customWidth="1"/>
    <col min="7" max="7" width="14.5703125" style="336" customWidth="1"/>
    <col min="8" max="8" width="16" style="336" customWidth="1"/>
    <col min="9" max="16384" width="9.140625" style="336"/>
  </cols>
  <sheetData>
    <row r="1" spans="1:9" ht="21" customHeight="1">
      <c r="A1" s="1475" t="s">
        <v>1233</v>
      </c>
      <c r="B1" s="1475"/>
      <c r="C1" s="1475"/>
      <c r="D1" s="1475"/>
      <c r="E1" s="1475"/>
      <c r="F1" s="1475"/>
      <c r="G1" s="1475"/>
    </row>
    <row r="2" spans="1:9" ht="21" customHeight="1">
      <c r="A2" s="618" t="s">
        <v>1394</v>
      </c>
      <c r="B2" s="618"/>
      <c r="C2" s="197"/>
      <c r="D2" s="197"/>
      <c r="E2" s="197"/>
      <c r="F2" s="197"/>
      <c r="G2" s="470" t="s">
        <v>943</v>
      </c>
      <c r="H2" s="470"/>
    </row>
    <row r="3" spans="1:9" s="73" customFormat="1" ht="21" customHeight="1">
      <c r="A3" s="618"/>
      <c r="B3" s="618"/>
      <c r="C3" s="244"/>
      <c r="D3" s="244"/>
      <c r="E3" s="244"/>
      <c r="F3" s="244"/>
      <c r="G3" s="466"/>
      <c r="H3" s="466"/>
    </row>
    <row r="4" spans="1:9" s="73" customFormat="1">
      <c r="A4" s="1487" t="s">
        <v>48</v>
      </c>
      <c r="B4" s="1066"/>
      <c r="C4" s="1762" t="s">
        <v>255</v>
      </c>
      <c r="D4" s="1762"/>
      <c r="E4" s="1762"/>
      <c r="F4" s="1762"/>
      <c r="G4" s="1762" t="s">
        <v>1347</v>
      </c>
      <c r="H4" s="1762"/>
    </row>
    <row r="5" spans="1:9" s="254" customFormat="1" ht="15" customHeight="1">
      <c r="A5" s="1487"/>
      <c r="B5" s="1066" t="s">
        <v>2319</v>
      </c>
      <c r="C5" s="468" t="s">
        <v>1229</v>
      </c>
      <c r="D5" s="468" t="s">
        <v>1175</v>
      </c>
      <c r="E5" s="468" t="s">
        <v>1346</v>
      </c>
      <c r="F5" s="468" t="s">
        <v>1173</v>
      </c>
      <c r="G5" s="263" t="s">
        <v>1174</v>
      </c>
      <c r="H5" s="595" t="s">
        <v>1252</v>
      </c>
    </row>
    <row r="6" spans="1:9">
      <c r="A6" s="167" t="s">
        <v>442</v>
      </c>
      <c r="B6" s="619">
        <v>265</v>
      </c>
      <c r="C6" s="619">
        <v>275.91666666666669</v>
      </c>
      <c r="D6" s="619">
        <v>284.41666666666669</v>
      </c>
      <c r="E6" s="619">
        <v>299.91666666666669</v>
      </c>
      <c r="F6" s="619">
        <f>AVERAGE(I25:I36)</f>
        <v>322.5</v>
      </c>
      <c r="G6" s="168"/>
      <c r="H6" s="168"/>
    </row>
    <row r="7" spans="1:9">
      <c r="A7" s="167" t="s">
        <v>375</v>
      </c>
      <c r="B7" s="167"/>
      <c r="C7" s="620">
        <f>C6/B6-1</f>
        <v>4.1194968553459166E-2</v>
      </c>
      <c r="D7" s="620">
        <f>D6/C6-1</f>
        <v>3.0806402899426155E-2</v>
      </c>
      <c r="E7" s="620">
        <f>E6/D6-1</f>
        <v>5.4497509522414278E-2</v>
      </c>
      <c r="F7" s="620">
        <f>F6/E6-1</f>
        <v>7.5298694081689321E-2</v>
      </c>
      <c r="G7" s="620">
        <f>AVERAGE(D7:F7)</f>
        <v>5.3534202167843249E-2</v>
      </c>
      <c r="H7" s="620">
        <f>G7</f>
        <v>5.3534202167843249E-2</v>
      </c>
    </row>
    <row r="8" spans="1:9">
      <c r="A8" s="167" t="s">
        <v>444</v>
      </c>
      <c r="B8" s="619">
        <v>109.71666666666665</v>
      </c>
      <c r="C8" s="619">
        <v>111.61666666666667</v>
      </c>
      <c r="D8" s="619">
        <v>114.87499999999999</v>
      </c>
      <c r="E8" s="619">
        <v>119.79166666666669</v>
      </c>
      <c r="F8" s="621">
        <v>121.8</v>
      </c>
      <c r="G8" s="264"/>
      <c r="H8" s="262"/>
    </row>
    <row r="9" spans="1:9">
      <c r="A9" s="167" t="s">
        <v>372</v>
      </c>
      <c r="B9" s="167"/>
      <c r="C9" s="620">
        <f>C8/B8-1</f>
        <v>1.7317332523165918E-2</v>
      </c>
      <c r="D9" s="620">
        <f>D8/C8-1</f>
        <v>2.9192175601015169E-2</v>
      </c>
      <c r="E9" s="620">
        <f>E8/D8-1</f>
        <v>4.2800145085237773E-2</v>
      </c>
      <c r="F9" s="620">
        <f>F8/E8-1</f>
        <v>1.676521739130421E-2</v>
      </c>
      <c r="G9" s="620">
        <f>AVERAGE(D9:F9)</f>
        <v>2.9585846025852385E-2</v>
      </c>
      <c r="H9" s="620">
        <f>G9</f>
        <v>2.9585846025852385E-2</v>
      </c>
    </row>
    <row r="10" spans="1:9" s="95" customFormat="1" ht="21" customHeight="1">
      <c r="A10" s="439"/>
      <c r="B10" s="439"/>
      <c r="C10" s="440"/>
      <c r="D10" s="440"/>
      <c r="E10" s="2028">
        <f>(AVERAGE(C7:E7)*0.4)+(AVERAGE(C9:E9)*0.6)</f>
        <v>3.4728448105257048E-2</v>
      </c>
      <c r="F10" s="2028">
        <f>(((F6/C6)^(1/3)-1)*40%)+(((F8/C8)^(1/3)-1)*60%)</f>
        <v>3.9069472573938668E-2</v>
      </c>
      <c r="G10" s="2028">
        <f>+G9*60%+G7*40%</f>
        <v>3.916518848264873E-2</v>
      </c>
      <c r="H10" s="2028">
        <f>+H9*60%+H7*40%</f>
        <v>3.916518848264873E-2</v>
      </c>
    </row>
    <row r="11" spans="1:9" ht="21" customHeight="1">
      <c r="A11" s="186" t="s">
        <v>441</v>
      </c>
      <c r="B11" s="186"/>
    </row>
    <row r="12" spans="1:9" ht="33" customHeight="1">
      <c r="A12" s="1763" t="s">
        <v>676</v>
      </c>
      <c r="B12" s="1763"/>
      <c r="C12" s="1763"/>
      <c r="D12" s="1763"/>
      <c r="E12" s="1763"/>
      <c r="F12" s="1763"/>
      <c r="G12" s="1763"/>
    </row>
    <row r="13" spans="1:9" ht="21" customHeight="1"/>
    <row r="14" spans="1:9" ht="21" customHeight="1">
      <c r="F14" s="1741" t="s">
        <v>427</v>
      </c>
      <c r="G14" s="1741"/>
      <c r="H14" s="1742"/>
    </row>
    <row r="15" spans="1:9" ht="21" customHeight="1">
      <c r="G15" s="467"/>
    </row>
    <row r="16" spans="1:9" ht="21" customHeight="1">
      <c r="F16" s="56"/>
      <c r="G16" s="56"/>
      <c r="H16" s="56"/>
      <c r="I16" s="56"/>
    </row>
    <row r="17" spans="1:9" ht="21" hidden="1" customHeight="1"/>
    <row r="18" spans="1:9" ht="21" hidden="1" customHeight="1">
      <c r="A18" s="194" t="s">
        <v>212</v>
      </c>
      <c r="B18" s="194"/>
      <c r="C18" s="194"/>
      <c r="D18" s="194"/>
      <c r="E18" s="194"/>
      <c r="F18" s="194"/>
    </row>
    <row r="19" spans="1:9" ht="21" hidden="1" customHeight="1">
      <c r="A19" s="214">
        <v>1</v>
      </c>
      <c r="B19" s="1067"/>
      <c r="C19" s="1510" t="s">
        <v>432</v>
      </c>
      <c r="D19" s="1569"/>
      <c r="E19" s="1569"/>
      <c r="F19" s="1569"/>
    </row>
    <row r="20" spans="1:9" ht="21" hidden="1" customHeight="1">
      <c r="A20" s="246">
        <v>2</v>
      </c>
      <c r="B20" s="1069"/>
      <c r="C20" s="1515">
        <v>21.1</v>
      </c>
      <c r="D20" s="1761"/>
      <c r="E20" s="1761"/>
      <c r="F20" s="1761"/>
    </row>
    <row r="21" spans="1:9" ht="21" hidden="1" customHeight="1">
      <c r="A21" s="214">
        <v>3</v>
      </c>
      <c r="B21" s="1067"/>
      <c r="C21" s="1510" t="s">
        <v>433</v>
      </c>
      <c r="D21" s="1511"/>
      <c r="E21" s="1511"/>
      <c r="F21" s="1511"/>
    </row>
    <row r="22" spans="1:9" ht="21" hidden="1" customHeight="1">
      <c r="A22" s="214">
        <v>4</v>
      </c>
      <c r="B22" s="1067"/>
      <c r="C22" s="1570" t="s">
        <v>434</v>
      </c>
      <c r="D22" s="1571"/>
      <c r="E22" s="1571"/>
      <c r="F22" s="1571"/>
    </row>
    <row r="23" spans="1:9" ht="21" hidden="1" customHeight="1">
      <c r="A23" s="214">
        <v>5</v>
      </c>
      <c r="B23" s="1067"/>
      <c r="C23" s="1510" t="s">
        <v>366</v>
      </c>
      <c r="D23" s="1511"/>
      <c r="E23" s="1511"/>
      <c r="F23" s="1760"/>
    </row>
    <row r="24" spans="1:9" ht="21" customHeight="1">
      <c r="F24" s="1759" t="s">
        <v>2086</v>
      </c>
      <c r="G24" s="1759"/>
      <c r="H24" s="1759"/>
      <c r="I24" s="1759"/>
    </row>
    <row r="25" spans="1:9" ht="21" customHeight="1">
      <c r="F25" s="991">
        <v>43191</v>
      </c>
      <c r="G25" s="992">
        <v>288</v>
      </c>
      <c r="H25" s="991">
        <v>43556</v>
      </c>
      <c r="I25" s="992">
        <v>312</v>
      </c>
    </row>
    <row r="26" spans="1:9" ht="21" customHeight="1">
      <c r="F26" s="991">
        <v>43221</v>
      </c>
      <c r="G26" s="992">
        <v>289</v>
      </c>
      <c r="H26" s="991">
        <v>43586</v>
      </c>
      <c r="I26" s="992">
        <v>314</v>
      </c>
    </row>
    <row r="27" spans="1:9" ht="21" customHeight="1">
      <c r="F27" s="991">
        <v>43252</v>
      </c>
      <c r="G27" s="992">
        <v>291</v>
      </c>
      <c r="H27" s="991">
        <v>43617</v>
      </c>
      <c r="I27" s="992">
        <v>316</v>
      </c>
    </row>
    <row r="28" spans="1:9" ht="21" customHeight="1">
      <c r="F28" s="991">
        <v>43282</v>
      </c>
      <c r="G28" s="992">
        <v>301</v>
      </c>
      <c r="H28" s="991">
        <v>43647</v>
      </c>
      <c r="I28" s="992">
        <v>319</v>
      </c>
    </row>
    <row r="29" spans="1:9" ht="21" customHeight="1">
      <c r="F29" s="991">
        <v>43313</v>
      </c>
      <c r="G29" s="992">
        <v>301</v>
      </c>
      <c r="H29" s="991">
        <v>43678</v>
      </c>
      <c r="I29" s="992">
        <v>320</v>
      </c>
    </row>
    <row r="30" spans="1:9" ht="21" customHeight="1">
      <c r="F30" s="991">
        <v>43344</v>
      </c>
      <c r="G30" s="992">
        <v>301</v>
      </c>
      <c r="H30" s="991">
        <v>43709</v>
      </c>
      <c r="I30" s="992">
        <v>322</v>
      </c>
    </row>
    <row r="31" spans="1:9" ht="21" customHeight="1">
      <c r="F31" s="991">
        <v>43374</v>
      </c>
      <c r="G31" s="992">
        <v>302</v>
      </c>
      <c r="H31" s="991">
        <v>43739</v>
      </c>
      <c r="I31" s="992">
        <v>325</v>
      </c>
    </row>
    <row r="32" spans="1:9" ht="21" customHeight="1">
      <c r="F32" s="991">
        <v>43405</v>
      </c>
      <c r="G32" s="992">
        <v>302</v>
      </c>
      <c r="H32" s="991">
        <v>43770</v>
      </c>
      <c r="I32" s="992">
        <v>328</v>
      </c>
    </row>
    <row r="33" spans="6:9" ht="21" customHeight="1">
      <c r="F33" s="991">
        <v>43435</v>
      </c>
      <c r="G33" s="992">
        <v>301</v>
      </c>
      <c r="H33" s="991">
        <v>43800</v>
      </c>
      <c r="I33" s="992">
        <v>330</v>
      </c>
    </row>
    <row r="34" spans="6:9" ht="21" customHeight="1">
      <c r="F34" s="991">
        <v>43466</v>
      </c>
      <c r="G34" s="992">
        <v>307</v>
      </c>
      <c r="H34" s="991">
        <v>43831</v>
      </c>
      <c r="I34" s="992">
        <v>330</v>
      </c>
    </row>
    <row r="35" spans="6:9" ht="21" customHeight="1">
      <c r="F35" s="991">
        <v>43497</v>
      </c>
      <c r="G35" s="992">
        <v>307</v>
      </c>
      <c r="H35" s="991">
        <v>43862</v>
      </c>
      <c r="I35" s="992">
        <v>328</v>
      </c>
    </row>
    <row r="36" spans="6:9" ht="21" customHeight="1">
      <c r="F36" s="991">
        <v>43525</v>
      </c>
      <c r="G36" s="992">
        <v>309</v>
      </c>
      <c r="H36" s="991">
        <v>43891</v>
      </c>
      <c r="I36" s="992">
        <v>326</v>
      </c>
    </row>
    <row r="37" spans="6:9" ht="21" customHeight="1"/>
    <row r="38" spans="6:9" ht="21" customHeight="1"/>
    <row r="39" spans="6:9" ht="21" customHeight="1"/>
    <row r="40" spans="6:9" ht="21" customHeight="1"/>
    <row r="41" spans="6:9" ht="21" customHeight="1"/>
    <row r="42" spans="6:9" ht="21" customHeight="1"/>
    <row r="43" spans="6:9" ht="21" customHeight="1"/>
    <row r="44" spans="6:9" ht="21" customHeight="1"/>
    <row r="45" spans="6:9" ht="21" customHeight="1"/>
    <row r="46" spans="6:9" ht="21" customHeight="1"/>
    <row r="47" spans="6:9" ht="21" customHeight="1"/>
    <row r="48" spans="6: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sheetData>
  <mergeCells count="12">
    <mergeCell ref="F24:I24"/>
    <mergeCell ref="A1:G1"/>
    <mergeCell ref="C23:F23"/>
    <mergeCell ref="C19:F19"/>
    <mergeCell ref="C20:F20"/>
    <mergeCell ref="C21:F21"/>
    <mergeCell ref="C22:F22"/>
    <mergeCell ref="F14:H14"/>
    <mergeCell ref="A4:A5"/>
    <mergeCell ref="G4:H4"/>
    <mergeCell ref="C4:F4"/>
    <mergeCell ref="A12:G12"/>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pageSetUpPr fitToPage="1"/>
  </sheetPr>
  <dimension ref="A1:G32"/>
  <sheetViews>
    <sheetView showGridLines="0" view="pageBreakPreview" topLeftCell="A7" zoomScale="70" zoomScaleNormal="100" zoomScaleSheetLayoutView="70" workbookViewId="0">
      <selection activeCell="F30" sqref="F30"/>
    </sheetView>
  </sheetViews>
  <sheetFormatPr defaultRowHeight="15"/>
  <cols>
    <col min="1" max="1" width="9.140625" style="174"/>
    <col min="2" max="2" width="43.42578125" style="174" customWidth="1"/>
    <col min="3" max="3" width="17.7109375" style="174" customWidth="1"/>
    <col min="4" max="5" width="15.7109375" style="174" customWidth="1"/>
    <col min="6" max="254" width="9.140625" style="174"/>
    <col min="255" max="255" width="43.42578125" style="174" customWidth="1"/>
    <col min="256" max="256" width="10.5703125" style="174" customWidth="1"/>
    <col min="257" max="257" width="10.140625" style="174" customWidth="1"/>
    <col min="258" max="258" width="8.7109375" style="174" customWidth="1"/>
    <col min="259" max="259" width="9.140625" style="174"/>
    <col min="260" max="260" width="8" style="174" customWidth="1"/>
    <col min="261" max="510" width="9.140625" style="174"/>
    <col min="511" max="511" width="43.42578125" style="174" customWidth="1"/>
    <col min="512" max="512" width="10.5703125" style="174" customWidth="1"/>
    <col min="513" max="513" width="10.140625" style="174" customWidth="1"/>
    <col min="514" max="514" width="8.7109375" style="174" customWidth="1"/>
    <col min="515" max="515" width="9.140625" style="174"/>
    <col min="516" max="516" width="8" style="174" customWidth="1"/>
    <col min="517" max="766" width="9.140625" style="174"/>
    <col min="767" max="767" width="43.42578125" style="174" customWidth="1"/>
    <col min="768" max="768" width="10.5703125" style="174" customWidth="1"/>
    <col min="769" max="769" width="10.140625" style="174" customWidth="1"/>
    <col min="770" max="770" width="8.7109375" style="174" customWidth="1"/>
    <col min="771" max="771" width="9.140625" style="174"/>
    <col min="772" max="772" width="8" style="174" customWidth="1"/>
    <col min="773" max="1022" width="9.140625" style="174"/>
    <col min="1023" max="1023" width="43.42578125" style="174" customWidth="1"/>
    <col min="1024" max="1024" width="10.5703125" style="174" customWidth="1"/>
    <col min="1025" max="1025" width="10.140625" style="174" customWidth="1"/>
    <col min="1026" max="1026" width="8.7109375" style="174" customWidth="1"/>
    <col min="1027" max="1027" width="9.140625" style="174"/>
    <col min="1028" max="1028" width="8" style="174" customWidth="1"/>
    <col min="1029" max="1278" width="9.140625" style="174"/>
    <col min="1279" max="1279" width="43.42578125" style="174" customWidth="1"/>
    <col min="1280" max="1280" width="10.5703125" style="174" customWidth="1"/>
    <col min="1281" max="1281" width="10.140625" style="174" customWidth="1"/>
    <col min="1282" max="1282" width="8.7109375" style="174" customWidth="1"/>
    <col min="1283" max="1283" width="9.140625" style="174"/>
    <col min="1284" max="1284" width="8" style="174" customWidth="1"/>
    <col min="1285" max="1534" width="9.140625" style="174"/>
    <col min="1535" max="1535" width="43.42578125" style="174" customWidth="1"/>
    <col min="1536" max="1536" width="10.5703125" style="174" customWidth="1"/>
    <col min="1537" max="1537" width="10.140625" style="174" customWidth="1"/>
    <col min="1538" max="1538" width="8.7109375" style="174" customWidth="1"/>
    <col min="1539" max="1539" width="9.140625" style="174"/>
    <col min="1540" max="1540" width="8" style="174" customWidth="1"/>
    <col min="1541" max="1790" width="9.140625" style="174"/>
    <col min="1791" max="1791" width="43.42578125" style="174" customWidth="1"/>
    <col min="1792" max="1792" width="10.5703125" style="174" customWidth="1"/>
    <col min="1793" max="1793" width="10.140625" style="174" customWidth="1"/>
    <col min="1794" max="1794" width="8.7109375" style="174" customWidth="1"/>
    <col min="1795" max="1795" width="9.140625" style="174"/>
    <col min="1796" max="1796" width="8" style="174" customWidth="1"/>
    <col min="1797" max="2046" width="9.140625" style="174"/>
    <col min="2047" max="2047" width="43.42578125" style="174" customWidth="1"/>
    <col min="2048" max="2048" width="10.5703125" style="174" customWidth="1"/>
    <col min="2049" max="2049" width="10.140625" style="174" customWidth="1"/>
    <col min="2050" max="2050" width="8.7109375" style="174" customWidth="1"/>
    <col min="2051" max="2051" width="9.140625" style="174"/>
    <col min="2052" max="2052" width="8" style="174" customWidth="1"/>
    <col min="2053" max="2302" width="9.140625" style="174"/>
    <col min="2303" max="2303" width="43.42578125" style="174" customWidth="1"/>
    <col min="2304" max="2304" width="10.5703125" style="174" customWidth="1"/>
    <col min="2305" max="2305" width="10.140625" style="174" customWidth="1"/>
    <col min="2306" max="2306" width="8.7109375" style="174" customWidth="1"/>
    <col min="2307" max="2307" width="9.140625" style="174"/>
    <col min="2308" max="2308" width="8" style="174" customWidth="1"/>
    <col min="2309" max="2558" width="9.140625" style="174"/>
    <col min="2559" max="2559" width="43.42578125" style="174" customWidth="1"/>
    <col min="2560" max="2560" width="10.5703125" style="174" customWidth="1"/>
    <col min="2561" max="2561" width="10.140625" style="174" customWidth="1"/>
    <col min="2562" max="2562" width="8.7109375" style="174" customWidth="1"/>
    <col min="2563" max="2563" width="9.140625" style="174"/>
    <col min="2564" max="2564" width="8" style="174" customWidth="1"/>
    <col min="2565" max="2814" width="9.140625" style="174"/>
    <col min="2815" max="2815" width="43.42578125" style="174" customWidth="1"/>
    <col min="2816" max="2816" width="10.5703125" style="174" customWidth="1"/>
    <col min="2817" max="2817" width="10.140625" style="174" customWidth="1"/>
    <col min="2818" max="2818" width="8.7109375" style="174" customWidth="1"/>
    <col min="2819" max="2819" width="9.140625" style="174"/>
    <col min="2820" max="2820" width="8" style="174" customWidth="1"/>
    <col min="2821" max="3070" width="9.140625" style="174"/>
    <col min="3071" max="3071" width="43.42578125" style="174" customWidth="1"/>
    <col min="3072" max="3072" width="10.5703125" style="174" customWidth="1"/>
    <col min="3073" max="3073" width="10.140625" style="174" customWidth="1"/>
    <col min="3074" max="3074" width="8.7109375" style="174" customWidth="1"/>
    <col min="3075" max="3075" width="9.140625" style="174"/>
    <col min="3076" max="3076" width="8" style="174" customWidth="1"/>
    <col min="3077" max="3326" width="9.140625" style="174"/>
    <col min="3327" max="3327" width="43.42578125" style="174" customWidth="1"/>
    <col min="3328" max="3328" width="10.5703125" style="174" customWidth="1"/>
    <col min="3329" max="3329" width="10.140625" style="174" customWidth="1"/>
    <col min="3330" max="3330" width="8.7109375" style="174" customWidth="1"/>
    <col min="3331" max="3331" width="9.140625" style="174"/>
    <col min="3332" max="3332" width="8" style="174" customWidth="1"/>
    <col min="3333" max="3582" width="9.140625" style="174"/>
    <col min="3583" max="3583" width="43.42578125" style="174" customWidth="1"/>
    <col min="3584" max="3584" width="10.5703125" style="174" customWidth="1"/>
    <col min="3585" max="3585" width="10.140625" style="174" customWidth="1"/>
    <col min="3586" max="3586" width="8.7109375" style="174" customWidth="1"/>
    <col min="3587" max="3587" width="9.140625" style="174"/>
    <col min="3588" max="3588" width="8" style="174" customWidth="1"/>
    <col min="3589" max="3838" width="9.140625" style="174"/>
    <col min="3839" max="3839" width="43.42578125" style="174" customWidth="1"/>
    <col min="3840" max="3840" width="10.5703125" style="174" customWidth="1"/>
    <col min="3841" max="3841" width="10.140625" style="174" customWidth="1"/>
    <col min="3842" max="3842" width="8.7109375" style="174" customWidth="1"/>
    <col min="3843" max="3843" width="9.140625" style="174"/>
    <col min="3844" max="3844" width="8" style="174" customWidth="1"/>
    <col min="3845" max="4094" width="9.140625" style="174"/>
    <col min="4095" max="4095" width="43.42578125" style="174" customWidth="1"/>
    <col min="4096" max="4096" width="10.5703125" style="174" customWidth="1"/>
    <col min="4097" max="4097" width="10.140625" style="174" customWidth="1"/>
    <col min="4098" max="4098" width="8.7109375" style="174" customWidth="1"/>
    <col min="4099" max="4099" width="9.140625" style="174"/>
    <col min="4100" max="4100" width="8" style="174" customWidth="1"/>
    <col min="4101" max="4350" width="9.140625" style="174"/>
    <col min="4351" max="4351" width="43.42578125" style="174" customWidth="1"/>
    <col min="4352" max="4352" width="10.5703125" style="174" customWidth="1"/>
    <col min="4353" max="4353" width="10.140625" style="174" customWidth="1"/>
    <col min="4354" max="4354" width="8.7109375" style="174" customWidth="1"/>
    <col min="4355" max="4355" width="9.140625" style="174"/>
    <col min="4356" max="4356" width="8" style="174" customWidth="1"/>
    <col min="4357" max="4606" width="9.140625" style="174"/>
    <col min="4607" max="4607" width="43.42578125" style="174" customWidth="1"/>
    <col min="4608" max="4608" width="10.5703125" style="174" customWidth="1"/>
    <col min="4609" max="4609" width="10.140625" style="174" customWidth="1"/>
    <col min="4610" max="4610" width="8.7109375" style="174" customWidth="1"/>
    <col min="4611" max="4611" width="9.140625" style="174"/>
    <col min="4612" max="4612" width="8" style="174" customWidth="1"/>
    <col min="4613" max="4862" width="9.140625" style="174"/>
    <col min="4863" max="4863" width="43.42578125" style="174" customWidth="1"/>
    <col min="4864" max="4864" width="10.5703125" style="174" customWidth="1"/>
    <col min="4865" max="4865" width="10.140625" style="174" customWidth="1"/>
    <col min="4866" max="4866" width="8.7109375" style="174" customWidth="1"/>
    <col min="4867" max="4867" width="9.140625" style="174"/>
    <col min="4868" max="4868" width="8" style="174" customWidth="1"/>
    <col min="4869" max="5118" width="9.140625" style="174"/>
    <col min="5119" max="5119" width="43.42578125" style="174" customWidth="1"/>
    <col min="5120" max="5120" width="10.5703125" style="174" customWidth="1"/>
    <col min="5121" max="5121" width="10.140625" style="174" customWidth="1"/>
    <col min="5122" max="5122" width="8.7109375" style="174" customWidth="1"/>
    <col min="5123" max="5123" width="9.140625" style="174"/>
    <col min="5124" max="5124" width="8" style="174" customWidth="1"/>
    <col min="5125" max="5374" width="9.140625" style="174"/>
    <col min="5375" max="5375" width="43.42578125" style="174" customWidth="1"/>
    <col min="5376" max="5376" width="10.5703125" style="174" customWidth="1"/>
    <col min="5377" max="5377" width="10.140625" style="174" customWidth="1"/>
    <col min="5378" max="5378" width="8.7109375" style="174" customWidth="1"/>
    <col min="5379" max="5379" width="9.140625" style="174"/>
    <col min="5380" max="5380" width="8" style="174" customWidth="1"/>
    <col min="5381" max="5630" width="9.140625" style="174"/>
    <col min="5631" max="5631" width="43.42578125" style="174" customWidth="1"/>
    <col min="5632" max="5632" width="10.5703125" style="174" customWidth="1"/>
    <col min="5633" max="5633" width="10.140625" style="174" customWidth="1"/>
    <col min="5634" max="5634" width="8.7109375" style="174" customWidth="1"/>
    <col min="5635" max="5635" width="9.140625" style="174"/>
    <col min="5636" max="5636" width="8" style="174" customWidth="1"/>
    <col min="5637" max="5886" width="9.140625" style="174"/>
    <col min="5887" max="5887" width="43.42578125" style="174" customWidth="1"/>
    <col min="5888" max="5888" width="10.5703125" style="174" customWidth="1"/>
    <col min="5889" max="5889" width="10.140625" style="174" customWidth="1"/>
    <col min="5890" max="5890" width="8.7109375" style="174" customWidth="1"/>
    <col min="5891" max="5891" width="9.140625" style="174"/>
    <col min="5892" max="5892" width="8" style="174" customWidth="1"/>
    <col min="5893" max="6142" width="9.140625" style="174"/>
    <col min="6143" max="6143" width="43.42578125" style="174" customWidth="1"/>
    <col min="6144" max="6144" width="10.5703125" style="174" customWidth="1"/>
    <col min="6145" max="6145" width="10.140625" style="174" customWidth="1"/>
    <col min="6146" max="6146" width="8.7109375" style="174" customWidth="1"/>
    <col min="6147" max="6147" width="9.140625" style="174"/>
    <col min="6148" max="6148" width="8" style="174" customWidth="1"/>
    <col min="6149" max="6398" width="9.140625" style="174"/>
    <col min="6399" max="6399" width="43.42578125" style="174" customWidth="1"/>
    <col min="6400" max="6400" width="10.5703125" style="174" customWidth="1"/>
    <col min="6401" max="6401" width="10.140625" style="174" customWidth="1"/>
    <col min="6402" max="6402" width="8.7109375" style="174" customWidth="1"/>
    <col min="6403" max="6403" width="9.140625" style="174"/>
    <col min="6404" max="6404" width="8" style="174" customWidth="1"/>
    <col min="6405" max="6654" width="9.140625" style="174"/>
    <col min="6655" max="6655" width="43.42578125" style="174" customWidth="1"/>
    <col min="6656" max="6656" width="10.5703125" style="174" customWidth="1"/>
    <col min="6657" max="6657" width="10.140625" style="174" customWidth="1"/>
    <col min="6658" max="6658" width="8.7109375" style="174" customWidth="1"/>
    <col min="6659" max="6659" width="9.140625" style="174"/>
    <col min="6660" max="6660" width="8" style="174" customWidth="1"/>
    <col min="6661" max="6910" width="9.140625" style="174"/>
    <col min="6911" max="6911" width="43.42578125" style="174" customWidth="1"/>
    <col min="6912" max="6912" width="10.5703125" style="174" customWidth="1"/>
    <col min="6913" max="6913" width="10.140625" style="174" customWidth="1"/>
    <col min="6914" max="6914" width="8.7109375" style="174" customWidth="1"/>
    <col min="6915" max="6915" width="9.140625" style="174"/>
    <col min="6916" max="6916" width="8" style="174" customWidth="1"/>
    <col min="6917" max="7166" width="9.140625" style="174"/>
    <col min="7167" max="7167" width="43.42578125" style="174" customWidth="1"/>
    <col min="7168" max="7168" width="10.5703125" style="174" customWidth="1"/>
    <col min="7169" max="7169" width="10.140625" style="174" customWidth="1"/>
    <col min="7170" max="7170" width="8.7109375" style="174" customWidth="1"/>
    <col min="7171" max="7171" width="9.140625" style="174"/>
    <col min="7172" max="7172" width="8" style="174" customWidth="1"/>
    <col min="7173" max="7422" width="9.140625" style="174"/>
    <col min="7423" max="7423" width="43.42578125" style="174" customWidth="1"/>
    <col min="7424" max="7424" width="10.5703125" style="174" customWidth="1"/>
    <col min="7425" max="7425" width="10.140625" style="174" customWidth="1"/>
    <col min="7426" max="7426" width="8.7109375" style="174" customWidth="1"/>
    <col min="7427" max="7427" width="9.140625" style="174"/>
    <col min="7428" max="7428" width="8" style="174" customWidth="1"/>
    <col min="7429" max="7678" width="9.140625" style="174"/>
    <col min="7679" max="7679" width="43.42578125" style="174" customWidth="1"/>
    <col min="7680" max="7680" width="10.5703125" style="174" customWidth="1"/>
    <col min="7681" max="7681" width="10.140625" style="174" customWidth="1"/>
    <col min="7682" max="7682" width="8.7109375" style="174" customWidth="1"/>
    <col min="7683" max="7683" width="9.140625" style="174"/>
    <col min="7684" max="7684" width="8" style="174" customWidth="1"/>
    <col min="7685" max="7934" width="9.140625" style="174"/>
    <col min="7935" max="7935" width="43.42578125" style="174" customWidth="1"/>
    <col min="7936" max="7936" width="10.5703125" style="174" customWidth="1"/>
    <col min="7937" max="7937" width="10.140625" style="174" customWidth="1"/>
    <col min="7938" max="7938" width="8.7109375" style="174" customWidth="1"/>
    <col min="7939" max="7939" width="9.140625" style="174"/>
    <col min="7940" max="7940" width="8" style="174" customWidth="1"/>
    <col min="7941" max="8190" width="9.140625" style="174"/>
    <col min="8191" max="8191" width="43.42578125" style="174" customWidth="1"/>
    <col min="8192" max="8192" width="10.5703125" style="174" customWidth="1"/>
    <col min="8193" max="8193" width="10.140625" style="174" customWidth="1"/>
    <col min="8194" max="8194" width="8.7109375" style="174" customWidth="1"/>
    <col min="8195" max="8195" width="9.140625" style="174"/>
    <col min="8196" max="8196" width="8" style="174" customWidth="1"/>
    <col min="8197" max="8446" width="9.140625" style="174"/>
    <col min="8447" max="8447" width="43.42578125" style="174" customWidth="1"/>
    <col min="8448" max="8448" width="10.5703125" style="174" customWidth="1"/>
    <col min="8449" max="8449" width="10.140625" style="174" customWidth="1"/>
    <col min="8450" max="8450" width="8.7109375" style="174" customWidth="1"/>
    <col min="8451" max="8451" width="9.140625" style="174"/>
    <col min="8452" max="8452" width="8" style="174" customWidth="1"/>
    <col min="8453" max="8702" width="9.140625" style="174"/>
    <col min="8703" max="8703" width="43.42578125" style="174" customWidth="1"/>
    <col min="8704" max="8704" width="10.5703125" style="174" customWidth="1"/>
    <col min="8705" max="8705" width="10.140625" style="174" customWidth="1"/>
    <col min="8706" max="8706" width="8.7109375" style="174" customWidth="1"/>
    <col min="8707" max="8707" width="9.140625" style="174"/>
    <col min="8708" max="8708" width="8" style="174" customWidth="1"/>
    <col min="8709" max="8958" width="9.140625" style="174"/>
    <col min="8959" max="8959" width="43.42578125" style="174" customWidth="1"/>
    <col min="8960" max="8960" width="10.5703125" style="174" customWidth="1"/>
    <col min="8961" max="8961" width="10.140625" style="174" customWidth="1"/>
    <col min="8962" max="8962" width="8.7109375" style="174" customWidth="1"/>
    <col min="8963" max="8963" width="9.140625" style="174"/>
    <col min="8964" max="8964" width="8" style="174" customWidth="1"/>
    <col min="8965" max="9214" width="9.140625" style="174"/>
    <col min="9215" max="9215" width="43.42578125" style="174" customWidth="1"/>
    <col min="9216" max="9216" width="10.5703125" style="174" customWidth="1"/>
    <col min="9217" max="9217" width="10.140625" style="174" customWidth="1"/>
    <col min="9218" max="9218" width="8.7109375" style="174" customWidth="1"/>
    <col min="9219" max="9219" width="9.140625" style="174"/>
    <col min="9220" max="9220" width="8" style="174" customWidth="1"/>
    <col min="9221" max="9470" width="9.140625" style="174"/>
    <col min="9471" max="9471" width="43.42578125" style="174" customWidth="1"/>
    <col min="9472" max="9472" width="10.5703125" style="174" customWidth="1"/>
    <col min="9473" max="9473" width="10.140625" style="174" customWidth="1"/>
    <col min="9474" max="9474" width="8.7109375" style="174" customWidth="1"/>
    <col min="9475" max="9475" width="9.140625" style="174"/>
    <col min="9476" max="9476" width="8" style="174" customWidth="1"/>
    <col min="9477" max="9726" width="9.140625" style="174"/>
    <col min="9727" max="9727" width="43.42578125" style="174" customWidth="1"/>
    <col min="9728" max="9728" width="10.5703125" style="174" customWidth="1"/>
    <col min="9729" max="9729" width="10.140625" style="174" customWidth="1"/>
    <col min="9730" max="9730" width="8.7109375" style="174" customWidth="1"/>
    <col min="9731" max="9731" width="9.140625" style="174"/>
    <col min="9732" max="9732" width="8" style="174" customWidth="1"/>
    <col min="9733" max="9982" width="9.140625" style="174"/>
    <col min="9983" max="9983" width="43.42578125" style="174" customWidth="1"/>
    <col min="9984" max="9984" width="10.5703125" style="174" customWidth="1"/>
    <col min="9985" max="9985" width="10.140625" style="174" customWidth="1"/>
    <col min="9986" max="9986" width="8.7109375" style="174" customWidth="1"/>
    <col min="9987" max="9987" width="9.140625" style="174"/>
    <col min="9988" max="9988" width="8" style="174" customWidth="1"/>
    <col min="9989" max="10238" width="9.140625" style="174"/>
    <col min="10239" max="10239" width="43.42578125" style="174" customWidth="1"/>
    <col min="10240" max="10240" width="10.5703125" style="174" customWidth="1"/>
    <col min="10241" max="10241" width="10.140625" style="174" customWidth="1"/>
    <col min="10242" max="10242" width="8.7109375" style="174" customWidth="1"/>
    <col min="10243" max="10243" width="9.140625" style="174"/>
    <col min="10244" max="10244" width="8" style="174" customWidth="1"/>
    <col min="10245" max="10494" width="9.140625" style="174"/>
    <col min="10495" max="10495" width="43.42578125" style="174" customWidth="1"/>
    <col min="10496" max="10496" width="10.5703125" style="174" customWidth="1"/>
    <col min="10497" max="10497" width="10.140625" style="174" customWidth="1"/>
    <col min="10498" max="10498" width="8.7109375" style="174" customWidth="1"/>
    <col min="10499" max="10499" width="9.140625" style="174"/>
    <col min="10500" max="10500" width="8" style="174" customWidth="1"/>
    <col min="10501" max="10750" width="9.140625" style="174"/>
    <col min="10751" max="10751" width="43.42578125" style="174" customWidth="1"/>
    <col min="10752" max="10752" width="10.5703125" style="174" customWidth="1"/>
    <col min="10753" max="10753" width="10.140625" style="174" customWidth="1"/>
    <col min="10754" max="10754" width="8.7109375" style="174" customWidth="1"/>
    <col min="10755" max="10755" width="9.140625" style="174"/>
    <col min="10756" max="10756" width="8" style="174" customWidth="1"/>
    <col min="10757" max="11006" width="9.140625" style="174"/>
    <col min="11007" max="11007" width="43.42578125" style="174" customWidth="1"/>
    <col min="11008" max="11008" width="10.5703125" style="174" customWidth="1"/>
    <col min="11009" max="11009" width="10.140625" style="174" customWidth="1"/>
    <col min="11010" max="11010" width="8.7109375" style="174" customWidth="1"/>
    <col min="11011" max="11011" width="9.140625" style="174"/>
    <col min="11012" max="11012" width="8" style="174" customWidth="1"/>
    <col min="11013" max="11262" width="9.140625" style="174"/>
    <col min="11263" max="11263" width="43.42578125" style="174" customWidth="1"/>
    <col min="11264" max="11264" width="10.5703125" style="174" customWidth="1"/>
    <col min="11265" max="11265" width="10.140625" style="174" customWidth="1"/>
    <col min="11266" max="11266" width="8.7109375" style="174" customWidth="1"/>
    <col min="11267" max="11267" width="9.140625" style="174"/>
    <col min="11268" max="11268" width="8" style="174" customWidth="1"/>
    <col min="11269" max="11518" width="9.140625" style="174"/>
    <col min="11519" max="11519" width="43.42578125" style="174" customWidth="1"/>
    <col min="11520" max="11520" width="10.5703125" style="174" customWidth="1"/>
    <col min="11521" max="11521" width="10.140625" style="174" customWidth="1"/>
    <col min="11522" max="11522" width="8.7109375" style="174" customWidth="1"/>
    <col min="11523" max="11523" width="9.140625" style="174"/>
    <col min="11524" max="11524" width="8" style="174" customWidth="1"/>
    <col min="11525" max="11774" width="9.140625" style="174"/>
    <col min="11775" max="11775" width="43.42578125" style="174" customWidth="1"/>
    <col min="11776" max="11776" width="10.5703125" style="174" customWidth="1"/>
    <col min="11777" max="11777" width="10.140625" style="174" customWidth="1"/>
    <col min="11778" max="11778" width="8.7109375" style="174" customWidth="1"/>
    <col min="11779" max="11779" width="9.140625" style="174"/>
    <col min="11780" max="11780" width="8" style="174" customWidth="1"/>
    <col min="11781" max="12030" width="9.140625" style="174"/>
    <col min="12031" max="12031" width="43.42578125" style="174" customWidth="1"/>
    <col min="12032" max="12032" width="10.5703125" style="174" customWidth="1"/>
    <col min="12033" max="12033" width="10.140625" style="174" customWidth="1"/>
    <col min="12034" max="12034" width="8.7109375" style="174" customWidth="1"/>
    <col min="12035" max="12035" width="9.140625" style="174"/>
    <col min="12036" max="12036" width="8" style="174" customWidth="1"/>
    <col min="12037" max="12286" width="9.140625" style="174"/>
    <col min="12287" max="12287" width="43.42578125" style="174" customWidth="1"/>
    <col min="12288" max="12288" width="10.5703125" style="174" customWidth="1"/>
    <col min="12289" max="12289" width="10.140625" style="174" customWidth="1"/>
    <col min="12290" max="12290" width="8.7109375" style="174" customWidth="1"/>
    <col min="12291" max="12291" width="9.140625" style="174"/>
    <col min="12292" max="12292" width="8" style="174" customWidth="1"/>
    <col min="12293" max="12542" width="9.140625" style="174"/>
    <col min="12543" max="12543" width="43.42578125" style="174" customWidth="1"/>
    <col min="12544" max="12544" width="10.5703125" style="174" customWidth="1"/>
    <col min="12545" max="12545" width="10.140625" style="174" customWidth="1"/>
    <col min="12546" max="12546" width="8.7109375" style="174" customWidth="1"/>
    <col min="12547" max="12547" width="9.140625" style="174"/>
    <col min="12548" max="12548" width="8" style="174" customWidth="1"/>
    <col min="12549" max="12798" width="9.140625" style="174"/>
    <col min="12799" max="12799" width="43.42578125" style="174" customWidth="1"/>
    <col min="12800" max="12800" width="10.5703125" style="174" customWidth="1"/>
    <col min="12801" max="12801" width="10.140625" style="174" customWidth="1"/>
    <col min="12802" max="12802" width="8.7109375" style="174" customWidth="1"/>
    <col min="12803" max="12803" width="9.140625" style="174"/>
    <col min="12804" max="12804" width="8" style="174" customWidth="1"/>
    <col min="12805" max="13054" width="9.140625" style="174"/>
    <col min="13055" max="13055" width="43.42578125" style="174" customWidth="1"/>
    <col min="13056" max="13056" width="10.5703125" style="174" customWidth="1"/>
    <col min="13057" max="13057" width="10.140625" style="174" customWidth="1"/>
    <col min="13058" max="13058" width="8.7109375" style="174" customWidth="1"/>
    <col min="13059" max="13059" width="9.140625" style="174"/>
    <col min="13060" max="13060" width="8" style="174" customWidth="1"/>
    <col min="13061" max="13310" width="9.140625" style="174"/>
    <col min="13311" max="13311" width="43.42578125" style="174" customWidth="1"/>
    <col min="13312" max="13312" width="10.5703125" style="174" customWidth="1"/>
    <col min="13313" max="13313" width="10.140625" style="174" customWidth="1"/>
    <col min="13314" max="13314" width="8.7109375" style="174" customWidth="1"/>
    <col min="13315" max="13315" width="9.140625" style="174"/>
    <col min="13316" max="13316" width="8" style="174" customWidth="1"/>
    <col min="13317" max="13566" width="9.140625" style="174"/>
    <col min="13567" max="13567" width="43.42578125" style="174" customWidth="1"/>
    <col min="13568" max="13568" width="10.5703125" style="174" customWidth="1"/>
    <col min="13569" max="13569" width="10.140625" style="174" customWidth="1"/>
    <col min="13570" max="13570" width="8.7109375" style="174" customWidth="1"/>
    <col min="13571" max="13571" width="9.140625" style="174"/>
    <col min="13572" max="13572" width="8" style="174" customWidth="1"/>
    <col min="13573" max="13822" width="9.140625" style="174"/>
    <col min="13823" max="13823" width="43.42578125" style="174" customWidth="1"/>
    <col min="13824" max="13824" width="10.5703125" style="174" customWidth="1"/>
    <col min="13825" max="13825" width="10.140625" style="174" customWidth="1"/>
    <col min="13826" max="13826" width="8.7109375" style="174" customWidth="1"/>
    <col min="13827" max="13827" width="9.140625" style="174"/>
    <col min="13828" max="13828" width="8" style="174" customWidth="1"/>
    <col min="13829" max="14078" width="9.140625" style="174"/>
    <col min="14079" max="14079" width="43.42578125" style="174" customWidth="1"/>
    <col min="14080" max="14080" width="10.5703125" style="174" customWidth="1"/>
    <col min="14081" max="14081" width="10.140625" style="174" customWidth="1"/>
    <col min="14082" max="14082" width="8.7109375" style="174" customWidth="1"/>
    <col min="14083" max="14083" width="9.140625" style="174"/>
    <col min="14084" max="14084" width="8" style="174" customWidth="1"/>
    <col min="14085" max="14334" width="9.140625" style="174"/>
    <col min="14335" max="14335" width="43.42578125" style="174" customWidth="1"/>
    <col min="14336" max="14336" width="10.5703125" style="174" customWidth="1"/>
    <col min="14337" max="14337" width="10.140625" style="174" customWidth="1"/>
    <col min="14338" max="14338" width="8.7109375" style="174" customWidth="1"/>
    <col min="14339" max="14339" width="9.140625" style="174"/>
    <col min="14340" max="14340" width="8" style="174" customWidth="1"/>
    <col min="14341" max="14590" width="9.140625" style="174"/>
    <col min="14591" max="14591" width="43.42578125" style="174" customWidth="1"/>
    <col min="14592" max="14592" width="10.5703125" style="174" customWidth="1"/>
    <col min="14593" max="14593" width="10.140625" style="174" customWidth="1"/>
    <col min="14594" max="14594" width="8.7109375" style="174" customWidth="1"/>
    <col min="14595" max="14595" width="9.140625" style="174"/>
    <col min="14596" max="14596" width="8" style="174" customWidth="1"/>
    <col min="14597" max="14846" width="9.140625" style="174"/>
    <col min="14847" max="14847" width="43.42578125" style="174" customWidth="1"/>
    <col min="14848" max="14848" width="10.5703125" style="174" customWidth="1"/>
    <col min="14849" max="14849" width="10.140625" style="174" customWidth="1"/>
    <col min="14850" max="14850" width="8.7109375" style="174" customWidth="1"/>
    <col min="14851" max="14851" width="9.140625" style="174"/>
    <col min="14852" max="14852" width="8" style="174" customWidth="1"/>
    <col min="14853" max="15102" width="9.140625" style="174"/>
    <col min="15103" max="15103" width="43.42578125" style="174" customWidth="1"/>
    <col min="15104" max="15104" width="10.5703125" style="174" customWidth="1"/>
    <col min="15105" max="15105" width="10.140625" style="174" customWidth="1"/>
    <col min="15106" max="15106" width="8.7109375" style="174" customWidth="1"/>
    <col min="15107" max="15107" width="9.140625" style="174"/>
    <col min="15108" max="15108" width="8" style="174" customWidth="1"/>
    <col min="15109" max="15358" width="9.140625" style="174"/>
    <col min="15359" max="15359" width="43.42578125" style="174" customWidth="1"/>
    <col min="15360" max="15360" width="10.5703125" style="174" customWidth="1"/>
    <col min="15361" max="15361" width="10.140625" style="174" customWidth="1"/>
    <col min="15362" max="15362" width="8.7109375" style="174" customWidth="1"/>
    <col min="15363" max="15363" width="9.140625" style="174"/>
    <col min="15364" max="15364" width="8" style="174" customWidth="1"/>
    <col min="15365" max="15614" width="9.140625" style="174"/>
    <col min="15615" max="15615" width="43.42578125" style="174" customWidth="1"/>
    <col min="15616" max="15616" width="10.5703125" style="174" customWidth="1"/>
    <col min="15617" max="15617" width="10.140625" style="174" customWidth="1"/>
    <col min="15618" max="15618" width="8.7109375" style="174" customWidth="1"/>
    <col min="15619" max="15619" width="9.140625" style="174"/>
    <col min="15620" max="15620" width="8" style="174" customWidth="1"/>
    <col min="15621" max="15870" width="9.140625" style="174"/>
    <col min="15871" max="15871" width="43.42578125" style="174" customWidth="1"/>
    <col min="15872" max="15872" width="10.5703125" style="174" customWidth="1"/>
    <col min="15873" max="15873" width="10.140625" style="174" customWidth="1"/>
    <col min="15874" max="15874" width="8.7109375" style="174" customWidth="1"/>
    <col min="15875" max="15875" width="9.140625" style="174"/>
    <col min="15876" max="15876" width="8" style="174" customWidth="1"/>
    <col min="15877" max="16126" width="9.140625" style="174"/>
    <col min="16127" max="16127" width="43.42578125" style="174" customWidth="1"/>
    <col min="16128" max="16128" width="10.5703125" style="174" customWidth="1"/>
    <col min="16129" max="16129" width="10.140625" style="174" customWidth="1"/>
    <col min="16130" max="16130" width="8.7109375" style="174" customWidth="1"/>
    <col min="16131" max="16131" width="9.140625" style="174"/>
    <col min="16132" max="16132" width="8" style="174" customWidth="1"/>
    <col min="16133" max="16384" width="9.140625" style="174"/>
  </cols>
  <sheetData>
    <row r="1" spans="1:7">
      <c r="A1" s="816" t="s">
        <v>1233</v>
      </c>
      <c r="B1" s="817"/>
      <c r="C1" s="817"/>
      <c r="D1" s="817"/>
      <c r="E1" s="817"/>
      <c r="F1" s="817"/>
      <c r="G1" s="817"/>
    </row>
    <row r="2" spans="1:7">
      <c r="A2" s="817"/>
      <c r="B2" s="817"/>
      <c r="C2" s="817"/>
      <c r="D2" s="817"/>
      <c r="E2" s="817" t="s">
        <v>943</v>
      </c>
      <c r="F2" s="817"/>
      <c r="G2" s="818"/>
    </row>
    <row r="3" spans="1:7">
      <c r="A3" s="817" t="s">
        <v>947</v>
      </c>
      <c r="B3" s="817"/>
      <c r="C3" s="817"/>
      <c r="D3" s="817"/>
      <c r="E3" s="817"/>
      <c r="F3" s="817"/>
      <c r="G3" s="818"/>
    </row>
    <row r="4" spans="1:7">
      <c r="A4" s="817"/>
      <c r="B4" s="817"/>
      <c r="C4" s="817"/>
      <c r="D4" s="817"/>
      <c r="E4" s="817"/>
      <c r="F4" s="817"/>
      <c r="G4" s="818"/>
    </row>
    <row r="5" spans="1:7" ht="48" customHeight="1">
      <c r="A5" s="406" t="s">
        <v>1084</v>
      </c>
      <c r="B5" s="406" t="s">
        <v>48</v>
      </c>
      <c r="C5" s="759" t="s">
        <v>2087</v>
      </c>
      <c r="D5" s="759" t="s">
        <v>2088</v>
      </c>
      <c r="E5" s="759" t="s">
        <v>1085</v>
      </c>
      <c r="F5" s="817"/>
      <c r="G5" s="818"/>
    </row>
    <row r="6" spans="1:7" ht="18.75" customHeight="1">
      <c r="A6" s="406"/>
      <c r="B6" s="406"/>
      <c r="C6" s="906" t="s">
        <v>956</v>
      </c>
      <c r="D6" s="906" t="s">
        <v>958</v>
      </c>
      <c r="E6" s="759" t="s">
        <v>960</v>
      </c>
      <c r="F6" s="817"/>
      <c r="G6" s="818"/>
    </row>
    <row r="7" spans="1:7">
      <c r="A7" s="406">
        <v>1</v>
      </c>
      <c r="B7" s="406">
        <v>2</v>
      </c>
      <c r="C7" s="774">
        <v>3</v>
      </c>
      <c r="D7" s="774">
        <v>4</v>
      </c>
      <c r="E7" s="774">
        <v>5</v>
      </c>
      <c r="F7" s="817"/>
      <c r="G7" s="818"/>
    </row>
    <row r="8" spans="1:7" ht="30">
      <c r="A8" s="406">
        <v>1</v>
      </c>
      <c r="B8" s="819" t="s">
        <v>1086</v>
      </c>
      <c r="C8" s="1055"/>
      <c r="D8" s="1055"/>
      <c r="E8" s="1055"/>
      <c r="F8" s="817"/>
      <c r="G8" s="818"/>
    </row>
    <row r="9" spans="1:7">
      <c r="A9" s="406" t="s">
        <v>883</v>
      </c>
      <c r="B9" s="406" t="s">
        <v>1087</v>
      </c>
      <c r="C9" s="1056">
        <v>1944</v>
      </c>
      <c r="D9" s="1211">
        <f t="shared" ref="D9:E11" si="0">C24</f>
        <v>2006</v>
      </c>
      <c r="E9" s="1211">
        <f t="shared" si="0"/>
        <v>2005</v>
      </c>
      <c r="F9" s="817"/>
      <c r="G9" s="818"/>
    </row>
    <row r="10" spans="1:7">
      <c r="A10" s="406" t="s">
        <v>884</v>
      </c>
      <c r="B10" s="406" t="s">
        <v>1088</v>
      </c>
      <c r="C10" s="1057">
        <v>226</v>
      </c>
      <c r="D10" s="1211">
        <f t="shared" si="0"/>
        <v>235</v>
      </c>
      <c r="E10" s="1211">
        <f t="shared" si="0"/>
        <v>234</v>
      </c>
      <c r="F10" s="817"/>
      <c r="G10" s="818"/>
    </row>
    <row r="11" spans="1:7" ht="30">
      <c r="A11" s="406" t="s">
        <v>1089</v>
      </c>
      <c r="B11" s="819" t="s">
        <v>1090</v>
      </c>
      <c r="C11" s="1055">
        <v>94</v>
      </c>
      <c r="D11" s="1211">
        <f t="shared" si="0"/>
        <v>94</v>
      </c>
      <c r="E11" s="1211">
        <f t="shared" si="0"/>
        <v>95</v>
      </c>
      <c r="F11" s="817"/>
      <c r="G11" s="818"/>
    </row>
    <row r="12" spans="1:7">
      <c r="A12" s="406"/>
      <c r="B12" s="819" t="s">
        <v>68</v>
      </c>
      <c r="C12" s="1055">
        <f>SUM(C9:C11)</f>
        <v>2264</v>
      </c>
      <c r="D12" s="1211">
        <f t="shared" ref="D12:E12" si="1">SUM(D9:D11)</f>
        <v>2335</v>
      </c>
      <c r="E12" s="1211">
        <f t="shared" si="1"/>
        <v>2334</v>
      </c>
      <c r="F12" s="817"/>
      <c r="G12" s="818"/>
    </row>
    <row r="13" spans="1:7">
      <c r="A13" s="406">
        <v>2</v>
      </c>
      <c r="B13" s="406" t="s">
        <v>1091</v>
      </c>
      <c r="C13" s="1055"/>
      <c r="D13" s="1055"/>
      <c r="E13" s="1055"/>
      <c r="F13" s="817"/>
      <c r="G13" s="818"/>
    </row>
    <row r="14" spans="1:7">
      <c r="A14" s="406" t="s">
        <v>1092</v>
      </c>
      <c r="B14" s="406" t="s">
        <v>1087</v>
      </c>
      <c r="C14" s="1055">
        <f>62+29</f>
        <v>91</v>
      </c>
      <c r="D14" s="1211">
        <v>10</v>
      </c>
      <c r="E14" s="1211">
        <f>D14*(1+5%)</f>
        <v>10.5</v>
      </c>
      <c r="F14" s="817"/>
      <c r="G14" s="818"/>
    </row>
    <row r="15" spans="1:7">
      <c r="A15" s="406" t="s">
        <v>884</v>
      </c>
      <c r="B15" s="406" t="s">
        <v>1088</v>
      </c>
      <c r="C15" s="1055">
        <v>13</v>
      </c>
      <c r="D15" s="1211">
        <v>1</v>
      </c>
      <c r="E15" s="1211">
        <f>D15*(1+5%)</f>
        <v>1.05</v>
      </c>
      <c r="F15" s="817"/>
      <c r="G15" s="818"/>
    </row>
    <row r="16" spans="1:7" ht="30">
      <c r="A16" s="406" t="s">
        <v>1089</v>
      </c>
      <c r="B16" s="819" t="s">
        <v>1090</v>
      </c>
      <c r="C16" s="1055">
        <v>0</v>
      </c>
      <c r="D16" s="1211">
        <v>1</v>
      </c>
      <c r="E16" s="1211">
        <f>D16*(1+5%)</f>
        <v>1.05</v>
      </c>
      <c r="F16" s="817"/>
      <c r="G16" s="818"/>
    </row>
    <row r="17" spans="1:7">
      <c r="A17" s="406"/>
      <c r="B17" s="819" t="s">
        <v>68</v>
      </c>
      <c r="C17" s="1055">
        <f>SUM(C14:C16)</f>
        <v>104</v>
      </c>
      <c r="D17" s="1211">
        <f>SUM(D14:D16)</f>
        <v>12</v>
      </c>
      <c r="E17" s="1211">
        <f>SUM(E14:E16)</f>
        <v>12.600000000000001</v>
      </c>
      <c r="F17" s="817"/>
      <c r="G17" s="818"/>
    </row>
    <row r="18" spans="1:7" ht="30">
      <c r="A18" s="406">
        <v>3</v>
      </c>
      <c r="B18" s="819" t="s">
        <v>1093</v>
      </c>
      <c r="C18" s="1055"/>
      <c r="D18" s="1055"/>
      <c r="E18" s="1055"/>
      <c r="F18" s="817"/>
      <c r="G18" s="818"/>
    </row>
    <row r="19" spans="1:7">
      <c r="A19" s="406" t="s">
        <v>1092</v>
      </c>
      <c r="B19" s="406" t="s">
        <v>1087</v>
      </c>
      <c r="C19" s="1055">
        <v>29</v>
      </c>
      <c r="D19" s="1211">
        <v>11</v>
      </c>
      <c r="E19" s="1211">
        <f>D19*(1+5%)</f>
        <v>11.55</v>
      </c>
      <c r="F19" s="817"/>
      <c r="G19" s="818"/>
    </row>
    <row r="20" spans="1:7">
      <c r="A20" s="406" t="s">
        <v>884</v>
      </c>
      <c r="B20" s="406" t="s">
        <v>1088</v>
      </c>
      <c r="C20" s="1055">
        <v>4</v>
      </c>
      <c r="D20" s="1211">
        <v>2</v>
      </c>
      <c r="E20" s="1211">
        <f>D20*(1+5%)</f>
        <v>2.1</v>
      </c>
      <c r="F20" s="817"/>
      <c r="G20" s="818"/>
    </row>
    <row r="21" spans="1:7" ht="30">
      <c r="A21" s="406" t="s">
        <v>1089</v>
      </c>
      <c r="B21" s="819" t="s">
        <v>1094</v>
      </c>
      <c r="C21" s="1055">
        <v>0</v>
      </c>
      <c r="D21" s="1211">
        <v>0</v>
      </c>
      <c r="E21" s="1211">
        <f>D21*(1+5%)</f>
        <v>0</v>
      </c>
      <c r="F21" s="817"/>
      <c r="G21" s="818"/>
    </row>
    <row r="22" spans="1:7">
      <c r="A22" s="406"/>
      <c r="B22" s="819" t="s">
        <v>68</v>
      </c>
      <c r="C22" s="1055">
        <f>SUM(C19:C21)</f>
        <v>33</v>
      </c>
      <c r="D22" s="1211">
        <f>SUM(D19:D21)</f>
        <v>13</v>
      </c>
      <c r="E22" s="1211">
        <f>SUM(E19:E21)</f>
        <v>13.65</v>
      </c>
      <c r="F22" s="817"/>
      <c r="G22" s="818"/>
    </row>
    <row r="23" spans="1:7" ht="30">
      <c r="A23" s="406">
        <v>4</v>
      </c>
      <c r="B23" s="819" t="s">
        <v>1095</v>
      </c>
      <c r="C23" s="1055"/>
      <c r="D23" s="1055"/>
      <c r="E23" s="1055"/>
      <c r="F23" s="817"/>
      <c r="G23" s="818"/>
    </row>
    <row r="24" spans="1:7">
      <c r="A24" s="406" t="s">
        <v>1092</v>
      </c>
      <c r="B24" s="406" t="s">
        <v>1087</v>
      </c>
      <c r="C24" s="1055">
        <f>C9+C14-C19</f>
        <v>2006</v>
      </c>
      <c r="D24" s="1211">
        <f>D9+D14-D19</f>
        <v>2005</v>
      </c>
      <c r="E24" s="1211">
        <f t="shared" ref="E24:E26" si="2">D24*(1+8.627%)</f>
        <v>2177.9713500000003</v>
      </c>
      <c r="F24" s="817"/>
      <c r="G24" s="818"/>
    </row>
    <row r="25" spans="1:7">
      <c r="A25" s="406" t="s">
        <v>884</v>
      </c>
      <c r="B25" s="406" t="s">
        <v>1088</v>
      </c>
      <c r="C25" s="1055">
        <f t="shared" ref="C25:D26" si="3">C10+C15-C20</f>
        <v>235</v>
      </c>
      <c r="D25" s="1211">
        <f t="shared" si="3"/>
        <v>234</v>
      </c>
      <c r="E25" s="1211">
        <f t="shared" si="2"/>
        <v>254.18718000000001</v>
      </c>
      <c r="F25" s="817"/>
      <c r="G25" s="818"/>
    </row>
    <row r="26" spans="1:7" ht="30">
      <c r="A26" s="406" t="s">
        <v>1089</v>
      </c>
      <c r="B26" s="819" t="s">
        <v>1094</v>
      </c>
      <c r="C26" s="1055">
        <f t="shared" si="3"/>
        <v>94</v>
      </c>
      <c r="D26" s="1211">
        <f t="shared" si="3"/>
        <v>95</v>
      </c>
      <c r="E26" s="1211">
        <f t="shared" si="2"/>
        <v>103.19565</v>
      </c>
      <c r="G26" s="818"/>
    </row>
    <row r="27" spans="1:7">
      <c r="A27" s="406"/>
      <c r="B27" s="406" t="s">
        <v>68</v>
      </c>
      <c r="C27" s="1055">
        <f>ABS(C12+C17-C22)</f>
        <v>2335</v>
      </c>
      <c r="D27" s="1056">
        <f>ABS(D12+D17-D22)</f>
        <v>2334</v>
      </c>
      <c r="E27" s="1055">
        <v>2342</v>
      </c>
      <c r="F27" s="817"/>
      <c r="G27" s="818"/>
    </row>
    <row r="28" spans="1:7">
      <c r="A28" s="820"/>
      <c r="B28" s="1764" t="s">
        <v>1096</v>
      </c>
      <c r="C28" s="1764"/>
      <c r="D28" s="1764"/>
      <c r="E28" s="1764"/>
      <c r="F28" s="1765"/>
      <c r="G28" s="818"/>
    </row>
    <row r="30" spans="1:7">
      <c r="E30" s="821"/>
    </row>
    <row r="31" spans="1:7">
      <c r="D31" s="821"/>
    </row>
    <row r="32" spans="1:7">
      <c r="D32" s="1766" t="s">
        <v>427</v>
      </c>
      <c r="E32" s="1766"/>
      <c r="F32" s="1526"/>
    </row>
  </sheetData>
  <mergeCells count="2">
    <mergeCell ref="B28:F28"/>
    <mergeCell ref="D32:F32"/>
  </mergeCells>
  <pageMargins left="0.70866141732283472" right="0.70866141732283472" top="0.74803149606299213" bottom="0.74803149606299213" header="0.31496062992125984" footer="0.31496062992125984"/>
  <pageSetup paperSize="9" scale="78"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showGridLines="0" view="pageBreakPreview" topLeftCell="A7" zoomScale="90" zoomScaleNormal="85" zoomScaleSheetLayoutView="90" workbookViewId="0">
      <selection activeCell="E9" sqref="E9"/>
    </sheetView>
  </sheetViews>
  <sheetFormatPr defaultRowHeight="15.75"/>
  <cols>
    <col min="1" max="1" width="9.140625" style="500"/>
    <col min="2" max="2" width="34.7109375" style="500" customWidth="1"/>
    <col min="3" max="3" width="14.7109375" style="500" bestFit="1" customWidth="1"/>
    <col min="4" max="4" width="18.42578125" style="500" bestFit="1" customWidth="1"/>
    <col min="5" max="5" width="15.140625" style="500" bestFit="1" customWidth="1"/>
    <col min="6" max="254" width="9.140625" style="500"/>
    <col min="255" max="255" width="27.140625" style="500" customWidth="1"/>
    <col min="256" max="256" width="11.7109375" style="500" customWidth="1"/>
    <col min="257" max="257" width="12" style="500" bestFit="1" customWidth="1"/>
    <col min="258" max="258" width="14.85546875" style="500" customWidth="1"/>
    <col min="259" max="261" width="12" style="500" bestFit="1" customWidth="1"/>
    <col min="262" max="510" width="9.140625" style="500"/>
    <col min="511" max="511" width="27.140625" style="500" customWidth="1"/>
    <col min="512" max="512" width="11.7109375" style="500" customWidth="1"/>
    <col min="513" max="513" width="12" style="500" bestFit="1" customWidth="1"/>
    <col min="514" max="514" width="14.85546875" style="500" customWidth="1"/>
    <col min="515" max="517" width="12" style="500" bestFit="1" customWidth="1"/>
    <col min="518" max="766" width="9.140625" style="500"/>
    <col min="767" max="767" width="27.140625" style="500" customWidth="1"/>
    <col min="768" max="768" width="11.7109375" style="500" customWidth="1"/>
    <col min="769" max="769" width="12" style="500" bestFit="1" customWidth="1"/>
    <col min="770" max="770" width="14.85546875" style="500" customWidth="1"/>
    <col min="771" max="773" width="12" style="500" bestFit="1" customWidth="1"/>
    <col min="774" max="1022" width="9.140625" style="500"/>
    <col min="1023" max="1023" width="27.140625" style="500" customWidth="1"/>
    <col min="1024" max="1024" width="11.7109375" style="500" customWidth="1"/>
    <col min="1025" max="1025" width="12" style="500" bestFit="1" customWidth="1"/>
    <col min="1026" max="1026" width="14.85546875" style="500" customWidth="1"/>
    <col min="1027" max="1029" width="12" style="500" bestFit="1" customWidth="1"/>
    <col min="1030" max="1278" width="9.140625" style="500"/>
    <col min="1279" max="1279" width="27.140625" style="500" customWidth="1"/>
    <col min="1280" max="1280" width="11.7109375" style="500" customWidth="1"/>
    <col min="1281" max="1281" width="12" style="500" bestFit="1" customWidth="1"/>
    <col min="1282" max="1282" width="14.85546875" style="500" customWidth="1"/>
    <col min="1283" max="1285" width="12" style="500" bestFit="1" customWidth="1"/>
    <col min="1286" max="1534" width="9.140625" style="500"/>
    <col min="1535" max="1535" width="27.140625" style="500" customWidth="1"/>
    <col min="1536" max="1536" width="11.7109375" style="500" customWidth="1"/>
    <col min="1537" max="1537" width="12" style="500" bestFit="1" customWidth="1"/>
    <col min="1538" max="1538" width="14.85546875" style="500" customWidth="1"/>
    <col min="1539" max="1541" width="12" style="500" bestFit="1" customWidth="1"/>
    <col min="1542" max="1790" width="9.140625" style="500"/>
    <col min="1791" max="1791" width="27.140625" style="500" customWidth="1"/>
    <col min="1792" max="1792" width="11.7109375" style="500" customWidth="1"/>
    <col min="1793" max="1793" width="12" style="500" bestFit="1" customWidth="1"/>
    <col min="1794" max="1794" width="14.85546875" style="500" customWidth="1"/>
    <col min="1795" max="1797" width="12" style="500" bestFit="1" customWidth="1"/>
    <col min="1798" max="2046" width="9.140625" style="500"/>
    <col min="2047" max="2047" width="27.140625" style="500" customWidth="1"/>
    <col min="2048" max="2048" width="11.7109375" style="500" customWidth="1"/>
    <col min="2049" max="2049" width="12" style="500" bestFit="1" customWidth="1"/>
    <col min="2050" max="2050" width="14.85546875" style="500" customWidth="1"/>
    <col min="2051" max="2053" width="12" style="500" bestFit="1" customWidth="1"/>
    <col min="2054" max="2302" width="9.140625" style="500"/>
    <col min="2303" max="2303" width="27.140625" style="500" customWidth="1"/>
    <col min="2304" max="2304" width="11.7109375" style="500" customWidth="1"/>
    <col min="2305" max="2305" width="12" style="500" bestFit="1" customWidth="1"/>
    <col min="2306" max="2306" width="14.85546875" style="500" customWidth="1"/>
    <col min="2307" max="2309" width="12" style="500" bestFit="1" customWidth="1"/>
    <col min="2310" max="2558" width="9.140625" style="500"/>
    <col min="2559" max="2559" width="27.140625" style="500" customWidth="1"/>
    <col min="2560" max="2560" width="11.7109375" style="500" customWidth="1"/>
    <col min="2561" max="2561" width="12" style="500" bestFit="1" customWidth="1"/>
    <col min="2562" max="2562" width="14.85546875" style="500" customWidth="1"/>
    <col min="2563" max="2565" width="12" style="500" bestFit="1" customWidth="1"/>
    <col min="2566" max="2814" width="9.140625" style="500"/>
    <col min="2815" max="2815" width="27.140625" style="500" customWidth="1"/>
    <col min="2816" max="2816" width="11.7109375" style="500" customWidth="1"/>
    <col min="2817" max="2817" width="12" style="500" bestFit="1" customWidth="1"/>
    <col min="2818" max="2818" width="14.85546875" style="500" customWidth="1"/>
    <col min="2819" max="2821" width="12" style="500" bestFit="1" customWidth="1"/>
    <col min="2822" max="3070" width="9.140625" style="500"/>
    <col min="3071" max="3071" width="27.140625" style="500" customWidth="1"/>
    <col min="3072" max="3072" width="11.7109375" style="500" customWidth="1"/>
    <col min="3073" max="3073" width="12" style="500" bestFit="1" customWidth="1"/>
    <col min="3074" max="3074" width="14.85546875" style="500" customWidth="1"/>
    <col min="3075" max="3077" width="12" style="500" bestFit="1" customWidth="1"/>
    <col min="3078" max="3326" width="9.140625" style="500"/>
    <col min="3327" max="3327" width="27.140625" style="500" customWidth="1"/>
    <col min="3328" max="3328" width="11.7109375" style="500" customWidth="1"/>
    <col min="3329" max="3329" width="12" style="500" bestFit="1" customWidth="1"/>
    <col min="3330" max="3330" width="14.85546875" style="500" customWidth="1"/>
    <col min="3331" max="3333" width="12" style="500" bestFit="1" customWidth="1"/>
    <col min="3334" max="3582" width="9.140625" style="500"/>
    <col min="3583" max="3583" width="27.140625" style="500" customWidth="1"/>
    <col min="3584" max="3584" width="11.7109375" style="500" customWidth="1"/>
    <col min="3585" max="3585" width="12" style="500" bestFit="1" customWidth="1"/>
    <col min="3586" max="3586" width="14.85546875" style="500" customWidth="1"/>
    <col min="3587" max="3589" width="12" style="500" bestFit="1" customWidth="1"/>
    <col min="3590" max="3838" width="9.140625" style="500"/>
    <col min="3839" max="3839" width="27.140625" style="500" customWidth="1"/>
    <col min="3840" max="3840" width="11.7109375" style="500" customWidth="1"/>
    <col min="3841" max="3841" width="12" style="500" bestFit="1" customWidth="1"/>
    <col min="3842" max="3842" width="14.85546875" style="500" customWidth="1"/>
    <col min="3843" max="3845" width="12" style="500" bestFit="1" customWidth="1"/>
    <col min="3846" max="4094" width="9.140625" style="500"/>
    <col min="4095" max="4095" width="27.140625" style="500" customWidth="1"/>
    <col min="4096" max="4096" width="11.7109375" style="500" customWidth="1"/>
    <col min="4097" max="4097" width="12" style="500" bestFit="1" customWidth="1"/>
    <col min="4098" max="4098" width="14.85546875" style="500" customWidth="1"/>
    <col min="4099" max="4101" width="12" style="500" bestFit="1" customWidth="1"/>
    <col min="4102" max="4350" width="9.140625" style="500"/>
    <col min="4351" max="4351" width="27.140625" style="500" customWidth="1"/>
    <col min="4352" max="4352" width="11.7109375" style="500" customWidth="1"/>
    <col min="4353" max="4353" width="12" style="500" bestFit="1" customWidth="1"/>
    <col min="4354" max="4354" width="14.85546875" style="500" customWidth="1"/>
    <col min="4355" max="4357" width="12" style="500" bestFit="1" customWidth="1"/>
    <col min="4358" max="4606" width="9.140625" style="500"/>
    <col min="4607" max="4607" width="27.140625" style="500" customWidth="1"/>
    <col min="4608" max="4608" width="11.7109375" style="500" customWidth="1"/>
    <col min="4609" max="4609" width="12" style="500" bestFit="1" customWidth="1"/>
    <col min="4610" max="4610" width="14.85546875" style="500" customWidth="1"/>
    <col min="4611" max="4613" width="12" style="500" bestFit="1" customWidth="1"/>
    <col min="4614" max="4862" width="9.140625" style="500"/>
    <col min="4863" max="4863" width="27.140625" style="500" customWidth="1"/>
    <col min="4864" max="4864" width="11.7109375" style="500" customWidth="1"/>
    <col min="4865" max="4865" width="12" style="500" bestFit="1" customWidth="1"/>
    <col min="4866" max="4866" width="14.85546875" style="500" customWidth="1"/>
    <col min="4867" max="4869" width="12" style="500" bestFit="1" customWidth="1"/>
    <col min="4870" max="5118" width="9.140625" style="500"/>
    <col min="5119" max="5119" width="27.140625" style="500" customWidth="1"/>
    <col min="5120" max="5120" width="11.7109375" style="500" customWidth="1"/>
    <col min="5121" max="5121" width="12" style="500" bestFit="1" customWidth="1"/>
    <col min="5122" max="5122" width="14.85546875" style="500" customWidth="1"/>
    <col min="5123" max="5125" width="12" style="500" bestFit="1" customWidth="1"/>
    <col min="5126" max="5374" width="9.140625" style="500"/>
    <col min="5375" max="5375" width="27.140625" style="500" customWidth="1"/>
    <col min="5376" max="5376" width="11.7109375" style="500" customWidth="1"/>
    <col min="5377" max="5377" width="12" style="500" bestFit="1" customWidth="1"/>
    <col min="5378" max="5378" width="14.85546875" style="500" customWidth="1"/>
    <col min="5379" max="5381" width="12" style="500" bestFit="1" customWidth="1"/>
    <col min="5382" max="5630" width="9.140625" style="500"/>
    <col min="5631" max="5631" width="27.140625" style="500" customWidth="1"/>
    <col min="5632" max="5632" width="11.7109375" style="500" customWidth="1"/>
    <col min="5633" max="5633" width="12" style="500" bestFit="1" customWidth="1"/>
    <col min="5634" max="5634" width="14.85546875" style="500" customWidth="1"/>
    <col min="5635" max="5637" width="12" style="500" bestFit="1" customWidth="1"/>
    <col min="5638" max="5886" width="9.140625" style="500"/>
    <col min="5887" max="5887" width="27.140625" style="500" customWidth="1"/>
    <col min="5888" max="5888" width="11.7109375" style="500" customWidth="1"/>
    <col min="5889" max="5889" width="12" style="500" bestFit="1" customWidth="1"/>
    <col min="5890" max="5890" width="14.85546875" style="500" customWidth="1"/>
    <col min="5891" max="5893" width="12" style="500" bestFit="1" customWidth="1"/>
    <col min="5894" max="6142" width="9.140625" style="500"/>
    <col min="6143" max="6143" width="27.140625" style="500" customWidth="1"/>
    <col min="6144" max="6144" width="11.7109375" style="500" customWidth="1"/>
    <col min="6145" max="6145" width="12" style="500" bestFit="1" customWidth="1"/>
    <col min="6146" max="6146" width="14.85546875" style="500" customWidth="1"/>
    <col min="6147" max="6149" width="12" style="500" bestFit="1" customWidth="1"/>
    <col min="6150" max="6398" width="9.140625" style="500"/>
    <col min="6399" max="6399" width="27.140625" style="500" customWidth="1"/>
    <col min="6400" max="6400" width="11.7109375" style="500" customWidth="1"/>
    <col min="6401" max="6401" width="12" style="500" bestFit="1" customWidth="1"/>
    <col min="6402" max="6402" width="14.85546875" style="500" customWidth="1"/>
    <col min="6403" max="6405" width="12" style="500" bestFit="1" customWidth="1"/>
    <col min="6406" max="6654" width="9.140625" style="500"/>
    <col min="6655" max="6655" width="27.140625" style="500" customWidth="1"/>
    <col min="6656" max="6656" width="11.7109375" style="500" customWidth="1"/>
    <col min="6657" max="6657" width="12" style="500" bestFit="1" customWidth="1"/>
    <col min="6658" max="6658" width="14.85546875" style="500" customWidth="1"/>
    <col min="6659" max="6661" width="12" style="500" bestFit="1" customWidth="1"/>
    <col min="6662" max="6910" width="9.140625" style="500"/>
    <col min="6911" max="6911" width="27.140625" style="500" customWidth="1"/>
    <col min="6912" max="6912" width="11.7109375" style="500" customWidth="1"/>
    <col min="6913" max="6913" width="12" style="500" bestFit="1" customWidth="1"/>
    <col min="6914" max="6914" width="14.85546875" style="500" customWidth="1"/>
    <col min="6915" max="6917" width="12" style="500" bestFit="1" customWidth="1"/>
    <col min="6918" max="7166" width="9.140625" style="500"/>
    <col min="7167" max="7167" width="27.140625" style="500" customWidth="1"/>
    <col min="7168" max="7168" width="11.7109375" style="500" customWidth="1"/>
    <col min="7169" max="7169" width="12" style="500" bestFit="1" customWidth="1"/>
    <col min="7170" max="7170" width="14.85546875" style="500" customWidth="1"/>
    <col min="7171" max="7173" width="12" style="500" bestFit="1" customWidth="1"/>
    <col min="7174" max="7422" width="9.140625" style="500"/>
    <col min="7423" max="7423" width="27.140625" style="500" customWidth="1"/>
    <col min="7424" max="7424" width="11.7109375" style="500" customWidth="1"/>
    <col min="7425" max="7425" width="12" style="500" bestFit="1" customWidth="1"/>
    <col min="7426" max="7426" width="14.85546875" style="500" customWidth="1"/>
    <col min="7427" max="7429" width="12" style="500" bestFit="1" customWidth="1"/>
    <col min="7430" max="7678" width="9.140625" style="500"/>
    <col min="7679" max="7679" width="27.140625" style="500" customWidth="1"/>
    <col min="7680" max="7680" width="11.7109375" style="500" customWidth="1"/>
    <col min="7681" max="7681" width="12" style="500" bestFit="1" customWidth="1"/>
    <col min="7682" max="7682" width="14.85546875" style="500" customWidth="1"/>
    <col min="7683" max="7685" width="12" style="500" bestFit="1" customWidth="1"/>
    <col min="7686" max="7934" width="9.140625" style="500"/>
    <col min="7935" max="7935" width="27.140625" style="500" customWidth="1"/>
    <col min="7936" max="7936" width="11.7109375" style="500" customWidth="1"/>
    <col min="7937" max="7937" width="12" style="500" bestFit="1" customWidth="1"/>
    <col min="7938" max="7938" width="14.85546875" style="500" customWidth="1"/>
    <col min="7939" max="7941" width="12" style="500" bestFit="1" customWidth="1"/>
    <col min="7942" max="8190" width="9.140625" style="500"/>
    <col min="8191" max="8191" width="27.140625" style="500" customWidth="1"/>
    <col min="8192" max="8192" width="11.7109375" style="500" customWidth="1"/>
    <col min="8193" max="8193" width="12" style="500" bestFit="1" customWidth="1"/>
    <col min="8194" max="8194" width="14.85546875" style="500" customWidth="1"/>
    <col min="8195" max="8197" width="12" style="500" bestFit="1" customWidth="1"/>
    <col min="8198" max="8446" width="9.140625" style="500"/>
    <col min="8447" max="8447" width="27.140625" style="500" customWidth="1"/>
    <col min="8448" max="8448" width="11.7109375" style="500" customWidth="1"/>
    <col min="8449" max="8449" width="12" style="500" bestFit="1" customWidth="1"/>
    <col min="8450" max="8450" width="14.85546875" style="500" customWidth="1"/>
    <col min="8451" max="8453" width="12" style="500" bestFit="1" customWidth="1"/>
    <col min="8454" max="8702" width="9.140625" style="500"/>
    <col min="8703" max="8703" width="27.140625" style="500" customWidth="1"/>
    <col min="8704" max="8704" width="11.7109375" style="500" customWidth="1"/>
    <col min="8705" max="8705" width="12" style="500" bestFit="1" customWidth="1"/>
    <col min="8706" max="8706" width="14.85546875" style="500" customWidth="1"/>
    <col min="8707" max="8709" width="12" style="500" bestFit="1" customWidth="1"/>
    <col min="8710" max="8958" width="9.140625" style="500"/>
    <col min="8959" max="8959" width="27.140625" style="500" customWidth="1"/>
    <col min="8960" max="8960" width="11.7109375" style="500" customWidth="1"/>
    <col min="8961" max="8961" width="12" style="500" bestFit="1" customWidth="1"/>
    <col min="8962" max="8962" width="14.85546875" style="500" customWidth="1"/>
    <col min="8963" max="8965" width="12" style="500" bestFit="1" customWidth="1"/>
    <col min="8966" max="9214" width="9.140625" style="500"/>
    <col min="9215" max="9215" width="27.140625" style="500" customWidth="1"/>
    <col min="9216" max="9216" width="11.7109375" style="500" customWidth="1"/>
    <col min="9217" max="9217" width="12" style="500" bestFit="1" customWidth="1"/>
    <col min="9218" max="9218" width="14.85546875" style="500" customWidth="1"/>
    <col min="9219" max="9221" width="12" style="500" bestFit="1" customWidth="1"/>
    <col min="9222" max="9470" width="9.140625" style="500"/>
    <col min="9471" max="9471" width="27.140625" style="500" customWidth="1"/>
    <col min="9472" max="9472" width="11.7109375" style="500" customWidth="1"/>
    <col min="9473" max="9473" width="12" style="500" bestFit="1" customWidth="1"/>
    <col min="9474" max="9474" width="14.85546875" style="500" customWidth="1"/>
    <col min="9475" max="9477" width="12" style="500" bestFit="1" customWidth="1"/>
    <col min="9478" max="9726" width="9.140625" style="500"/>
    <col min="9727" max="9727" width="27.140625" style="500" customWidth="1"/>
    <col min="9728" max="9728" width="11.7109375" style="500" customWidth="1"/>
    <col min="9729" max="9729" width="12" style="500" bestFit="1" customWidth="1"/>
    <col min="9730" max="9730" width="14.85546875" style="500" customWidth="1"/>
    <col min="9731" max="9733" width="12" style="500" bestFit="1" customWidth="1"/>
    <col min="9734" max="9982" width="9.140625" style="500"/>
    <col min="9983" max="9983" width="27.140625" style="500" customWidth="1"/>
    <col min="9984" max="9984" width="11.7109375" style="500" customWidth="1"/>
    <col min="9985" max="9985" width="12" style="500" bestFit="1" customWidth="1"/>
    <col min="9986" max="9986" width="14.85546875" style="500" customWidth="1"/>
    <col min="9987" max="9989" width="12" style="500" bestFit="1" customWidth="1"/>
    <col min="9990" max="10238" width="9.140625" style="500"/>
    <col min="10239" max="10239" width="27.140625" style="500" customWidth="1"/>
    <col min="10240" max="10240" width="11.7109375" style="500" customWidth="1"/>
    <col min="10241" max="10241" width="12" style="500" bestFit="1" customWidth="1"/>
    <col min="10242" max="10242" width="14.85546875" style="500" customWidth="1"/>
    <col min="10243" max="10245" width="12" style="500" bestFit="1" customWidth="1"/>
    <col min="10246" max="10494" width="9.140625" style="500"/>
    <col min="10495" max="10495" width="27.140625" style="500" customWidth="1"/>
    <col min="10496" max="10496" width="11.7109375" style="500" customWidth="1"/>
    <col min="10497" max="10497" width="12" style="500" bestFit="1" customWidth="1"/>
    <col min="10498" max="10498" width="14.85546875" style="500" customWidth="1"/>
    <col min="10499" max="10501" width="12" style="500" bestFit="1" customWidth="1"/>
    <col min="10502" max="10750" width="9.140625" style="500"/>
    <col min="10751" max="10751" width="27.140625" style="500" customWidth="1"/>
    <col min="10752" max="10752" width="11.7109375" style="500" customWidth="1"/>
    <col min="10753" max="10753" width="12" style="500" bestFit="1" customWidth="1"/>
    <col min="10754" max="10754" width="14.85546875" style="500" customWidth="1"/>
    <col min="10755" max="10757" width="12" style="500" bestFit="1" customWidth="1"/>
    <col min="10758" max="11006" width="9.140625" style="500"/>
    <col min="11007" max="11007" width="27.140625" style="500" customWidth="1"/>
    <col min="11008" max="11008" width="11.7109375" style="500" customWidth="1"/>
    <col min="11009" max="11009" width="12" style="500" bestFit="1" customWidth="1"/>
    <col min="11010" max="11010" width="14.85546875" style="500" customWidth="1"/>
    <col min="11011" max="11013" width="12" style="500" bestFit="1" customWidth="1"/>
    <col min="11014" max="11262" width="9.140625" style="500"/>
    <col min="11263" max="11263" width="27.140625" style="500" customWidth="1"/>
    <col min="11264" max="11264" width="11.7109375" style="500" customWidth="1"/>
    <col min="11265" max="11265" width="12" style="500" bestFit="1" customWidth="1"/>
    <col min="11266" max="11266" width="14.85546875" style="500" customWidth="1"/>
    <col min="11267" max="11269" width="12" style="500" bestFit="1" customWidth="1"/>
    <col min="11270" max="11518" width="9.140625" style="500"/>
    <col min="11519" max="11519" width="27.140625" style="500" customWidth="1"/>
    <col min="11520" max="11520" width="11.7109375" style="500" customWidth="1"/>
    <col min="11521" max="11521" width="12" style="500" bestFit="1" customWidth="1"/>
    <col min="11522" max="11522" width="14.85546875" style="500" customWidth="1"/>
    <col min="11523" max="11525" width="12" style="500" bestFit="1" customWidth="1"/>
    <col min="11526" max="11774" width="9.140625" style="500"/>
    <col min="11775" max="11775" width="27.140625" style="500" customWidth="1"/>
    <col min="11776" max="11776" width="11.7109375" style="500" customWidth="1"/>
    <col min="11777" max="11777" width="12" style="500" bestFit="1" customWidth="1"/>
    <col min="11778" max="11778" width="14.85546875" style="500" customWidth="1"/>
    <col min="11779" max="11781" width="12" style="500" bestFit="1" customWidth="1"/>
    <col min="11782" max="12030" width="9.140625" style="500"/>
    <col min="12031" max="12031" width="27.140625" style="500" customWidth="1"/>
    <col min="12032" max="12032" width="11.7109375" style="500" customWidth="1"/>
    <col min="12033" max="12033" width="12" style="500" bestFit="1" customWidth="1"/>
    <col min="12034" max="12034" width="14.85546875" style="500" customWidth="1"/>
    <col min="12035" max="12037" width="12" style="500" bestFit="1" customWidth="1"/>
    <col min="12038" max="12286" width="9.140625" style="500"/>
    <col min="12287" max="12287" width="27.140625" style="500" customWidth="1"/>
    <col min="12288" max="12288" width="11.7109375" style="500" customWidth="1"/>
    <col min="12289" max="12289" width="12" style="500" bestFit="1" customWidth="1"/>
    <col min="12290" max="12290" width="14.85546875" style="500" customWidth="1"/>
    <col min="12291" max="12293" width="12" style="500" bestFit="1" customWidth="1"/>
    <col min="12294" max="12542" width="9.140625" style="500"/>
    <col min="12543" max="12543" width="27.140625" style="500" customWidth="1"/>
    <col min="12544" max="12544" width="11.7109375" style="500" customWidth="1"/>
    <col min="12545" max="12545" width="12" style="500" bestFit="1" customWidth="1"/>
    <col min="12546" max="12546" width="14.85546875" style="500" customWidth="1"/>
    <col min="12547" max="12549" width="12" style="500" bestFit="1" customWidth="1"/>
    <col min="12550" max="12798" width="9.140625" style="500"/>
    <col min="12799" max="12799" width="27.140625" style="500" customWidth="1"/>
    <col min="12800" max="12800" width="11.7109375" style="500" customWidth="1"/>
    <col min="12801" max="12801" width="12" style="500" bestFit="1" customWidth="1"/>
    <col min="12802" max="12802" width="14.85546875" style="500" customWidth="1"/>
    <col min="12803" max="12805" width="12" style="500" bestFit="1" customWidth="1"/>
    <col min="12806" max="13054" width="9.140625" style="500"/>
    <col min="13055" max="13055" width="27.140625" style="500" customWidth="1"/>
    <col min="13056" max="13056" width="11.7109375" style="500" customWidth="1"/>
    <col min="13057" max="13057" width="12" style="500" bestFit="1" customWidth="1"/>
    <col min="13058" max="13058" width="14.85546875" style="500" customWidth="1"/>
    <col min="13059" max="13061" width="12" style="500" bestFit="1" customWidth="1"/>
    <col min="13062" max="13310" width="9.140625" style="500"/>
    <col min="13311" max="13311" width="27.140625" style="500" customWidth="1"/>
    <col min="13312" max="13312" width="11.7109375" style="500" customWidth="1"/>
    <col min="13313" max="13313" width="12" style="500" bestFit="1" customWidth="1"/>
    <col min="13314" max="13314" width="14.85546875" style="500" customWidth="1"/>
    <col min="13315" max="13317" width="12" style="500" bestFit="1" customWidth="1"/>
    <col min="13318" max="13566" width="9.140625" style="500"/>
    <col min="13567" max="13567" width="27.140625" style="500" customWidth="1"/>
    <col min="13568" max="13568" width="11.7109375" style="500" customWidth="1"/>
    <col min="13569" max="13569" width="12" style="500" bestFit="1" customWidth="1"/>
    <col min="13570" max="13570" width="14.85546875" style="500" customWidth="1"/>
    <col min="13571" max="13573" width="12" style="500" bestFit="1" customWidth="1"/>
    <col min="13574" max="13822" width="9.140625" style="500"/>
    <col min="13823" max="13823" width="27.140625" style="500" customWidth="1"/>
    <col min="13824" max="13824" width="11.7109375" style="500" customWidth="1"/>
    <col min="13825" max="13825" width="12" style="500" bestFit="1" customWidth="1"/>
    <col min="13826" max="13826" width="14.85546875" style="500" customWidth="1"/>
    <col min="13827" max="13829" width="12" style="500" bestFit="1" customWidth="1"/>
    <col min="13830" max="14078" width="9.140625" style="500"/>
    <col min="14079" max="14079" width="27.140625" style="500" customWidth="1"/>
    <col min="14080" max="14080" width="11.7109375" style="500" customWidth="1"/>
    <col min="14081" max="14081" width="12" style="500" bestFit="1" customWidth="1"/>
    <col min="14082" max="14082" width="14.85546875" style="500" customWidth="1"/>
    <col min="14083" max="14085" width="12" style="500" bestFit="1" customWidth="1"/>
    <col min="14086" max="14334" width="9.140625" style="500"/>
    <col min="14335" max="14335" width="27.140625" style="500" customWidth="1"/>
    <col min="14336" max="14336" width="11.7109375" style="500" customWidth="1"/>
    <col min="14337" max="14337" width="12" style="500" bestFit="1" customWidth="1"/>
    <col min="14338" max="14338" width="14.85546875" style="500" customWidth="1"/>
    <col min="14339" max="14341" width="12" style="500" bestFit="1" customWidth="1"/>
    <col min="14342" max="14590" width="9.140625" style="500"/>
    <col min="14591" max="14591" width="27.140625" style="500" customWidth="1"/>
    <col min="14592" max="14592" width="11.7109375" style="500" customWidth="1"/>
    <col min="14593" max="14593" width="12" style="500" bestFit="1" customWidth="1"/>
    <col min="14594" max="14594" width="14.85546875" style="500" customWidth="1"/>
    <col min="14595" max="14597" width="12" style="500" bestFit="1" customWidth="1"/>
    <col min="14598" max="14846" width="9.140625" style="500"/>
    <col min="14847" max="14847" width="27.140625" style="500" customWidth="1"/>
    <col min="14848" max="14848" width="11.7109375" style="500" customWidth="1"/>
    <col min="14849" max="14849" width="12" style="500" bestFit="1" customWidth="1"/>
    <col min="14850" max="14850" width="14.85546875" style="500" customWidth="1"/>
    <col min="14851" max="14853" width="12" style="500" bestFit="1" customWidth="1"/>
    <col min="14854" max="15102" width="9.140625" style="500"/>
    <col min="15103" max="15103" width="27.140625" style="500" customWidth="1"/>
    <col min="15104" max="15104" width="11.7109375" style="500" customWidth="1"/>
    <col min="15105" max="15105" width="12" style="500" bestFit="1" customWidth="1"/>
    <col min="15106" max="15106" width="14.85546875" style="500" customWidth="1"/>
    <col min="15107" max="15109" width="12" style="500" bestFit="1" customWidth="1"/>
    <col min="15110" max="15358" width="9.140625" style="500"/>
    <col min="15359" max="15359" width="27.140625" style="500" customWidth="1"/>
    <col min="15360" max="15360" width="11.7109375" style="500" customWidth="1"/>
    <col min="15361" max="15361" width="12" style="500" bestFit="1" customWidth="1"/>
    <col min="15362" max="15362" width="14.85546875" style="500" customWidth="1"/>
    <col min="15363" max="15365" width="12" style="500" bestFit="1" customWidth="1"/>
    <col min="15366" max="15614" width="9.140625" style="500"/>
    <col min="15615" max="15615" width="27.140625" style="500" customWidth="1"/>
    <col min="15616" max="15616" width="11.7109375" style="500" customWidth="1"/>
    <col min="15617" max="15617" width="12" style="500" bestFit="1" customWidth="1"/>
    <col min="15618" max="15618" width="14.85546875" style="500" customWidth="1"/>
    <col min="15619" max="15621" width="12" style="500" bestFit="1" customWidth="1"/>
    <col min="15622" max="15870" width="9.140625" style="500"/>
    <col min="15871" max="15871" width="27.140625" style="500" customWidth="1"/>
    <col min="15872" max="15872" width="11.7109375" style="500" customWidth="1"/>
    <col min="15873" max="15873" width="12" style="500" bestFit="1" customWidth="1"/>
    <col min="15874" max="15874" width="14.85546875" style="500" customWidth="1"/>
    <col min="15875" max="15877" width="12" style="500" bestFit="1" customWidth="1"/>
    <col min="15878" max="16126" width="9.140625" style="500"/>
    <col min="16127" max="16127" width="27.140625" style="500" customWidth="1"/>
    <col min="16128" max="16128" width="11.7109375" style="500" customWidth="1"/>
    <col min="16129" max="16129" width="12" style="500" bestFit="1" customWidth="1"/>
    <col min="16130" max="16130" width="14.85546875" style="500" customWidth="1"/>
    <col min="16131" max="16133" width="12" style="500" bestFit="1" customWidth="1"/>
    <col min="16134" max="16384" width="9.140625" style="500"/>
  </cols>
  <sheetData>
    <row r="1" spans="1:6">
      <c r="A1" s="516" t="s">
        <v>1233</v>
      </c>
      <c r="B1" s="516"/>
      <c r="C1" s="516"/>
      <c r="D1" s="516"/>
      <c r="E1" s="516"/>
      <c r="F1" s="503"/>
    </row>
    <row r="2" spans="1:6">
      <c r="A2" s="516"/>
      <c r="B2" s="516"/>
      <c r="C2" s="516"/>
      <c r="E2" s="516"/>
      <c r="F2" s="503"/>
    </row>
    <row r="3" spans="1:6">
      <c r="A3" s="516" t="s">
        <v>1097</v>
      </c>
      <c r="B3" s="516"/>
      <c r="C3" s="516"/>
      <c r="D3" s="516"/>
      <c r="E3" s="516" t="s">
        <v>943</v>
      </c>
      <c r="F3" s="503"/>
    </row>
    <row r="4" spans="1:6">
      <c r="A4" s="516"/>
      <c r="B4" s="516"/>
      <c r="C4" s="516"/>
      <c r="D4" s="516"/>
      <c r="E4" s="516"/>
      <c r="F4" s="503"/>
    </row>
    <row r="5" spans="1:6">
      <c r="A5" s="1767" t="s">
        <v>651</v>
      </c>
      <c r="B5" s="1767" t="s">
        <v>1076</v>
      </c>
      <c r="C5" s="1414" t="s">
        <v>677</v>
      </c>
      <c r="D5" s="502" t="s">
        <v>678</v>
      </c>
      <c r="E5" s="505" t="s">
        <v>679</v>
      </c>
      <c r="F5" s="503"/>
    </row>
    <row r="6" spans="1:6" ht="31.5">
      <c r="A6" s="1768"/>
      <c r="B6" s="1768"/>
      <c r="C6" s="1414"/>
      <c r="D6" s="501" t="s">
        <v>1098</v>
      </c>
      <c r="E6" s="501" t="s">
        <v>1099</v>
      </c>
      <c r="F6" s="503"/>
    </row>
    <row r="7" spans="1:6" ht="31.5">
      <c r="A7" s="1413"/>
      <c r="B7" s="1413"/>
      <c r="C7" s="755" t="s">
        <v>1346</v>
      </c>
      <c r="D7" s="502" t="s">
        <v>1173</v>
      </c>
      <c r="E7" s="527" t="s">
        <v>1174</v>
      </c>
      <c r="F7" s="503"/>
    </row>
    <row r="8" spans="1:6">
      <c r="A8" s="502">
        <v>1</v>
      </c>
      <c r="B8" s="502">
        <v>2</v>
      </c>
      <c r="C8" s="502">
        <v>4</v>
      </c>
      <c r="D8" s="502">
        <v>5</v>
      </c>
      <c r="E8" s="502">
        <v>6</v>
      </c>
      <c r="F8" s="503"/>
    </row>
    <row r="9" spans="1:6">
      <c r="A9" s="502">
        <v>1</v>
      </c>
      <c r="B9" s="502" t="s">
        <v>1100</v>
      </c>
      <c r="C9" s="1099">
        <f>'F14-3'!C27</f>
        <v>2335</v>
      </c>
      <c r="D9" s="1099">
        <f>'F14-3'!D27</f>
        <v>2334</v>
      </c>
      <c r="E9" s="1099">
        <f>'F14-3'!E27</f>
        <v>2342</v>
      </c>
      <c r="F9" s="503"/>
    </row>
    <row r="10" spans="1:6">
      <c r="A10" s="502">
        <v>2</v>
      </c>
      <c r="B10" s="502" t="s">
        <v>680</v>
      </c>
      <c r="C10" s="993">
        <f>'F14-1'!E25</f>
        <v>144</v>
      </c>
      <c r="D10" s="993">
        <f>'F14-1'!I25</f>
        <v>146</v>
      </c>
      <c r="E10" s="993">
        <f>'F14-1'!K25</f>
        <v>146</v>
      </c>
      <c r="F10" s="503"/>
    </row>
    <row r="11" spans="1:6" ht="47.25">
      <c r="A11" s="502">
        <v>3</v>
      </c>
      <c r="B11" s="501" t="s">
        <v>1101</v>
      </c>
      <c r="C11" s="1098">
        <f>7240+14040</f>
        <v>21280</v>
      </c>
      <c r="D11" s="1098">
        <f>7700+14850</f>
        <v>22550</v>
      </c>
      <c r="E11" s="1098">
        <f>D11*(1+5%)</f>
        <v>23677.5</v>
      </c>
      <c r="F11" s="503"/>
    </row>
    <row r="12" spans="1:6" ht="31.5">
      <c r="A12" s="502">
        <v>4</v>
      </c>
      <c r="B12" s="501" t="s">
        <v>1102</v>
      </c>
      <c r="C12" s="1098">
        <f>'F14-1'!E23</f>
        <v>16693.599999999999</v>
      </c>
      <c r="D12" s="1098">
        <f>'F14-1'!I23</f>
        <v>16856.66</v>
      </c>
      <c r="E12" s="1098">
        <f>'F14-1'!K23</f>
        <v>16856.66</v>
      </c>
      <c r="F12" s="503"/>
    </row>
    <row r="13" spans="1:6" ht="31.5">
      <c r="A13" s="502">
        <v>5</v>
      </c>
      <c r="B13" s="501" t="s">
        <v>1103</v>
      </c>
      <c r="C13" s="1098">
        <f>'P1'!D32/1000000</f>
        <v>31539.896769999999</v>
      </c>
      <c r="D13" s="1098">
        <f>C13*(1+5%)</f>
        <v>33116.891608500002</v>
      </c>
      <c r="E13" s="1098">
        <f>D13*(1+5%)</f>
        <v>34772.736188925002</v>
      </c>
      <c r="F13" s="503"/>
    </row>
    <row r="14" spans="1:6" ht="31.5">
      <c r="A14" s="502">
        <v>6</v>
      </c>
      <c r="B14" s="501" t="s">
        <v>1104</v>
      </c>
      <c r="C14" s="544">
        <f>C13/C9</f>
        <v>13.507450436830835</v>
      </c>
      <c r="D14" s="544">
        <f>D13/D9</f>
        <v>14.188899575192803</v>
      </c>
      <c r="E14" s="544">
        <f>E13/E9</f>
        <v>14.847453539250642</v>
      </c>
      <c r="F14" s="503"/>
    </row>
    <row r="15" spans="1:6">
      <c r="A15" s="502">
        <v>7</v>
      </c>
      <c r="B15" s="501" t="s">
        <v>1105</v>
      </c>
      <c r="C15" s="561">
        <f>'F14-1'!E37</f>
        <v>188.70411387605893</v>
      </c>
      <c r="D15" s="561">
        <f>'F14-1'!I37</f>
        <v>211.86081281817502</v>
      </c>
      <c r="E15" s="561">
        <f>'F14-1'!K37</f>
        <v>235.15158617980126</v>
      </c>
      <c r="F15" s="503"/>
    </row>
    <row r="16" spans="1:6" ht="31.5">
      <c r="A16" s="502">
        <v>8</v>
      </c>
      <c r="B16" s="501" t="s">
        <v>1106</v>
      </c>
      <c r="C16" s="544">
        <f>C15/C13</f>
        <v>5.9830288999407821E-3</v>
      </c>
      <c r="D16" s="544">
        <f t="shared" ref="D16:E16" si="0">D15/D13</f>
        <v>6.3973640800212483E-3</v>
      </c>
      <c r="E16" s="544">
        <f t="shared" si="0"/>
        <v>6.7625275417554356E-3</v>
      </c>
      <c r="F16" s="503"/>
    </row>
    <row r="17" spans="1:6">
      <c r="A17" s="503"/>
      <c r="B17" s="503"/>
      <c r="C17" s="503"/>
      <c r="D17" s="503"/>
      <c r="E17" s="503"/>
      <c r="F17" s="503"/>
    </row>
    <row r="18" spans="1:6">
      <c r="A18" s="503"/>
      <c r="B18" s="503"/>
      <c r="C18" s="503"/>
      <c r="D18" s="503"/>
      <c r="E18" s="503"/>
      <c r="F18" s="503"/>
    </row>
    <row r="19" spans="1:6">
      <c r="A19" s="503"/>
      <c r="B19" s="503"/>
      <c r="C19" s="1741" t="s">
        <v>427</v>
      </c>
      <c r="D19" s="1741"/>
      <c r="E19" s="1742"/>
      <c r="F19" s="503"/>
    </row>
    <row r="20" spans="1:6">
      <c r="A20" s="503"/>
      <c r="B20" s="503"/>
      <c r="C20" s="503"/>
      <c r="D20" s="503"/>
      <c r="E20" s="503"/>
      <c r="F20" s="503"/>
    </row>
    <row r="21" spans="1:6">
      <c r="A21" s="503"/>
      <c r="B21" s="503"/>
      <c r="C21" s="503"/>
      <c r="D21" s="503"/>
      <c r="E21" s="503"/>
      <c r="F21" s="503"/>
    </row>
  </sheetData>
  <mergeCells count="4">
    <mergeCell ref="C19:E19"/>
    <mergeCell ref="C5:C6"/>
    <mergeCell ref="A5:A7"/>
    <mergeCell ref="B5:B7"/>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pageSetUpPr fitToPage="1"/>
  </sheetPr>
  <dimension ref="A1:H41"/>
  <sheetViews>
    <sheetView showGridLines="0" view="pageBreakPreview" topLeftCell="C1" zoomScale="80" zoomScaleNormal="100" zoomScaleSheetLayoutView="80" workbookViewId="0">
      <selection activeCell="F12" sqref="F12"/>
    </sheetView>
  </sheetViews>
  <sheetFormatPr defaultColWidth="9.140625" defaultRowHeight="15.75"/>
  <cols>
    <col min="1" max="1" width="3.7109375" style="75" customWidth="1"/>
    <col min="2" max="2" width="34.5703125" style="75" customWidth="1"/>
    <col min="3" max="4" width="18.140625" style="75" customWidth="1"/>
    <col min="5" max="6" width="18.5703125" style="75" customWidth="1"/>
    <col min="7" max="8" width="16.28515625" style="75" customWidth="1"/>
    <col min="9" max="16384" width="9.140625" style="75"/>
  </cols>
  <sheetData>
    <row r="1" spans="1:8" ht="21" customHeight="1">
      <c r="A1" s="1545" t="s">
        <v>1233</v>
      </c>
      <c r="B1" s="1545"/>
      <c r="C1" s="1545"/>
      <c r="D1" s="1545"/>
      <c r="E1" s="1545"/>
      <c r="F1" s="1545"/>
    </row>
    <row r="2" spans="1:8" ht="21" customHeight="1">
      <c r="A2" s="1391" t="s">
        <v>25</v>
      </c>
      <c r="B2" s="1391"/>
      <c r="C2" s="610"/>
      <c r="D2" s="610"/>
      <c r="E2" s="610"/>
      <c r="F2" s="769"/>
      <c r="G2" s="1552" t="s">
        <v>777</v>
      </c>
      <c r="H2" s="1552"/>
    </row>
    <row r="3" spans="1:8" ht="21" customHeight="1">
      <c r="A3" s="611"/>
      <c r="B3" s="611"/>
      <c r="C3" s="611"/>
      <c r="D3" s="611"/>
      <c r="E3" s="611"/>
      <c r="F3" s="768"/>
    </row>
    <row r="4" spans="1:8" ht="30.75" customHeight="1">
      <c r="A4" s="1769"/>
      <c r="B4" s="1770" t="s">
        <v>48</v>
      </c>
      <c r="C4" s="1365" t="s">
        <v>1916</v>
      </c>
      <c r="D4" s="1365"/>
      <c r="E4" s="1758" t="s">
        <v>1917</v>
      </c>
      <c r="F4" s="1758"/>
      <c r="G4" s="1365" t="s">
        <v>1918</v>
      </c>
      <c r="H4" s="1365"/>
    </row>
    <row r="5" spans="1:8" ht="42.75" customHeight="1">
      <c r="A5" s="1769"/>
      <c r="B5" s="1770"/>
      <c r="C5" s="455" t="s">
        <v>1235</v>
      </c>
      <c r="D5" s="328" t="s">
        <v>1236</v>
      </c>
      <c r="E5" s="455" t="s">
        <v>1235</v>
      </c>
      <c r="F5" s="459" t="s">
        <v>1241</v>
      </c>
      <c r="G5" s="455" t="s">
        <v>1235</v>
      </c>
      <c r="H5" s="455" t="s">
        <v>1243</v>
      </c>
    </row>
    <row r="6" spans="1:8">
      <c r="A6" s="624">
        <v>1</v>
      </c>
      <c r="B6" s="625" t="s">
        <v>632</v>
      </c>
      <c r="C6" s="540">
        <v>7112.1</v>
      </c>
      <c r="D6" s="627">
        <f>'F7-2'!D30</f>
        <v>6202.3945954709998</v>
      </c>
      <c r="E6" s="543">
        <v>7579.23</v>
      </c>
      <c r="F6" s="543">
        <f>'F7-2'!H30</f>
        <v>8082.5343137020009</v>
      </c>
      <c r="G6" s="543">
        <v>10255.58</v>
      </c>
      <c r="H6" s="543">
        <f>'F7-2'!J30</f>
        <v>9715.0774257020003</v>
      </c>
    </row>
    <row r="7" spans="1:8" ht="31.5" customHeight="1">
      <c r="A7" s="624">
        <v>2</v>
      </c>
      <c r="B7" s="625" t="s">
        <v>370</v>
      </c>
      <c r="C7" s="995">
        <v>1.3599999999999999E-2</v>
      </c>
      <c r="D7" s="995">
        <v>1.3599999999999999E-2</v>
      </c>
      <c r="E7" s="638">
        <f>C7</f>
        <v>1.3599999999999999E-2</v>
      </c>
      <c r="F7" s="638">
        <f>E7</f>
        <v>1.3599999999999999E-2</v>
      </c>
      <c r="G7" s="638">
        <f>E7</f>
        <v>1.3599999999999999E-2</v>
      </c>
      <c r="H7" s="638">
        <f>G7</f>
        <v>1.3599999999999999E-2</v>
      </c>
    </row>
    <row r="8" spans="1:8" ht="31.5">
      <c r="A8" s="624">
        <v>3</v>
      </c>
      <c r="B8" s="625" t="s">
        <v>371</v>
      </c>
      <c r="C8" s="541">
        <f>(C6*C7)+0.01</f>
        <v>96.734560000000002</v>
      </c>
      <c r="D8" s="541">
        <f>(D6*D7)</f>
        <v>84.352566498405594</v>
      </c>
      <c r="E8" s="541">
        <f>(E6*E7)</f>
        <v>103.07752799999999</v>
      </c>
      <c r="F8" s="541">
        <f>(F6*F7)</f>
        <v>109.9224666663472</v>
      </c>
      <c r="G8" s="541">
        <f>(G6*G7)</f>
        <v>139.475888</v>
      </c>
      <c r="H8" s="541">
        <f>H6*H7</f>
        <v>132.12505298954719</v>
      </c>
    </row>
    <row r="9" spans="1:8">
      <c r="A9" s="624"/>
      <c r="B9" s="625"/>
      <c r="C9" s="540"/>
      <c r="D9" s="540"/>
      <c r="E9" s="540"/>
      <c r="F9" s="148"/>
      <c r="G9" s="148"/>
      <c r="H9" s="148"/>
    </row>
    <row r="10" spans="1:8">
      <c r="A10" s="624">
        <v>4</v>
      </c>
      <c r="B10" s="625" t="s">
        <v>2298</v>
      </c>
      <c r="C10" s="540"/>
      <c r="D10" s="540">
        <f>D33</f>
        <v>32.600040204000003</v>
      </c>
      <c r="E10" s="540"/>
      <c r="F10" s="148"/>
      <c r="G10" s="148"/>
      <c r="H10" s="148"/>
    </row>
    <row r="11" spans="1:8">
      <c r="A11" s="624">
        <v>5</v>
      </c>
      <c r="B11" s="625" t="s">
        <v>1348</v>
      </c>
      <c r="C11" s="635"/>
      <c r="D11" s="540"/>
      <c r="E11" s="540"/>
      <c r="F11" s="148"/>
      <c r="G11" s="148"/>
      <c r="H11" s="148"/>
    </row>
    <row r="12" spans="1:8">
      <c r="A12" s="624">
        <v>6</v>
      </c>
      <c r="B12" s="625" t="s">
        <v>1349</v>
      </c>
      <c r="C12" s="540"/>
      <c r="D12" s="540">
        <f>D10*D11</f>
        <v>0</v>
      </c>
      <c r="E12" s="540"/>
      <c r="F12" s="148"/>
      <c r="G12" s="148"/>
      <c r="H12" s="148"/>
    </row>
    <row r="13" spans="1:8">
      <c r="A13" s="624">
        <v>7</v>
      </c>
      <c r="B13" s="625" t="s">
        <v>25</v>
      </c>
      <c r="C13" s="540">
        <f>C8</f>
        <v>96.734560000000002</v>
      </c>
      <c r="D13" s="540">
        <f t="shared" ref="D13:F13" si="0">D8</f>
        <v>84.352566498405594</v>
      </c>
      <c r="E13" s="540">
        <f t="shared" si="0"/>
        <v>103.07752799999999</v>
      </c>
      <c r="F13" s="540">
        <f t="shared" si="0"/>
        <v>109.9224666663472</v>
      </c>
      <c r="G13" s="540">
        <f>G8</f>
        <v>139.475888</v>
      </c>
      <c r="H13" s="540">
        <f>H8</f>
        <v>132.12505298954719</v>
      </c>
    </row>
    <row r="14" spans="1:8" ht="21" customHeight="1" thickBot="1">
      <c r="A14" s="628"/>
      <c r="B14" s="629"/>
      <c r="C14" s="630"/>
      <c r="D14" s="630"/>
      <c r="E14" s="630"/>
      <c r="F14" s="630"/>
    </row>
    <row r="15" spans="1:8" ht="47.25" customHeight="1" thickTop="1">
      <c r="A15" s="1771" t="s">
        <v>644</v>
      </c>
      <c r="B15" s="1771"/>
      <c r="C15" s="1771"/>
      <c r="D15" s="1771"/>
      <c r="E15" s="1771"/>
      <c r="F15" s="1771"/>
    </row>
    <row r="16" spans="1:8" ht="47.25" customHeight="1">
      <c r="A16" s="553"/>
      <c r="B16" s="553"/>
      <c r="C16" s="553"/>
      <c r="D16" s="553"/>
      <c r="E16" s="553"/>
      <c r="F16" s="553"/>
    </row>
    <row r="17" spans="1:6" ht="21" customHeight="1">
      <c r="A17" s="1772" t="s">
        <v>703</v>
      </c>
      <c r="B17" s="1772"/>
      <c r="C17" s="1772"/>
      <c r="D17" s="1772"/>
      <c r="E17" s="1772"/>
      <c r="F17" s="631"/>
    </row>
    <row r="18" spans="1:6" s="77" customFormat="1" ht="21" customHeight="1">
      <c r="A18" s="633"/>
      <c r="B18" s="633"/>
      <c r="C18" s="633"/>
      <c r="D18" s="633"/>
      <c r="E18" s="633"/>
      <c r="F18" s="634"/>
    </row>
    <row r="19" spans="1:6" ht="32.25" customHeight="1">
      <c r="A19" s="1769"/>
      <c r="B19" s="1770" t="s">
        <v>48</v>
      </c>
      <c r="C19" s="1365" t="s">
        <v>1923</v>
      </c>
      <c r="D19" s="1365"/>
    </row>
    <row r="20" spans="1:6" ht="31.5">
      <c r="A20" s="1769"/>
      <c r="B20" s="1770"/>
      <c r="C20" s="455" t="s">
        <v>1235</v>
      </c>
      <c r="D20" s="328" t="s">
        <v>1919</v>
      </c>
    </row>
    <row r="21" spans="1:6" ht="21" customHeight="1">
      <c r="A21" s="526">
        <v>1</v>
      </c>
      <c r="B21" s="562" t="s">
        <v>681</v>
      </c>
      <c r="C21" s="632"/>
      <c r="D21" s="636">
        <f>'[1]P&amp;L23-25'!$B$41/100</f>
        <v>22.227952448</v>
      </c>
    </row>
    <row r="22" spans="1:6" ht="21" customHeight="1">
      <c r="A22" s="526">
        <v>2</v>
      </c>
      <c r="B22" s="562" t="s">
        <v>282</v>
      </c>
      <c r="C22" s="632"/>
      <c r="D22" s="636">
        <f>'[1]P&amp;L23-25'!$B$42/100</f>
        <v>1.7930519</v>
      </c>
    </row>
    <row r="23" spans="1:6" ht="21" customHeight="1">
      <c r="A23" s="526">
        <v>3</v>
      </c>
      <c r="B23" s="562" t="s">
        <v>682</v>
      </c>
      <c r="C23" s="632"/>
      <c r="D23" s="636">
        <f>'[1]P&amp;L23-25'!$B$44/100</f>
        <v>0</v>
      </c>
    </row>
    <row r="24" spans="1:6" ht="21" customHeight="1">
      <c r="A24" s="526">
        <v>4</v>
      </c>
      <c r="B24" s="562" t="s">
        <v>683</v>
      </c>
      <c r="C24" s="632"/>
      <c r="D24" s="636">
        <f>'[1]P&amp;L23-25'!$B$45/100</f>
        <v>5.8886194559999998</v>
      </c>
    </row>
    <row r="25" spans="1:6">
      <c r="A25" s="526">
        <v>5</v>
      </c>
      <c r="B25" s="562" t="s">
        <v>684</v>
      </c>
      <c r="C25" s="148"/>
      <c r="D25" s="636">
        <f>'[1]P&amp;L23-25'!$B$46/100</f>
        <v>6.2759999999999997E-4</v>
      </c>
    </row>
    <row r="26" spans="1:6">
      <c r="A26" s="526">
        <v>6</v>
      </c>
      <c r="B26" s="562" t="s">
        <v>685</v>
      </c>
      <c r="C26" s="148"/>
      <c r="D26" s="636">
        <f>'[1]P&amp;L23-25'!$B$47/100</f>
        <v>1.6019000000000001E-3</v>
      </c>
    </row>
    <row r="27" spans="1:6">
      <c r="A27" s="526">
        <v>7</v>
      </c>
      <c r="B27" s="562" t="s">
        <v>686</v>
      </c>
      <c r="C27" s="148"/>
      <c r="D27" s="636">
        <f>'[1]P&amp;L23-25'!$B$48/100</f>
        <v>0.1318772</v>
      </c>
    </row>
    <row r="28" spans="1:6">
      <c r="A28" s="526">
        <f>+A27+1</f>
        <v>8</v>
      </c>
      <c r="B28" s="562" t="s">
        <v>948</v>
      </c>
      <c r="C28" s="148"/>
      <c r="D28" s="636">
        <f>'[1]P&amp;L23-25'!$B$43/100</f>
        <v>2.5563096999999999</v>
      </c>
    </row>
    <row r="29" spans="1:6">
      <c r="A29" s="526">
        <f t="shared" ref="A29:A31" si="1">+A28+1</f>
        <v>9</v>
      </c>
      <c r="B29" s="562" t="s">
        <v>687</v>
      </c>
      <c r="C29" s="148"/>
      <c r="D29" s="542">
        <f>SUM(D21:D28)</f>
        <v>32.600040204000003</v>
      </c>
    </row>
    <row r="30" spans="1:6">
      <c r="A30" s="526">
        <f t="shared" si="1"/>
        <v>10</v>
      </c>
      <c r="B30" s="562" t="s">
        <v>688</v>
      </c>
      <c r="C30" s="148"/>
      <c r="D30" s="636">
        <f>'[8]O&amp;M expenses'!$C54</f>
        <v>0</v>
      </c>
    </row>
    <row r="31" spans="1:6">
      <c r="A31" s="526">
        <f t="shared" si="1"/>
        <v>11</v>
      </c>
      <c r="B31" s="562" t="s">
        <v>689</v>
      </c>
      <c r="C31" s="148"/>
      <c r="D31" s="560">
        <f>D29-D30</f>
        <v>32.600040204000003</v>
      </c>
    </row>
    <row r="32" spans="1:6" s="709" customFormat="1">
      <c r="A32" s="526"/>
      <c r="B32" s="562" t="s">
        <v>1405</v>
      </c>
      <c r="C32" s="148"/>
      <c r="D32" s="636">
        <f>'[8]O&amp;M expenses'!$C56</f>
        <v>0</v>
      </c>
    </row>
    <row r="33" spans="1:8">
      <c r="A33" s="526">
        <f>+A31+1</f>
        <v>12</v>
      </c>
      <c r="B33" s="996" t="s">
        <v>690</v>
      </c>
      <c r="C33" s="148">
        <v>96.73</v>
      </c>
      <c r="D33" s="644">
        <f>D31-D32</f>
        <v>32.600040204000003</v>
      </c>
    </row>
    <row r="34" spans="1:8">
      <c r="A34" s="75" t="s">
        <v>691</v>
      </c>
    </row>
    <row r="37" spans="1:8">
      <c r="F37" s="1741" t="s">
        <v>427</v>
      </c>
      <c r="G37" s="1741"/>
      <c r="H37" s="1742"/>
    </row>
    <row r="39" spans="1:8">
      <c r="C39" s="639"/>
      <c r="D39" s="639"/>
      <c r="E39" s="639"/>
    </row>
    <row r="40" spans="1:8">
      <c r="E40" s="640"/>
    </row>
    <row r="41" spans="1:8">
      <c r="C41" s="616"/>
      <c r="D41" s="616"/>
      <c r="E41" s="616"/>
    </row>
  </sheetData>
  <mergeCells count="14">
    <mergeCell ref="F37:H37"/>
    <mergeCell ref="G4:H4"/>
    <mergeCell ref="G2:H2"/>
    <mergeCell ref="A15:F15"/>
    <mergeCell ref="A17:E17"/>
    <mergeCell ref="A19:A20"/>
    <mergeCell ref="B19:B20"/>
    <mergeCell ref="C19:D19"/>
    <mergeCell ref="A1:F1"/>
    <mergeCell ref="A4:A5"/>
    <mergeCell ref="B4:B5"/>
    <mergeCell ref="C4:D4"/>
    <mergeCell ref="A2:B2"/>
    <mergeCell ref="E4:F4"/>
  </mergeCells>
  <pageMargins left="0.70866141732283472" right="0.70866141732283472" top="0.74803149606299213" bottom="0.74803149606299213" header="0.31496062992125984" footer="0.31496062992125984"/>
  <pageSetup paperSize="9" scale="60"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rgb="FF92D050"/>
    <pageSetUpPr fitToPage="1"/>
  </sheetPr>
  <dimension ref="A1:K71"/>
  <sheetViews>
    <sheetView showGridLines="0" view="pageBreakPreview" topLeftCell="D37" zoomScale="70" zoomScaleNormal="100" zoomScaleSheetLayoutView="70" workbookViewId="0">
      <selection activeCell="J51" sqref="J51"/>
    </sheetView>
  </sheetViews>
  <sheetFormatPr defaultColWidth="9.140625" defaultRowHeight="15.75"/>
  <cols>
    <col min="1" max="1" width="53.7109375" style="75" customWidth="1"/>
    <col min="2" max="2" width="11.5703125" style="908" customWidth="1"/>
    <col min="3" max="3" width="17" style="75" customWidth="1"/>
    <col min="4" max="4" width="15.7109375" style="75" customWidth="1"/>
    <col min="5" max="6" width="21.85546875" style="75" customWidth="1"/>
    <col min="7" max="8" width="21.85546875" style="75" hidden="1" customWidth="1"/>
    <col min="9" max="10" width="21.85546875" style="75" customWidth="1"/>
    <col min="11" max="11" width="19.140625" style="75" customWidth="1"/>
    <col min="12" max="16384" width="9.140625" style="75"/>
  </cols>
  <sheetData>
    <row r="1" spans="1:10" ht="21" customHeight="1">
      <c r="A1" s="1545" t="s">
        <v>1233</v>
      </c>
      <c r="B1" s="1545"/>
      <c r="C1" s="1545"/>
      <c r="D1" s="1545"/>
      <c r="E1" s="1545"/>
      <c r="F1" s="1545"/>
      <c r="G1" s="1545"/>
      <c r="H1" s="1545"/>
    </row>
    <row r="2" spans="1:10" ht="21" customHeight="1">
      <c r="A2" s="157" t="s">
        <v>373</v>
      </c>
      <c r="B2" s="157"/>
      <c r="C2" s="610"/>
      <c r="D2" s="610"/>
      <c r="E2" s="610"/>
      <c r="F2" s="610"/>
      <c r="G2" s="1552"/>
      <c r="H2" s="1552"/>
      <c r="I2" s="1552" t="s">
        <v>778</v>
      </c>
      <c r="J2" s="1552"/>
    </row>
    <row r="3" spans="1:10" ht="21" customHeight="1">
      <c r="A3" s="611"/>
      <c r="B3" s="611"/>
      <c r="C3" s="611"/>
      <c r="D3" s="611"/>
      <c r="E3" s="611"/>
      <c r="F3" s="611"/>
      <c r="G3" s="1546" t="s">
        <v>345</v>
      </c>
      <c r="H3" s="1546"/>
    </row>
    <row r="4" spans="1:10" ht="41.25" customHeight="1">
      <c r="A4" s="1325" t="s">
        <v>48</v>
      </c>
      <c r="B4" s="905"/>
      <c r="C4" s="1365" t="s">
        <v>1916</v>
      </c>
      <c r="D4" s="1365"/>
      <c r="E4" s="1758" t="s">
        <v>1917</v>
      </c>
      <c r="F4" s="1758"/>
      <c r="G4" s="1758"/>
      <c r="H4" s="1758"/>
      <c r="I4" s="1365" t="s">
        <v>1918</v>
      </c>
      <c r="J4" s="1365"/>
    </row>
    <row r="5" spans="1:10" ht="31.5">
      <c r="A5" s="1325"/>
      <c r="B5" s="905"/>
      <c r="C5" s="455" t="s">
        <v>1235</v>
      </c>
      <c r="D5" s="328" t="s">
        <v>1919</v>
      </c>
      <c r="E5" s="455" t="s">
        <v>1235</v>
      </c>
      <c r="F5" s="455" t="s">
        <v>1239</v>
      </c>
      <c r="G5" s="455" t="s">
        <v>1240</v>
      </c>
      <c r="H5" s="459" t="s">
        <v>1241</v>
      </c>
      <c r="I5" s="455" t="s">
        <v>1235</v>
      </c>
      <c r="J5" s="455" t="s">
        <v>1243</v>
      </c>
    </row>
    <row r="6" spans="1:10" ht="21" customHeight="1">
      <c r="A6" s="523" t="s">
        <v>692</v>
      </c>
      <c r="B6" s="523"/>
      <c r="C6" s="148"/>
      <c r="D6" s="543">
        <f>'[1]P&amp;L23-25'!$B$56/100</f>
        <v>2.011997</v>
      </c>
      <c r="E6" s="1775" t="s">
        <v>968</v>
      </c>
      <c r="F6" s="1776"/>
      <c r="G6" s="1776"/>
      <c r="H6" s="1776"/>
      <c r="I6" s="1776"/>
      <c r="J6" s="1777"/>
    </row>
    <row r="7" spans="1:10" ht="21" customHeight="1">
      <c r="A7" s="523" t="s">
        <v>374</v>
      </c>
      <c r="B7" s="523"/>
      <c r="C7" s="148"/>
      <c r="D7" s="543">
        <f>'[1]P&amp;L23-25'!$B$57/100</f>
        <v>9.7649247999999993</v>
      </c>
      <c r="E7" s="1778"/>
      <c r="F7" s="1779"/>
      <c r="G7" s="1779"/>
      <c r="H7" s="1779"/>
      <c r="I7" s="1779"/>
      <c r="J7" s="1780"/>
    </row>
    <row r="8" spans="1:10" ht="21" customHeight="1">
      <c r="A8" s="523" t="s">
        <v>693</v>
      </c>
      <c r="B8" s="523"/>
      <c r="C8" s="148"/>
      <c r="D8" s="543">
        <f>'[1]P&amp;L23-25'!$B$58/100</f>
        <v>0.48404475999999996</v>
      </c>
      <c r="E8" s="1778"/>
      <c r="F8" s="1779"/>
      <c r="G8" s="1779"/>
      <c r="H8" s="1779"/>
      <c r="I8" s="1779"/>
      <c r="J8" s="1780"/>
    </row>
    <row r="9" spans="1:10" ht="21" customHeight="1">
      <c r="A9" s="523" t="s">
        <v>1352</v>
      </c>
      <c r="B9" s="523"/>
      <c r="C9" s="148"/>
      <c r="D9" s="543">
        <f>'[1]P&amp;L23-25'!$B$59/100</f>
        <v>0.47815550000000001</v>
      </c>
      <c r="E9" s="1778"/>
      <c r="F9" s="1779"/>
      <c r="G9" s="1779"/>
      <c r="H9" s="1779"/>
      <c r="I9" s="1779"/>
      <c r="J9" s="1780"/>
    </row>
    <row r="10" spans="1:10" ht="21" customHeight="1">
      <c r="A10" s="523" t="s">
        <v>1353</v>
      </c>
      <c r="B10" s="523"/>
      <c r="C10" s="148"/>
      <c r="D10" s="543">
        <f>'[1]P&amp;L23-25'!$B$60/100</f>
        <v>3.601E-2</v>
      </c>
      <c r="E10" s="1778"/>
      <c r="F10" s="1779"/>
      <c r="G10" s="1779"/>
      <c r="H10" s="1779"/>
      <c r="I10" s="1779"/>
      <c r="J10" s="1780"/>
    </row>
    <row r="11" spans="1:10" ht="21" customHeight="1">
      <c r="A11" s="523" t="s">
        <v>694</v>
      </c>
      <c r="B11" s="523"/>
      <c r="C11" s="148"/>
      <c r="D11" s="543">
        <f>'[1]P&amp;L23-25'!$B$61/100</f>
        <v>1.1283345339999999</v>
      </c>
      <c r="E11" s="1778"/>
      <c r="F11" s="1779"/>
      <c r="G11" s="1779"/>
      <c r="H11" s="1779"/>
      <c r="I11" s="1779"/>
      <c r="J11" s="1780"/>
    </row>
    <row r="12" spans="1:10" ht="21" customHeight="1">
      <c r="A12" s="523" t="s">
        <v>1354</v>
      </c>
      <c r="B12" s="523"/>
      <c r="C12" s="148"/>
      <c r="D12" s="543">
        <f>'[1]P&amp;L23-25'!$B$62/100</f>
        <v>7.7290000000000006E-3</v>
      </c>
      <c r="E12" s="1778"/>
      <c r="F12" s="1779"/>
      <c r="G12" s="1779"/>
      <c r="H12" s="1779"/>
      <c r="I12" s="1779"/>
      <c r="J12" s="1780"/>
    </row>
    <row r="13" spans="1:10" ht="21" customHeight="1">
      <c r="A13" s="528" t="s">
        <v>1355</v>
      </c>
      <c r="B13" s="528"/>
      <c r="C13" s="148"/>
      <c r="D13" s="543">
        <f>'[1]P&amp;L23-25'!$B$63/100</f>
        <v>2.5782999999999999E-3</v>
      </c>
      <c r="E13" s="1778"/>
      <c r="F13" s="1779"/>
      <c r="G13" s="1779"/>
      <c r="H13" s="1779"/>
      <c r="I13" s="1779"/>
      <c r="J13" s="1780"/>
    </row>
    <row r="14" spans="1:10" s="77" customFormat="1" ht="21" customHeight="1">
      <c r="A14" s="822" t="s">
        <v>1356</v>
      </c>
      <c r="B14" s="822"/>
      <c r="C14" s="131"/>
      <c r="D14" s="543">
        <v>0</v>
      </c>
      <c r="E14" s="1778"/>
      <c r="F14" s="1779"/>
      <c r="G14" s="1779"/>
      <c r="H14" s="1779"/>
      <c r="I14" s="1779"/>
      <c r="J14" s="1780"/>
    </row>
    <row r="15" spans="1:10" ht="21" customHeight="1">
      <c r="A15" s="523" t="s">
        <v>695</v>
      </c>
      <c r="B15" s="523"/>
      <c r="C15" s="148"/>
      <c r="D15" s="543">
        <f>'[1]P&amp;L23-25'!$B$65/100</f>
        <v>8.0960599999999994E-2</v>
      </c>
      <c r="E15" s="1778"/>
      <c r="F15" s="1779"/>
      <c r="G15" s="1779"/>
      <c r="H15" s="1779"/>
      <c r="I15" s="1779"/>
      <c r="J15" s="1780"/>
    </row>
    <row r="16" spans="1:10" ht="21" customHeight="1">
      <c r="A16" s="523" t="s">
        <v>696</v>
      </c>
      <c r="B16" s="523"/>
      <c r="C16" s="148"/>
      <c r="D16" s="543">
        <f>'[1]P&amp;L23-25'!$B$66/100</f>
        <v>10.903785359999999</v>
      </c>
      <c r="E16" s="1778"/>
      <c r="F16" s="1779"/>
      <c r="G16" s="1779"/>
      <c r="H16" s="1779"/>
      <c r="I16" s="1779"/>
      <c r="J16" s="1780"/>
    </row>
    <row r="17" spans="1:10" ht="21" customHeight="1">
      <c r="A17" s="523" t="s">
        <v>1357</v>
      </c>
      <c r="B17" s="523"/>
      <c r="C17" s="148"/>
      <c r="D17" s="543">
        <f>'[1]P&amp;L23-25'!$B$70/100</f>
        <v>0.6525879</v>
      </c>
      <c r="E17" s="1778"/>
      <c r="F17" s="1779"/>
      <c r="G17" s="1779"/>
      <c r="H17" s="1779"/>
      <c r="I17" s="1779"/>
      <c r="J17" s="1780"/>
    </row>
    <row r="18" spans="1:10" ht="21" customHeight="1">
      <c r="A18" s="523" t="s">
        <v>1358</v>
      </c>
      <c r="B18" s="523"/>
      <c r="C18" s="148"/>
      <c r="D18" s="543">
        <f>'[1]P&amp;L23-25'!$B$71/100</f>
        <v>4.9135400000000003E-2</v>
      </c>
      <c r="E18" s="1778"/>
      <c r="F18" s="1779"/>
      <c r="G18" s="1779"/>
      <c r="H18" s="1779"/>
      <c r="I18" s="1779"/>
      <c r="J18" s="1780"/>
    </row>
    <row r="19" spans="1:10" ht="21" customHeight="1">
      <c r="A19" s="523" t="s">
        <v>1359</v>
      </c>
      <c r="B19" s="523"/>
      <c r="C19" s="148"/>
      <c r="D19" s="543">
        <f>'[1]P&amp;L23-25'!$B$72/100</f>
        <v>0.35504279999999999</v>
      </c>
      <c r="E19" s="1778"/>
      <c r="F19" s="1779"/>
      <c r="G19" s="1779"/>
      <c r="H19" s="1779"/>
      <c r="I19" s="1779"/>
      <c r="J19" s="1780"/>
    </row>
    <row r="20" spans="1:10" ht="21" customHeight="1">
      <c r="A20" s="523" t="s">
        <v>1360</v>
      </c>
      <c r="B20" s="523"/>
      <c r="C20" s="148"/>
      <c r="D20" s="543">
        <f>'[1]P&amp;L23-25'!$B$73/100</f>
        <v>6.4102300000000001E-2</v>
      </c>
      <c r="E20" s="1778"/>
      <c r="F20" s="1779"/>
      <c r="G20" s="1779"/>
      <c r="H20" s="1779"/>
      <c r="I20" s="1779"/>
      <c r="J20" s="1780"/>
    </row>
    <row r="21" spans="1:10" ht="21" customHeight="1">
      <c r="A21" s="523" t="s">
        <v>1365</v>
      </c>
      <c r="B21" s="523"/>
      <c r="C21" s="148"/>
      <c r="D21" s="543">
        <f>'[1]P&amp;L23-25'!$B$74/100</f>
        <v>5.3519000000000005</v>
      </c>
      <c r="E21" s="1778"/>
      <c r="F21" s="1779"/>
      <c r="G21" s="1779"/>
      <c r="H21" s="1779"/>
      <c r="I21" s="1779"/>
      <c r="J21" s="1780"/>
    </row>
    <row r="22" spans="1:10" ht="21" customHeight="1">
      <c r="A22" s="523" t="s">
        <v>697</v>
      </c>
      <c r="B22" s="523"/>
      <c r="C22" s="148"/>
      <c r="D22" s="543">
        <f>'[1]P&amp;L23-25'!$B$75/100</f>
        <v>10.115116779999999</v>
      </c>
      <c r="E22" s="1778"/>
      <c r="F22" s="1779"/>
      <c r="G22" s="1779"/>
      <c r="H22" s="1779"/>
      <c r="I22" s="1779"/>
      <c r="J22" s="1780"/>
    </row>
    <row r="23" spans="1:10" ht="21" customHeight="1">
      <c r="A23" s="523" t="s">
        <v>698</v>
      </c>
      <c r="B23" s="523"/>
      <c r="C23" s="148"/>
      <c r="D23" s="543">
        <f>'[1]P&amp;L23-25'!$B$80/100</f>
        <v>0</v>
      </c>
      <c r="E23" s="1778"/>
      <c r="F23" s="1779"/>
      <c r="G23" s="1779"/>
      <c r="H23" s="1779"/>
      <c r="I23" s="1779"/>
      <c r="J23" s="1780"/>
    </row>
    <row r="24" spans="1:10" ht="21" customHeight="1">
      <c r="A24" s="643" t="s">
        <v>1361</v>
      </c>
      <c r="B24" s="643"/>
      <c r="C24" s="148"/>
      <c r="D24" s="543">
        <f>'[1]P&amp;L23-25'!$B$76/100</f>
        <v>0.36942909999999995</v>
      </c>
      <c r="E24" s="1778"/>
      <c r="F24" s="1779"/>
      <c r="G24" s="1779"/>
      <c r="H24" s="1779"/>
      <c r="I24" s="1779"/>
      <c r="J24" s="1780"/>
    </row>
    <row r="25" spans="1:10" ht="21" customHeight="1">
      <c r="A25" s="643" t="s">
        <v>1362</v>
      </c>
      <c r="B25" s="643"/>
      <c r="C25" s="148"/>
      <c r="D25" s="543">
        <f>'[1]P&amp;L23-25'!$B$77/100</f>
        <v>7.6970900000000009E-2</v>
      </c>
      <c r="E25" s="1778"/>
      <c r="F25" s="1779"/>
      <c r="G25" s="1779"/>
      <c r="H25" s="1779"/>
      <c r="I25" s="1779"/>
      <c r="J25" s="1780"/>
    </row>
    <row r="26" spans="1:10" ht="21" customHeight="1">
      <c r="A26" s="523" t="s">
        <v>1363</v>
      </c>
      <c r="B26" s="523"/>
      <c r="C26" s="148"/>
      <c r="D26" s="543">
        <f>'[1]P&amp;L23-25'!$B$78/100</f>
        <v>8.5169581399999998</v>
      </c>
      <c r="E26" s="1778"/>
      <c r="F26" s="1779"/>
      <c r="G26" s="1779"/>
      <c r="H26" s="1779"/>
      <c r="I26" s="1779"/>
      <c r="J26" s="1780"/>
    </row>
    <row r="27" spans="1:10" ht="21" customHeight="1">
      <c r="A27" s="523" t="s">
        <v>1364</v>
      </c>
      <c r="B27" s="523"/>
      <c r="C27" s="148"/>
      <c r="D27" s="543">
        <f>'[1]P&amp;L23-25'!$B$79/100</f>
        <v>0.62464779599999998</v>
      </c>
      <c r="E27" s="1778"/>
      <c r="F27" s="1779"/>
      <c r="G27" s="1779"/>
      <c r="H27" s="1779"/>
      <c r="I27" s="1779"/>
      <c r="J27" s="1780"/>
    </row>
    <row r="28" spans="1:10" ht="21" customHeight="1">
      <c r="A28" s="523" t="s">
        <v>2320</v>
      </c>
      <c r="B28" s="523"/>
      <c r="C28" s="148"/>
      <c r="D28" s="543">
        <f>'[1]P&amp;L23-25'!$B$81/100</f>
        <v>0.12</v>
      </c>
      <c r="E28" s="1778"/>
      <c r="F28" s="1779"/>
      <c r="G28" s="1779"/>
      <c r="H28" s="1779"/>
      <c r="I28" s="1779"/>
      <c r="J28" s="1780"/>
    </row>
    <row r="29" spans="1:10" ht="21" customHeight="1">
      <c r="A29" s="523" t="s">
        <v>702</v>
      </c>
      <c r="B29" s="523"/>
      <c r="C29" s="148"/>
      <c r="D29" s="543">
        <f>'[8]O&amp;M expenses'!$C87</f>
        <v>0</v>
      </c>
      <c r="E29" s="1778"/>
      <c r="F29" s="1779"/>
      <c r="G29" s="1779"/>
      <c r="H29" s="1779"/>
      <c r="I29" s="1779"/>
      <c r="J29" s="1780"/>
    </row>
    <row r="30" spans="1:10" ht="21" customHeight="1">
      <c r="A30" s="523" t="s">
        <v>687</v>
      </c>
      <c r="B30" s="523"/>
      <c r="C30" s="148"/>
      <c r="D30" s="543">
        <f>SUM(D6:D29)</f>
        <v>51.194410969999986</v>
      </c>
      <c r="E30" s="1778"/>
      <c r="F30" s="1779"/>
      <c r="G30" s="1779"/>
      <c r="H30" s="1779"/>
      <c r="I30" s="1779"/>
      <c r="J30" s="1780"/>
    </row>
    <row r="31" spans="1:10" ht="21" customHeight="1">
      <c r="A31" s="523" t="s">
        <v>699</v>
      </c>
      <c r="B31" s="523"/>
      <c r="C31" s="148"/>
      <c r="D31" s="543">
        <f>'[8]O&amp;M expenses'!$C89</f>
        <v>0</v>
      </c>
      <c r="E31" s="1778"/>
      <c r="F31" s="1779"/>
      <c r="G31" s="1779"/>
      <c r="H31" s="1779"/>
      <c r="I31" s="1779"/>
      <c r="J31" s="1780"/>
    </row>
    <row r="32" spans="1:10" ht="21" customHeight="1">
      <c r="A32" s="523" t="s">
        <v>700</v>
      </c>
      <c r="B32" s="523"/>
      <c r="C32" s="148"/>
      <c r="D32" s="560">
        <f>D30-D31</f>
        <v>51.194410969999986</v>
      </c>
      <c r="E32" s="1778"/>
      <c r="F32" s="1779"/>
      <c r="G32" s="1779"/>
      <c r="H32" s="1779"/>
      <c r="I32" s="1779"/>
      <c r="J32" s="1780"/>
    </row>
    <row r="33" spans="1:10" s="709" customFormat="1" ht="21" customHeight="1">
      <c r="A33" s="523" t="s">
        <v>1405</v>
      </c>
      <c r="B33" s="523"/>
      <c r="C33" s="148"/>
      <c r="D33" s="543">
        <f>'[8]O&amp;M expenses'!$C91</f>
        <v>0.33</v>
      </c>
      <c r="E33" s="1778"/>
      <c r="F33" s="1779"/>
      <c r="G33" s="1779"/>
      <c r="H33" s="1779"/>
      <c r="I33" s="1779"/>
      <c r="J33" s="1780"/>
    </row>
    <row r="34" spans="1:10" ht="21" customHeight="1">
      <c r="A34" s="502" t="s">
        <v>690</v>
      </c>
      <c r="B34" s="502"/>
      <c r="C34" s="505"/>
      <c r="D34" s="644">
        <f>D32-D33</f>
        <v>50.864410969999987</v>
      </c>
      <c r="E34" s="1781"/>
      <c r="F34" s="1782"/>
      <c r="G34" s="1782"/>
      <c r="H34" s="1782"/>
      <c r="I34" s="1782"/>
      <c r="J34" s="1783"/>
    </row>
    <row r="35" spans="1:10" ht="21" customHeight="1">
      <c r="A35" s="1773" t="s">
        <v>701</v>
      </c>
      <c r="B35" s="1774"/>
      <c r="C35" s="1774"/>
      <c r="D35" s="1774"/>
    </row>
    <row r="36" spans="1:10" ht="21" customHeight="1"/>
    <row r="37" spans="1:10" ht="21" customHeight="1">
      <c r="H37" s="1546" t="s">
        <v>345</v>
      </c>
      <c r="I37" s="1546"/>
    </row>
    <row r="38" spans="1:10" ht="31.5" hidden="1" customHeight="1">
      <c r="A38" s="1325" t="s">
        <v>48</v>
      </c>
      <c r="B38" s="1383" t="s">
        <v>1366</v>
      </c>
      <c r="C38" s="1365" t="s">
        <v>1916</v>
      </c>
      <c r="D38" s="1365"/>
      <c r="E38" s="1758" t="s">
        <v>1917</v>
      </c>
      <c r="F38" s="1758"/>
      <c r="G38" s="1758"/>
      <c r="H38" s="1758"/>
      <c r="I38" s="1365" t="s">
        <v>1918</v>
      </c>
      <c r="J38" s="1365"/>
    </row>
    <row r="39" spans="1:10" ht="31.5" hidden="1" customHeight="1">
      <c r="A39" s="1325"/>
      <c r="B39" s="1384"/>
      <c r="C39" s="455" t="s">
        <v>1250</v>
      </c>
      <c r="D39" s="328" t="s">
        <v>1919</v>
      </c>
      <c r="E39" s="455" t="s">
        <v>1235</v>
      </c>
      <c r="F39" s="455" t="s">
        <v>1239</v>
      </c>
      <c r="G39" s="455" t="s">
        <v>1240</v>
      </c>
      <c r="H39" s="459" t="s">
        <v>1241</v>
      </c>
      <c r="I39" s="455" t="s">
        <v>1235</v>
      </c>
      <c r="J39" s="455" t="s">
        <v>1243</v>
      </c>
    </row>
    <row r="40" spans="1:10" ht="21" hidden="1" customHeight="1">
      <c r="A40" s="625"/>
      <c r="B40" s="625"/>
      <c r="C40" s="540"/>
      <c r="D40" s="540"/>
      <c r="E40" s="1784" t="s">
        <v>968</v>
      </c>
      <c r="F40" s="1785"/>
      <c r="G40" s="1785"/>
      <c r="H40" s="1785"/>
      <c r="I40" s="1785"/>
      <c r="J40" s="1786"/>
    </row>
    <row r="41" spans="1:10" ht="21" hidden="1" customHeight="1">
      <c r="A41" s="625" t="s">
        <v>1350</v>
      </c>
      <c r="B41" s="625"/>
      <c r="C41" s="541">
        <v>18.45</v>
      </c>
      <c r="D41" s="540"/>
      <c r="E41" s="1787"/>
      <c r="F41" s="1788"/>
      <c r="G41" s="1788"/>
      <c r="H41" s="1788"/>
      <c r="I41" s="1788"/>
      <c r="J41" s="1789"/>
    </row>
    <row r="42" spans="1:10" ht="21" hidden="1" customHeight="1">
      <c r="A42" s="625" t="s">
        <v>1348</v>
      </c>
      <c r="B42" s="625"/>
      <c r="C42" s="637">
        <v>3.5099999999999999E-2</v>
      </c>
      <c r="D42" s="540"/>
      <c r="E42" s="1787"/>
      <c r="F42" s="1788"/>
      <c r="G42" s="1788"/>
      <c r="H42" s="1788"/>
      <c r="I42" s="1788"/>
      <c r="J42" s="1789"/>
    </row>
    <row r="43" spans="1:10" ht="21" hidden="1" customHeight="1">
      <c r="A43" s="625" t="s">
        <v>1349</v>
      </c>
      <c r="B43" s="625"/>
      <c r="C43" s="541">
        <f>C41*C42</f>
        <v>0.64759499999999992</v>
      </c>
      <c r="D43" s="540"/>
      <c r="E43" s="1787"/>
      <c r="F43" s="1788"/>
      <c r="G43" s="1788"/>
      <c r="H43" s="1788"/>
      <c r="I43" s="1788"/>
      <c r="J43" s="1789"/>
    </row>
    <row r="44" spans="1:10" ht="21" hidden="1" customHeight="1">
      <c r="A44" s="641" t="s">
        <v>1351</v>
      </c>
      <c r="B44" s="641"/>
      <c r="C44" s="642">
        <f>C41+C43</f>
        <v>19.097594999999998</v>
      </c>
      <c r="D44" s="540"/>
      <c r="E44" s="1790"/>
      <c r="F44" s="1791"/>
      <c r="G44" s="1791"/>
      <c r="H44" s="1791"/>
      <c r="I44" s="1791"/>
      <c r="J44" s="1792"/>
    </row>
    <row r="45" spans="1:10" ht="21" customHeight="1"/>
    <row r="46" spans="1:10" ht="21" customHeight="1">
      <c r="H46" s="1546" t="s">
        <v>345</v>
      </c>
      <c r="I46" s="1546"/>
    </row>
    <row r="47" spans="1:10" ht="31.5" customHeight="1">
      <c r="A47" s="1325" t="s">
        <v>48</v>
      </c>
      <c r="B47" s="1383" t="s">
        <v>1342</v>
      </c>
      <c r="C47" s="1365" t="s">
        <v>1916</v>
      </c>
      <c r="D47" s="1365"/>
      <c r="E47" s="1375" t="s">
        <v>1917</v>
      </c>
      <c r="F47" s="1376"/>
      <c r="G47" s="1376"/>
      <c r="H47" s="1377"/>
      <c r="I47" s="1365" t="s">
        <v>1918</v>
      </c>
      <c r="J47" s="1365"/>
    </row>
    <row r="48" spans="1:10" ht="35.25" customHeight="1">
      <c r="A48" s="1325"/>
      <c r="B48" s="1384"/>
      <c r="C48" s="455" t="s">
        <v>1235</v>
      </c>
      <c r="D48" s="328" t="s">
        <v>1236</v>
      </c>
      <c r="E48" s="455" t="s">
        <v>1235</v>
      </c>
      <c r="F48" s="455" t="s">
        <v>1779</v>
      </c>
      <c r="G48" s="455" t="s">
        <v>1240</v>
      </c>
      <c r="H48" s="459" t="s">
        <v>1241</v>
      </c>
      <c r="I48" s="455" t="s">
        <v>1235</v>
      </c>
      <c r="J48" s="455" t="s">
        <v>1243</v>
      </c>
    </row>
    <row r="49" spans="1:11" ht="21" customHeight="1">
      <c r="A49" s="148" t="s">
        <v>2089</v>
      </c>
      <c r="B49" s="148"/>
      <c r="C49" s="638">
        <v>2.7E-2</v>
      </c>
      <c r="D49" s="638">
        <f>'F14-2'!E10</f>
        <v>3.4728448105257048E-2</v>
      </c>
      <c r="E49" s="638">
        <v>3.4700000000000002E-2</v>
      </c>
      <c r="F49" s="638">
        <f>'F14-2'!G10</f>
        <v>3.916518848264873E-2</v>
      </c>
      <c r="G49" s="528"/>
      <c r="H49" s="638">
        <f>'F14-2'!G10</f>
        <v>3.916518848264873E-2</v>
      </c>
      <c r="I49" s="638">
        <v>2.7E-2</v>
      </c>
      <c r="J49" s="638">
        <f>'F14-2'!G10</f>
        <v>3.916518848264873E-2</v>
      </c>
    </row>
    <row r="50" spans="1:11" ht="21" customHeight="1">
      <c r="A50" s="148" t="s">
        <v>1395</v>
      </c>
      <c r="B50" s="645">
        <v>0.99960000000000004</v>
      </c>
      <c r="C50" s="645">
        <f>B50*(1+C49)</f>
        <v>1.0265891999999999</v>
      </c>
      <c r="D50" s="825">
        <f>B50*(1+D49)</f>
        <v>1.034314556726015</v>
      </c>
      <c r="E50" s="825">
        <v>1.0702</v>
      </c>
      <c r="F50" s="825">
        <f>D50*(1+F49)</f>
        <v>1.0748236812905367</v>
      </c>
      <c r="G50" s="131"/>
      <c r="H50" s="825" t="e">
        <f>#REF!*(1+H49)</f>
        <v>#REF!</v>
      </c>
      <c r="I50" s="825">
        <f>E50*(1+I49)</f>
        <v>1.0990953999999999</v>
      </c>
      <c r="J50" s="825">
        <f>F50*(1+J49)</f>
        <v>1.116919353353895</v>
      </c>
    </row>
    <row r="51" spans="1:11" ht="21" customHeight="1">
      <c r="A51" s="148" t="s">
        <v>1367</v>
      </c>
      <c r="B51" s="148"/>
      <c r="C51" s="646">
        <v>2589</v>
      </c>
      <c r="D51" s="822">
        <f>'F14-3'!C27</f>
        <v>2335</v>
      </c>
      <c r="E51" s="824">
        <v>2432</v>
      </c>
      <c r="F51" s="1270">
        <f>'F14-3'!D27</f>
        <v>2334</v>
      </c>
      <c r="G51" s="131"/>
      <c r="H51" s="823">
        <v>2156</v>
      </c>
      <c r="I51" s="824">
        <v>3708</v>
      </c>
      <c r="J51" s="823">
        <f>'F14-3'!E27</f>
        <v>2342</v>
      </c>
    </row>
    <row r="52" spans="1:11" ht="21" customHeight="1">
      <c r="A52" s="148" t="s">
        <v>1368</v>
      </c>
      <c r="B52" s="622">
        <v>12.0266</v>
      </c>
      <c r="C52" s="622">
        <f>B52*(1+C49)</f>
        <v>12.3513182</v>
      </c>
      <c r="D52" s="1271">
        <f>B52*(1+D49)</f>
        <v>12.444265153982684</v>
      </c>
      <c r="E52" s="1271">
        <v>12.8757</v>
      </c>
      <c r="F52" s="1271">
        <f>D52*(1+F49)</f>
        <v>12.931647144266474</v>
      </c>
      <c r="G52" s="131"/>
      <c r="H52" s="825" t="e">
        <f>#REF!*(1+H49)</f>
        <v>#REF!</v>
      </c>
      <c r="I52" s="825">
        <f>E52*(1+I49)</f>
        <v>13.2233439</v>
      </c>
      <c r="J52" s="1271">
        <f>F52*(1+J49)</f>
        <v>13.438117542062777</v>
      </c>
    </row>
    <row r="53" spans="1:11" ht="21" customHeight="1">
      <c r="A53" s="148" t="s">
        <v>1369</v>
      </c>
      <c r="B53" s="148"/>
      <c r="C53" s="148">
        <v>146</v>
      </c>
      <c r="D53" s="994">
        <f>'F14-1'!E25</f>
        <v>144</v>
      </c>
      <c r="E53" s="148">
        <v>152</v>
      </c>
      <c r="F53" s="994">
        <f>'F14-1'!I25</f>
        <v>146</v>
      </c>
      <c r="G53" s="131"/>
      <c r="H53" s="131">
        <f>+'F14-1'!I25</f>
        <v>146</v>
      </c>
      <c r="I53" s="824">
        <v>158</v>
      </c>
      <c r="J53" s="826">
        <f>'F14-1'!K25</f>
        <v>146</v>
      </c>
    </row>
    <row r="54" spans="1:11" ht="21" customHeight="1">
      <c r="A54" s="148"/>
      <c r="B54" s="148"/>
      <c r="C54" s="148"/>
      <c r="D54" s="148"/>
      <c r="E54" s="148"/>
      <c r="F54" s="148"/>
      <c r="G54" s="131"/>
      <c r="H54" s="131"/>
      <c r="I54" s="131"/>
      <c r="J54" s="131"/>
    </row>
    <row r="55" spans="1:11" ht="21" customHeight="1">
      <c r="A55" s="148" t="s">
        <v>1370</v>
      </c>
      <c r="B55" s="148"/>
      <c r="C55" s="543">
        <f>(C51*C50)/100</f>
        <v>26.578394387999996</v>
      </c>
      <c r="D55" s="543">
        <f>(D51*D50)/100</f>
        <v>24.151244899552452</v>
      </c>
      <c r="E55" s="543">
        <v>25.06</v>
      </c>
      <c r="F55" s="543">
        <f>(F51*F50)/100</f>
        <v>25.086384721321128</v>
      </c>
      <c r="G55" s="148"/>
      <c r="H55" s="544" t="e">
        <f>(H51*H50)/100</f>
        <v>#REF!</v>
      </c>
      <c r="I55" s="543">
        <f>(I51*I50)/100</f>
        <v>40.754457432000002</v>
      </c>
      <c r="J55" s="543">
        <f>(J51*J50)/100</f>
        <v>26.158251255548223</v>
      </c>
    </row>
    <row r="56" spans="1:11" ht="21" customHeight="1">
      <c r="A56" s="148" t="s">
        <v>1371</v>
      </c>
      <c r="B56" s="148"/>
      <c r="C56" s="543">
        <f>(C52*C53)/100</f>
        <v>18.032924571999999</v>
      </c>
      <c r="D56" s="543">
        <f>(D52*D53)/100</f>
        <v>17.919741821735066</v>
      </c>
      <c r="E56" s="543">
        <f>(E52*E53)/100</f>
        <v>19.571064</v>
      </c>
      <c r="F56" s="543">
        <f>(F52*F53)/100</f>
        <v>18.880204830629051</v>
      </c>
      <c r="G56" s="148"/>
      <c r="H56" s="543" t="e">
        <f>(H52*H53)/100</f>
        <v>#REF!</v>
      </c>
      <c r="I56" s="543">
        <f>(I52*I53)/100</f>
        <v>20.892883361999999</v>
      </c>
      <c r="J56" s="543">
        <f>(J52*J53)/100</f>
        <v>19.619651611411655</v>
      </c>
    </row>
    <row r="57" spans="1:11" ht="21" customHeight="1">
      <c r="A57" s="505" t="s">
        <v>1372</v>
      </c>
      <c r="B57" s="505"/>
      <c r="C57" s="623">
        <f>SUM(C55:C56)</f>
        <v>44.611318959999991</v>
      </c>
      <c r="D57" s="623">
        <f>SUM(D55:D56)</f>
        <v>42.070986721287518</v>
      </c>
      <c r="E57" s="623">
        <f>SUM(E55:E56)</f>
        <v>44.631063999999995</v>
      </c>
      <c r="F57" s="623">
        <f>SUM(F55:F56)</f>
        <v>43.966589551950179</v>
      </c>
      <c r="G57" s="505"/>
      <c r="H57" s="623" t="e">
        <f>SUM(H55:H56)</f>
        <v>#REF!</v>
      </c>
      <c r="I57" s="623">
        <f>SUM(I55:I56)</f>
        <v>61.647340794000002</v>
      </c>
      <c r="J57" s="623">
        <f>SUM(J55:J56)</f>
        <v>45.777902866959877</v>
      </c>
    </row>
    <row r="58" spans="1:11" ht="21" customHeight="1"/>
    <row r="59" spans="1:11" s="775" customFormat="1" ht="21" customHeight="1">
      <c r="B59" s="908"/>
    </row>
    <row r="60" spans="1:11" ht="21" customHeight="1"/>
    <row r="61" spans="1:11" ht="21" customHeight="1">
      <c r="I61" s="1741" t="s">
        <v>427</v>
      </c>
      <c r="J61" s="1741"/>
      <c r="K61" s="1742"/>
    </row>
    <row r="62" spans="1:11" ht="21" customHeight="1"/>
    <row r="63" spans="1:11" ht="21" customHeight="1"/>
    <row r="64" spans="1:11" ht="21" customHeight="1"/>
    <row r="65" ht="21" customHeight="1"/>
    <row r="66" ht="21" customHeight="1"/>
    <row r="67" ht="21" customHeight="1"/>
    <row r="68" ht="21" customHeight="1"/>
    <row r="69" ht="21" customHeight="1"/>
    <row r="70" ht="21" customHeight="1"/>
    <row r="71" ht="21" customHeight="1"/>
  </sheetData>
  <mergeCells count="24">
    <mergeCell ref="A47:A48"/>
    <mergeCell ref="C47:D47"/>
    <mergeCell ref="H37:I37"/>
    <mergeCell ref="E6:J34"/>
    <mergeCell ref="I61:K61"/>
    <mergeCell ref="I47:J47"/>
    <mergeCell ref="E47:H47"/>
    <mergeCell ref="H46:I46"/>
    <mergeCell ref="E40:J44"/>
    <mergeCell ref="B38:B39"/>
    <mergeCell ref="B47:B48"/>
    <mergeCell ref="A1:H1"/>
    <mergeCell ref="G2:H2"/>
    <mergeCell ref="G3:H3"/>
    <mergeCell ref="A4:A5"/>
    <mergeCell ref="C4:D4"/>
    <mergeCell ref="E4:H4"/>
    <mergeCell ref="I4:J4"/>
    <mergeCell ref="A35:D35"/>
    <mergeCell ref="I2:J2"/>
    <mergeCell ref="A38:A39"/>
    <mergeCell ref="C38:D38"/>
    <mergeCell ref="E38:H38"/>
    <mergeCell ref="I38:J38"/>
  </mergeCells>
  <pageMargins left="0.70866141732283472" right="0.70866141732283472" top="0.74803149606299213" bottom="0.74803149606299213" header="0.31496062992125984" footer="0.31496062992125984"/>
  <pageSetup paperSize="9" scale="42"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2D050"/>
    <pageSetUpPr fitToPage="1"/>
  </sheetPr>
  <dimension ref="A1:F20"/>
  <sheetViews>
    <sheetView showGridLines="0" view="pageBreakPreview" zoomScale="80" zoomScaleNormal="100" zoomScaleSheetLayoutView="80" workbookViewId="0">
      <selection activeCell="B11" sqref="B11"/>
    </sheetView>
  </sheetViews>
  <sheetFormatPr defaultColWidth="9.140625" defaultRowHeight="15"/>
  <cols>
    <col min="1" max="1" width="34.7109375" style="288" customWidth="1"/>
    <col min="2" max="4" width="16.7109375" style="288" customWidth="1"/>
    <col min="5" max="16384" width="9.140625" style="288"/>
  </cols>
  <sheetData>
    <row r="1" spans="1:5" ht="21" customHeight="1">
      <c r="A1" s="1793" t="s">
        <v>1233</v>
      </c>
      <c r="B1" s="1793"/>
      <c r="C1" s="1793"/>
      <c r="D1" s="1793"/>
    </row>
    <row r="2" spans="1:5" ht="21" customHeight="1">
      <c r="A2" s="244" t="s">
        <v>361</v>
      </c>
      <c r="B2" s="244"/>
      <c r="C2" s="244"/>
      <c r="D2" s="758" t="s">
        <v>829</v>
      </c>
    </row>
    <row r="3" spans="1:5" ht="21" customHeight="1">
      <c r="D3" s="827" t="s">
        <v>345</v>
      </c>
    </row>
    <row r="4" spans="1:5" ht="45.75" customHeight="1">
      <c r="A4" s="1794" t="s">
        <v>48</v>
      </c>
      <c r="B4" s="777" t="s">
        <v>1173</v>
      </c>
      <c r="C4" s="764" t="s">
        <v>1174</v>
      </c>
      <c r="D4" s="997" t="s">
        <v>1252</v>
      </c>
    </row>
    <row r="5" spans="1:5" ht="21" customHeight="1">
      <c r="A5" s="1794"/>
      <c r="B5" s="828" t="s">
        <v>1919</v>
      </c>
      <c r="C5" s="760" t="s">
        <v>1779</v>
      </c>
      <c r="D5" s="828" t="s">
        <v>1243</v>
      </c>
    </row>
    <row r="6" spans="1:5" ht="32.25" customHeight="1">
      <c r="A6" s="167" t="s">
        <v>445</v>
      </c>
      <c r="B6" s="829">
        <v>3</v>
      </c>
      <c r="C6" s="829">
        <v>3</v>
      </c>
      <c r="D6" s="829">
        <v>3</v>
      </c>
    </row>
    <row r="7" spans="1:5" ht="21" customHeight="1">
      <c r="A7" s="167" t="s">
        <v>246</v>
      </c>
      <c r="B7" s="830">
        <v>0</v>
      </c>
      <c r="C7" s="830">
        <v>0</v>
      </c>
      <c r="D7" s="830">
        <v>0</v>
      </c>
      <c r="E7" s="289"/>
    </row>
    <row r="8" spans="1:5" ht="21" customHeight="1">
      <c r="A8" s="167" t="s">
        <v>827</v>
      </c>
      <c r="B8" s="830">
        <v>0</v>
      </c>
      <c r="C8" s="830">
        <f t="shared" ref="C8" si="0">C7*25/100</f>
        <v>0</v>
      </c>
      <c r="D8" s="830">
        <f t="shared" ref="D8" si="1">D7*25/100</f>
        <v>0</v>
      </c>
      <c r="E8" s="289"/>
    </row>
    <row r="9" spans="1:5" ht="21" customHeight="1">
      <c r="A9" s="167" t="s">
        <v>828</v>
      </c>
      <c r="B9" s="830">
        <v>0</v>
      </c>
      <c r="C9" s="830">
        <f t="shared" ref="C9" si="2">C7*75/100</f>
        <v>0</v>
      </c>
      <c r="D9" s="830">
        <f t="shared" ref="D9" si="3">D7*75/100</f>
        <v>0</v>
      </c>
      <c r="E9" s="289"/>
    </row>
    <row r="10" spans="1:5" ht="21" customHeight="1">
      <c r="A10" s="831"/>
      <c r="B10" s="289"/>
      <c r="C10" s="289"/>
      <c r="D10" s="289"/>
      <c r="E10" s="289"/>
    </row>
    <row r="11" spans="1:5" ht="21" customHeight="1"/>
    <row r="12" spans="1:5" ht="21" customHeight="1">
      <c r="D12" s="832" t="s">
        <v>427</v>
      </c>
    </row>
    <row r="13" spans="1:5" ht="21" customHeight="1"/>
    <row r="14" spans="1:5" ht="21" hidden="1" customHeight="1">
      <c r="A14" s="287" t="s">
        <v>212</v>
      </c>
      <c r="B14" s="287"/>
      <c r="C14" s="287"/>
      <c r="D14" s="287"/>
      <c r="E14" s="287"/>
    </row>
    <row r="15" spans="1:5" ht="21" hidden="1" customHeight="1">
      <c r="A15" s="102">
        <v>1</v>
      </c>
      <c r="B15" s="1798" t="s">
        <v>367</v>
      </c>
      <c r="C15" s="1799"/>
      <c r="D15" s="1799"/>
      <c r="E15" s="1800"/>
    </row>
    <row r="16" spans="1:5" ht="21" hidden="1" customHeight="1">
      <c r="A16" s="833">
        <v>2</v>
      </c>
      <c r="B16" s="834" t="s">
        <v>362</v>
      </c>
      <c r="C16" s="835"/>
      <c r="D16" s="835"/>
      <c r="E16" s="836"/>
    </row>
    <row r="17" spans="1:6" ht="21" hidden="1" customHeight="1">
      <c r="A17" s="102">
        <v>3</v>
      </c>
      <c r="B17" s="102" t="s">
        <v>358</v>
      </c>
      <c r="C17" s="408"/>
      <c r="D17" s="408"/>
      <c r="E17" s="837"/>
    </row>
    <row r="18" spans="1:6" ht="21" hidden="1" customHeight="1">
      <c r="A18" s="102">
        <v>4</v>
      </c>
      <c r="B18" s="1795" t="s">
        <v>363</v>
      </c>
      <c r="C18" s="1796"/>
      <c r="D18" s="1796"/>
      <c r="E18" s="1797"/>
    </row>
    <row r="19" spans="1:6" ht="21" hidden="1" customHeight="1">
      <c r="A19" s="102">
        <v>5</v>
      </c>
      <c r="B19" s="838"/>
      <c r="C19" s="408"/>
      <c r="D19" s="408"/>
      <c r="E19" s="837"/>
      <c r="F19" s="287"/>
    </row>
    <row r="20" spans="1:6" hidden="1"/>
  </sheetData>
  <mergeCells count="4">
    <mergeCell ref="A1:D1"/>
    <mergeCell ref="A4:A5"/>
    <mergeCell ref="B18:E18"/>
    <mergeCell ref="B15:E15"/>
  </mergeCells>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6"/>
  <sheetViews>
    <sheetView showGridLines="0" view="pageBreakPreview" zoomScale="70" zoomScaleNormal="70" zoomScaleSheetLayoutView="70" workbookViewId="0">
      <selection activeCell="B5" sqref="B5:D5"/>
    </sheetView>
  </sheetViews>
  <sheetFormatPr defaultColWidth="9.140625" defaultRowHeight="15.75"/>
  <cols>
    <col min="1" max="1" width="40.28515625" style="75" bestFit="1" customWidth="1"/>
    <col min="2" max="4" width="20" style="75" customWidth="1"/>
    <col min="5" max="16384" width="9.140625" style="75"/>
  </cols>
  <sheetData>
    <row r="1" spans="1:5" ht="21" customHeight="1">
      <c r="A1" s="1323" t="s">
        <v>1233</v>
      </c>
      <c r="B1" s="1323"/>
      <c r="C1" s="1323"/>
      <c r="D1" s="1323"/>
      <c r="E1" s="451"/>
    </row>
    <row r="2" spans="1:5" ht="21" customHeight="1">
      <c r="A2" s="1327" t="s">
        <v>572</v>
      </c>
      <c r="B2" s="100"/>
      <c r="C2" s="1322" t="s">
        <v>518</v>
      </c>
      <c r="D2" s="1322"/>
    </row>
    <row r="3" spans="1:5" ht="21" customHeight="1">
      <c r="A3" s="1328"/>
      <c r="B3" s="476"/>
      <c r="C3" s="1326" t="s">
        <v>181</v>
      </c>
      <c r="D3" s="1326"/>
    </row>
    <row r="4" spans="1:5" s="99" customFormat="1" ht="43.5" customHeight="1">
      <c r="A4" s="1325" t="s">
        <v>48</v>
      </c>
      <c r="B4" s="462" t="s">
        <v>1153</v>
      </c>
      <c r="C4" s="754" t="s">
        <v>486</v>
      </c>
      <c r="D4" s="463" t="s">
        <v>1234</v>
      </c>
    </row>
    <row r="5" spans="1:5" s="99" customFormat="1" ht="36.75" customHeight="1">
      <c r="A5" s="1325"/>
      <c r="B5" s="1080" t="s">
        <v>2593</v>
      </c>
      <c r="C5" s="88" t="s">
        <v>1915</v>
      </c>
      <c r="D5" s="88" t="s">
        <v>1252</v>
      </c>
    </row>
    <row r="6" spans="1:5" ht="21" customHeight="1">
      <c r="A6" s="96" t="s">
        <v>567</v>
      </c>
      <c r="B6" s="96"/>
      <c r="C6" s="96"/>
      <c r="D6" s="96"/>
    </row>
    <row r="7" spans="1:5" ht="21" customHeight="1">
      <c r="A7" s="97" t="s">
        <v>564</v>
      </c>
      <c r="B7" s="1329" t="s">
        <v>1785</v>
      </c>
      <c r="C7" s="1330"/>
      <c r="D7" s="1331"/>
    </row>
    <row r="8" spans="1:5" ht="21" customHeight="1">
      <c r="A8" s="97" t="s">
        <v>566</v>
      </c>
      <c r="B8" s="1332"/>
      <c r="C8" s="1333"/>
      <c r="D8" s="1334"/>
    </row>
    <row r="9" spans="1:5" ht="21" customHeight="1">
      <c r="A9" s="97" t="s">
        <v>566</v>
      </c>
      <c r="B9" s="1332"/>
      <c r="C9" s="1333"/>
      <c r="D9" s="1334"/>
    </row>
    <row r="10" spans="1:5" ht="31.5" customHeight="1">
      <c r="A10" s="97" t="s">
        <v>566</v>
      </c>
      <c r="B10" s="1332"/>
      <c r="C10" s="1333"/>
      <c r="D10" s="1334"/>
    </row>
    <row r="11" spans="1:5" ht="21" customHeight="1">
      <c r="A11" s="97" t="s">
        <v>565</v>
      </c>
      <c r="B11" s="1332"/>
      <c r="C11" s="1333"/>
      <c r="D11" s="1334"/>
    </row>
    <row r="12" spans="1:5" ht="21" customHeight="1">
      <c r="A12" s="97" t="s">
        <v>566</v>
      </c>
      <c r="B12" s="1332"/>
      <c r="C12" s="1333"/>
      <c r="D12" s="1334"/>
    </row>
    <row r="13" spans="1:5" ht="21" customHeight="1">
      <c r="A13" s="97" t="s">
        <v>566</v>
      </c>
      <c r="B13" s="1332"/>
      <c r="C13" s="1333"/>
      <c r="D13" s="1334"/>
    </row>
    <row r="14" spans="1:5" ht="30" customHeight="1">
      <c r="A14" s="97" t="s">
        <v>566</v>
      </c>
      <c r="B14" s="1332"/>
      <c r="C14" s="1333"/>
      <c r="D14" s="1334"/>
    </row>
    <row r="15" spans="1:5" ht="21" customHeight="1">
      <c r="A15" s="96" t="s">
        <v>568</v>
      </c>
      <c r="B15" s="1332"/>
      <c r="C15" s="1333"/>
      <c r="D15" s="1334"/>
    </row>
    <row r="16" spans="1:5" ht="21" customHeight="1">
      <c r="A16" s="98"/>
      <c r="B16" s="1332"/>
      <c r="C16" s="1333"/>
      <c r="D16" s="1334"/>
    </row>
    <row r="17" spans="1:4" ht="21" customHeight="1">
      <c r="A17" s="96" t="s">
        <v>569</v>
      </c>
      <c r="B17" s="1332"/>
      <c r="C17" s="1333"/>
      <c r="D17" s="1334"/>
    </row>
    <row r="18" spans="1:4" ht="21" customHeight="1">
      <c r="A18" s="97" t="s">
        <v>244</v>
      </c>
      <c r="B18" s="1332"/>
      <c r="C18" s="1333"/>
      <c r="D18" s="1334"/>
    </row>
    <row r="19" spans="1:4" ht="21" customHeight="1">
      <c r="A19" s="97" t="s">
        <v>566</v>
      </c>
      <c r="B19" s="1332"/>
      <c r="C19" s="1333"/>
      <c r="D19" s="1334"/>
    </row>
    <row r="20" spans="1:4" ht="21" customHeight="1">
      <c r="A20" s="97" t="s">
        <v>566</v>
      </c>
      <c r="B20" s="1332"/>
      <c r="C20" s="1333"/>
      <c r="D20" s="1334"/>
    </row>
    <row r="21" spans="1:4" ht="21" customHeight="1">
      <c r="A21" s="97" t="s">
        <v>566</v>
      </c>
      <c r="B21" s="1332"/>
      <c r="C21" s="1333"/>
      <c r="D21" s="1334"/>
    </row>
    <row r="22" spans="1:4" ht="21" customHeight="1">
      <c r="A22" s="97" t="s">
        <v>570</v>
      </c>
      <c r="B22" s="1332"/>
      <c r="C22" s="1333"/>
      <c r="D22" s="1334"/>
    </row>
    <row r="23" spans="1:4" ht="21" customHeight="1">
      <c r="A23" s="97" t="s">
        <v>566</v>
      </c>
      <c r="B23" s="1332"/>
      <c r="C23" s="1333"/>
      <c r="D23" s="1334"/>
    </row>
    <row r="24" spans="1:4" ht="21" customHeight="1">
      <c r="A24" s="97" t="s">
        <v>566</v>
      </c>
      <c r="B24" s="1332"/>
      <c r="C24" s="1333"/>
      <c r="D24" s="1334"/>
    </row>
    <row r="25" spans="1:4" ht="29.25" customHeight="1">
      <c r="A25" s="97" t="s">
        <v>566</v>
      </c>
      <c r="B25" s="1335"/>
      <c r="C25" s="1336"/>
      <c r="D25" s="1337"/>
    </row>
    <row r="26" spans="1:4" ht="21" customHeight="1">
      <c r="A26" s="96" t="s">
        <v>571</v>
      </c>
      <c r="B26" s="96"/>
      <c r="C26" s="96"/>
      <c r="D26" s="96"/>
    </row>
    <row r="27" spans="1:4">
      <c r="A27" s="79"/>
    </row>
    <row r="28" spans="1:4">
      <c r="A28" s="79"/>
    </row>
    <row r="29" spans="1:4">
      <c r="A29" s="79"/>
    </row>
    <row r="30" spans="1:4">
      <c r="A30" s="79"/>
      <c r="C30" s="1324" t="s">
        <v>427</v>
      </c>
      <c r="D30" s="1324"/>
    </row>
    <row r="31" spans="1:4" ht="21" customHeight="1">
      <c r="A31" s="79"/>
    </row>
    <row r="32" spans="1:4">
      <c r="A32" s="79"/>
    </row>
    <row r="33" spans="1:1">
      <c r="A33" s="79"/>
    </row>
    <row r="34" spans="1:1">
      <c r="A34" s="79"/>
    </row>
    <row r="35" spans="1:1">
      <c r="A35" s="79"/>
    </row>
    <row r="36" spans="1:1">
      <c r="A36" s="79"/>
    </row>
  </sheetData>
  <mergeCells count="7">
    <mergeCell ref="A1:D1"/>
    <mergeCell ref="C30:D30"/>
    <mergeCell ref="A4:A5"/>
    <mergeCell ref="C3:D3"/>
    <mergeCell ref="A2:A3"/>
    <mergeCell ref="B7:D25"/>
    <mergeCell ref="C2:D2"/>
  </mergeCells>
  <pageMargins left="0.41" right="0.70866141732283472" top="0.74803149606299213" bottom="0.74803149606299213" header="0.31496062992125984" footer="0.31496062992125984"/>
  <pageSetup paperSize="9"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1"/>
  <sheetViews>
    <sheetView showGridLines="0" view="pageBreakPreview" topLeftCell="C1" zoomScale="80" zoomScaleNormal="80" zoomScaleSheetLayoutView="80" workbookViewId="0">
      <selection activeCell="I21" sqref="I21"/>
    </sheetView>
  </sheetViews>
  <sheetFormatPr defaultColWidth="9.140625" defaultRowHeight="15.75"/>
  <cols>
    <col min="1" max="1" width="9.140625" style="75"/>
    <col min="2" max="2" width="42.28515625" style="75" customWidth="1"/>
    <col min="3" max="3" width="13.28515625" style="75" customWidth="1"/>
    <col min="4" max="4" width="13.140625" style="75" customWidth="1"/>
    <col min="5" max="5" width="13.28515625" style="75" customWidth="1"/>
    <col min="6" max="7" width="13.140625" style="75" hidden="1" customWidth="1"/>
    <col min="8" max="8" width="13.140625" style="75" customWidth="1"/>
    <col min="9" max="9" width="13.28515625" style="75" customWidth="1"/>
    <col min="10" max="10" width="16.140625" style="75" customWidth="1"/>
    <col min="11" max="16384" width="9.140625" style="75"/>
  </cols>
  <sheetData>
    <row r="1" spans="1:10">
      <c r="A1" s="1755" t="s">
        <v>1233</v>
      </c>
      <c r="B1" s="1755"/>
      <c r="C1" s="1755"/>
      <c r="D1" s="1755"/>
      <c r="E1" s="1755"/>
      <c r="F1" s="1755"/>
      <c r="G1" s="1755"/>
      <c r="H1" s="1755"/>
    </row>
    <row r="2" spans="1:10">
      <c r="A2" s="1803" t="s">
        <v>34</v>
      </c>
      <c r="B2" s="1803"/>
      <c r="C2" s="610"/>
      <c r="D2" s="610"/>
      <c r="E2" s="610"/>
      <c r="F2" s="610"/>
      <c r="G2" s="1552"/>
      <c r="H2" s="1552"/>
      <c r="I2" s="1552" t="s">
        <v>833</v>
      </c>
      <c r="J2" s="1552"/>
    </row>
    <row r="3" spans="1:10">
      <c r="A3" s="647"/>
      <c r="B3" s="647"/>
      <c r="C3" s="647"/>
      <c r="D3" s="647"/>
      <c r="E3" s="647"/>
      <c r="F3" s="647"/>
      <c r="G3" s="1801" t="s">
        <v>345</v>
      </c>
      <c r="H3" s="1801"/>
    </row>
    <row r="4" spans="1:10" ht="45.75" customHeight="1">
      <c r="A4" s="1802" t="s">
        <v>174</v>
      </c>
      <c r="B4" s="1325" t="s">
        <v>48</v>
      </c>
      <c r="C4" s="1365" t="s">
        <v>1916</v>
      </c>
      <c r="D4" s="1365"/>
      <c r="E4" s="1758" t="s">
        <v>1917</v>
      </c>
      <c r="F4" s="1758"/>
      <c r="G4" s="1758"/>
      <c r="H4" s="1758"/>
      <c r="I4" s="1365" t="s">
        <v>1918</v>
      </c>
      <c r="J4" s="1365"/>
    </row>
    <row r="5" spans="1:10" ht="47.25">
      <c r="A5" s="1802"/>
      <c r="B5" s="1325"/>
      <c r="C5" s="455" t="s">
        <v>1235</v>
      </c>
      <c r="D5" s="328" t="s">
        <v>1919</v>
      </c>
      <c r="E5" s="455" t="s">
        <v>1235</v>
      </c>
      <c r="F5" s="455" t="s">
        <v>1239</v>
      </c>
      <c r="G5" s="455" t="s">
        <v>1240</v>
      </c>
      <c r="H5" s="459" t="s">
        <v>1241</v>
      </c>
      <c r="I5" s="455" t="s">
        <v>1235</v>
      </c>
      <c r="J5" s="455" t="s">
        <v>1243</v>
      </c>
    </row>
    <row r="6" spans="1:10">
      <c r="A6" s="78">
        <v>1</v>
      </c>
      <c r="B6" s="154" t="s">
        <v>2323</v>
      </c>
      <c r="C6" s="627"/>
      <c r="D6" s="627">
        <v>0</v>
      </c>
      <c r="E6" s="627"/>
      <c r="F6" s="627"/>
      <c r="G6" s="627"/>
      <c r="H6" s="627">
        <f t="shared" ref="H6:H18" si="0">1.05*D6</f>
        <v>0</v>
      </c>
      <c r="I6" s="131"/>
      <c r="J6" s="627">
        <f>1.05*H6</f>
        <v>0</v>
      </c>
    </row>
    <row r="7" spans="1:10">
      <c r="A7" s="78">
        <v>2</v>
      </c>
      <c r="B7" s="154" t="s">
        <v>1396</v>
      </c>
      <c r="C7" s="627"/>
      <c r="D7" s="627">
        <f>'[1]P&amp;L21-22'!$B$40/100</f>
        <v>5.5336189000000005</v>
      </c>
      <c r="E7" s="627"/>
      <c r="F7" s="627"/>
      <c r="G7" s="627"/>
      <c r="H7" s="627">
        <f t="shared" si="0"/>
        <v>5.8102998450000003</v>
      </c>
      <c r="I7" s="131"/>
      <c r="J7" s="627">
        <f t="shared" ref="J7:J18" si="1">1.05*H7</f>
        <v>6.1008148372500006</v>
      </c>
    </row>
    <row r="8" spans="1:10">
      <c r="A8" s="78">
        <f>+A7+1</f>
        <v>3</v>
      </c>
      <c r="B8" s="154" t="s">
        <v>1377</v>
      </c>
      <c r="C8" s="627"/>
      <c r="D8" s="627">
        <f>'[1]P&amp;L21-22'!$B$43/100</f>
        <v>0</v>
      </c>
      <c r="E8" s="627"/>
      <c r="F8" s="627"/>
      <c r="G8" s="627"/>
      <c r="H8" s="627">
        <f t="shared" si="0"/>
        <v>0</v>
      </c>
      <c r="I8" s="131"/>
      <c r="J8" s="627">
        <f t="shared" si="1"/>
        <v>0</v>
      </c>
    </row>
    <row r="9" spans="1:10">
      <c r="A9" s="78">
        <f t="shared" ref="A9:A16" si="2">+A8+1</f>
        <v>4</v>
      </c>
      <c r="B9" s="169" t="s">
        <v>961</v>
      </c>
      <c r="C9" s="648"/>
      <c r="D9" s="627">
        <f>'[1]P&amp;L21-22'!$B$35/100</f>
        <v>65.114296139999993</v>
      </c>
      <c r="E9" s="648"/>
      <c r="F9" s="648"/>
      <c r="G9" s="648"/>
      <c r="H9" s="627">
        <f t="shared" si="0"/>
        <v>68.370010946999997</v>
      </c>
      <c r="I9" s="148"/>
      <c r="J9" s="627">
        <f t="shared" si="1"/>
        <v>71.788511494350004</v>
      </c>
    </row>
    <row r="10" spans="1:10">
      <c r="A10" s="78">
        <f t="shared" si="2"/>
        <v>5</v>
      </c>
      <c r="B10" s="169" t="s">
        <v>1379</v>
      </c>
      <c r="C10" s="648"/>
      <c r="D10" s="627">
        <f>'[1]P&amp;L21-22'!$B$23/100</f>
        <v>19.5229286</v>
      </c>
      <c r="E10" s="648"/>
      <c r="F10" s="648"/>
      <c r="G10" s="648"/>
      <c r="H10" s="627">
        <f t="shared" si="0"/>
        <v>20.49907503</v>
      </c>
      <c r="I10" s="148"/>
      <c r="J10" s="627">
        <f t="shared" si="1"/>
        <v>21.5240287815</v>
      </c>
    </row>
    <row r="11" spans="1:10">
      <c r="A11" s="78">
        <f t="shared" si="2"/>
        <v>6</v>
      </c>
      <c r="B11" s="154" t="s">
        <v>830</v>
      </c>
      <c r="C11" s="648"/>
      <c r="D11" s="627">
        <v>0</v>
      </c>
      <c r="E11" s="648"/>
      <c r="F11" s="648"/>
      <c r="G11" s="648"/>
      <c r="H11" s="627">
        <f t="shared" si="0"/>
        <v>0</v>
      </c>
      <c r="I11" s="148"/>
      <c r="J11" s="627">
        <f t="shared" si="1"/>
        <v>0</v>
      </c>
    </row>
    <row r="12" spans="1:10">
      <c r="A12" s="78">
        <f t="shared" si="2"/>
        <v>7</v>
      </c>
      <c r="B12" s="154" t="s">
        <v>1376</v>
      </c>
      <c r="C12" s="648"/>
      <c r="D12" s="627">
        <f>'[1]P&amp;L21-22'!$B$36/100</f>
        <v>0</v>
      </c>
      <c r="E12" s="648"/>
      <c r="F12" s="648"/>
      <c r="G12" s="648"/>
      <c r="H12" s="627">
        <f t="shared" si="0"/>
        <v>0</v>
      </c>
      <c r="I12" s="148"/>
      <c r="J12" s="627">
        <f t="shared" si="1"/>
        <v>0</v>
      </c>
    </row>
    <row r="13" spans="1:10">
      <c r="A13" s="78">
        <f t="shared" si="2"/>
        <v>8</v>
      </c>
      <c r="B13" s="154" t="s">
        <v>1378</v>
      </c>
      <c r="C13" s="648"/>
      <c r="D13" s="627">
        <f>'[1]P&amp;L21-22'!$B$22/100</f>
        <v>6.4105212740000006</v>
      </c>
      <c r="E13" s="648"/>
      <c r="F13" s="648"/>
      <c r="G13" s="648"/>
      <c r="H13" s="627">
        <f t="shared" si="0"/>
        <v>6.7310473377000006</v>
      </c>
      <c r="I13" s="148"/>
      <c r="J13" s="627">
        <f t="shared" si="1"/>
        <v>7.0675997045850005</v>
      </c>
    </row>
    <row r="14" spans="1:10" ht="31.5">
      <c r="A14" s="78">
        <f t="shared" si="2"/>
        <v>9</v>
      </c>
      <c r="B14" s="169" t="s">
        <v>831</v>
      </c>
      <c r="C14" s="626"/>
      <c r="D14" s="627">
        <f>'[1]P&amp;L21-22'!$B$34/100</f>
        <v>1.8599999999999999E-4</v>
      </c>
      <c r="E14" s="626"/>
      <c r="F14" s="627"/>
      <c r="G14" s="627"/>
      <c r="H14" s="627">
        <f t="shared" si="0"/>
        <v>1.953E-4</v>
      </c>
      <c r="I14" s="148"/>
      <c r="J14" s="627">
        <f t="shared" si="1"/>
        <v>2.0506500000000002E-4</v>
      </c>
    </row>
    <row r="15" spans="1:10">
      <c r="A15" s="78">
        <f t="shared" si="2"/>
        <v>10</v>
      </c>
      <c r="B15" s="169" t="s">
        <v>2322</v>
      </c>
      <c r="C15" s="626"/>
      <c r="D15" s="627">
        <f>'[1]P&amp;L21-22'!$B$21/100</f>
        <v>0.82491389199999998</v>
      </c>
      <c r="E15" s="626"/>
      <c r="F15" s="627"/>
      <c r="G15" s="627"/>
      <c r="H15" s="627">
        <f t="shared" si="0"/>
        <v>0.86615958660000003</v>
      </c>
      <c r="I15" s="148"/>
      <c r="J15" s="627">
        <f t="shared" si="1"/>
        <v>0.90946756593000011</v>
      </c>
    </row>
    <row r="16" spans="1:10">
      <c r="A16" s="78">
        <f t="shared" si="2"/>
        <v>11</v>
      </c>
      <c r="B16" s="649" t="s">
        <v>163</v>
      </c>
      <c r="C16" s="627"/>
      <c r="D16" s="627"/>
      <c r="E16" s="626"/>
      <c r="F16" s="627"/>
      <c r="G16" s="627"/>
      <c r="H16" s="627">
        <f t="shared" si="0"/>
        <v>0</v>
      </c>
      <c r="I16" s="148"/>
      <c r="J16" s="627">
        <f t="shared" si="1"/>
        <v>0</v>
      </c>
    </row>
    <row r="17" spans="1:15">
      <c r="A17" s="650"/>
      <c r="B17" s="651" t="s">
        <v>965</v>
      </c>
      <c r="C17" s="627"/>
      <c r="D17" s="627">
        <f>'[1]P&amp;L21-22'!$B$41/100</f>
        <v>0.80328889199999987</v>
      </c>
      <c r="E17" s="626"/>
      <c r="F17" s="627"/>
      <c r="G17" s="627"/>
      <c r="H17" s="627">
        <f t="shared" si="0"/>
        <v>0.84345333659999988</v>
      </c>
      <c r="I17" s="148"/>
      <c r="J17" s="627">
        <f t="shared" si="1"/>
        <v>0.88562600342999986</v>
      </c>
    </row>
    <row r="18" spans="1:15">
      <c r="A18" s="650"/>
      <c r="B18" s="651" t="s">
        <v>966</v>
      </c>
      <c r="C18" s="627"/>
      <c r="D18" s="627">
        <f>'[1]P&amp;L21-22'!$B$42/100</f>
        <v>9.6999999999999989E-2</v>
      </c>
      <c r="E18" s="626"/>
      <c r="F18" s="627"/>
      <c r="G18" s="627"/>
      <c r="H18" s="627">
        <f t="shared" si="0"/>
        <v>0.10185</v>
      </c>
      <c r="I18" s="148"/>
      <c r="J18" s="627">
        <f t="shared" si="1"/>
        <v>0.1069425</v>
      </c>
    </row>
    <row r="19" spans="1:15">
      <c r="A19" s="650"/>
      <c r="B19" s="651" t="s">
        <v>967</v>
      </c>
      <c r="C19" s="627"/>
      <c r="D19" s="627">
        <f>'[8]Non Tariff Income'!$C19</f>
        <v>0</v>
      </c>
      <c r="E19" s="626"/>
      <c r="F19" s="627"/>
      <c r="G19" s="627"/>
      <c r="H19" s="283">
        <f t="shared" ref="H19" ca="1" si="3">D19*(1+$H$21)</f>
        <v>0</v>
      </c>
      <c r="I19" s="148"/>
      <c r="J19" s="283">
        <f ca="1">F19*(1+$J$21)</f>
        <v>0</v>
      </c>
      <c r="L19" s="640">
        <f ca="1">H20-D20</f>
        <v>4.9153376849000381</v>
      </c>
    </row>
    <row r="20" spans="1:15" ht="16.5" thickBot="1">
      <c r="A20" s="446"/>
      <c r="B20" s="652" t="s">
        <v>68</v>
      </c>
      <c r="C20" s="655">
        <v>76.5</v>
      </c>
      <c r="D20" s="656">
        <f>SUM(D6:D19)</f>
        <v>98.30675369799998</v>
      </c>
      <c r="E20" s="656">
        <v>133.69999999999999</v>
      </c>
      <c r="F20" s="655"/>
      <c r="G20" s="655"/>
      <c r="H20" s="656">
        <f ca="1">SUM(H6:H19)</f>
        <v>103.22209138290002</v>
      </c>
      <c r="I20" s="656">
        <v>84.34</v>
      </c>
      <c r="J20" s="656">
        <f ca="1">SUM(J6:J19)</f>
        <v>108.38319595204503</v>
      </c>
      <c r="L20" s="640">
        <f ca="1">J20-H20</f>
        <v>5.1611045691450101</v>
      </c>
    </row>
    <row r="21" spans="1:15" ht="16.5" thickTop="1">
      <c r="A21" s="653"/>
      <c r="B21" s="654"/>
      <c r="C21" s="654"/>
      <c r="D21" s="998"/>
      <c r="E21" s="998"/>
      <c r="F21" s="654"/>
      <c r="G21" s="654"/>
      <c r="H21" s="657">
        <f ca="1">H20/D20-1</f>
        <v>5.0000000000000488E-2</v>
      </c>
      <c r="I21" s="640"/>
      <c r="J21" s="657">
        <f ca="1">J20/H20-1</f>
        <v>5.0000000000000044E-2</v>
      </c>
      <c r="O21" s="640"/>
    </row>
    <row r="22" spans="1:15">
      <c r="H22" s="640"/>
      <c r="J22" s="640"/>
    </row>
    <row r="23" spans="1:15">
      <c r="A23" s="1802" t="s">
        <v>174</v>
      </c>
      <c r="B23" s="1325" t="s">
        <v>48</v>
      </c>
      <c r="C23" s="1365" t="s">
        <v>1916</v>
      </c>
      <c r="D23" s="1365"/>
      <c r="E23" s="1758" t="s">
        <v>1917</v>
      </c>
      <c r="F23" s="1758"/>
      <c r="G23" s="1758"/>
      <c r="H23" s="1758"/>
      <c r="I23" s="1365" t="s">
        <v>1918</v>
      </c>
      <c r="J23" s="1365"/>
    </row>
    <row r="24" spans="1:15" ht="47.25">
      <c r="A24" s="1802"/>
      <c r="B24" s="1325"/>
      <c r="C24" s="455" t="s">
        <v>1235</v>
      </c>
      <c r="D24" s="328" t="s">
        <v>1919</v>
      </c>
      <c r="E24" s="455" t="s">
        <v>1235</v>
      </c>
      <c r="F24" s="455" t="s">
        <v>1239</v>
      </c>
      <c r="G24" s="455" t="s">
        <v>1240</v>
      </c>
      <c r="H24" s="459" t="s">
        <v>1241</v>
      </c>
      <c r="I24" s="455" t="s">
        <v>1235</v>
      </c>
      <c r="J24" s="455" t="s">
        <v>1243</v>
      </c>
    </row>
    <row r="25" spans="1:15">
      <c r="A25" s="148">
        <v>1</v>
      </c>
      <c r="B25" s="148" t="s">
        <v>1373</v>
      </c>
      <c r="C25" s="148">
        <v>72.86</v>
      </c>
      <c r="D25" s="148">
        <v>43.14</v>
      </c>
      <c r="E25" s="560">
        <f>C27</f>
        <v>76.503</v>
      </c>
      <c r="F25" s="148"/>
      <c r="G25" s="148"/>
      <c r="H25" s="560">
        <f>D27</f>
        <v>45.296999999999997</v>
      </c>
      <c r="I25" s="560">
        <f>E27</f>
        <v>80.328149999999994</v>
      </c>
      <c r="J25" s="560">
        <f>H27</f>
        <v>47.56185</v>
      </c>
    </row>
    <row r="26" spans="1:15">
      <c r="A26" s="148">
        <v>2</v>
      </c>
      <c r="B26" s="148" t="s">
        <v>1374</v>
      </c>
      <c r="C26" s="543">
        <f>C25*5%</f>
        <v>3.6430000000000002</v>
      </c>
      <c r="D26" s="543">
        <f>D25*5%</f>
        <v>2.157</v>
      </c>
      <c r="E26" s="543">
        <f>E25*5%</f>
        <v>3.8251500000000003</v>
      </c>
      <c r="F26" s="543"/>
      <c r="G26" s="543"/>
      <c r="H26" s="543">
        <f>H25*5%</f>
        <v>2.26485</v>
      </c>
      <c r="I26" s="543">
        <f>I25*5%</f>
        <v>4.0164074999999997</v>
      </c>
      <c r="J26" s="543">
        <f>J25*5%</f>
        <v>2.3780925000000002</v>
      </c>
    </row>
    <row r="27" spans="1:15">
      <c r="A27" s="148">
        <v>3</v>
      </c>
      <c r="B27" s="148" t="s">
        <v>1375</v>
      </c>
      <c r="C27" s="560">
        <f>C25+C26</f>
        <v>76.503</v>
      </c>
      <c r="D27" s="560">
        <f>D25+D26</f>
        <v>45.296999999999997</v>
      </c>
      <c r="E27" s="560">
        <f>E25+E26</f>
        <v>80.328149999999994</v>
      </c>
      <c r="F27" s="560"/>
      <c r="G27" s="560"/>
      <c r="H27" s="560">
        <f>H25+H26</f>
        <v>47.56185</v>
      </c>
      <c r="I27" s="560">
        <f>I25+I26</f>
        <v>84.344557499999993</v>
      </c>
      <c r="J27" s="560">
        <f>J25+J26</f>
        <v>49.939942500000001</v>
      </c>
    </row>
    <row r="29" spans="1:15" s="775" customFormat="1"/>
    <row r="31" spans="1:15">
      <c r="H31" s="832" t="s">
        <v>427</v>
      </c>
    </row>
  </sheetData>
  <mergeCells count="15">
    <mergeCell ref="I4:J4"/>
    <mergeCell ref="I2:J2"/>
    <mergeCell ref="A23:A24"/>
    <mergeCell ref="B23:B24"/>
    <mergeCell ref="C23:D23"/>
    <mergeCell ref="E23:H23"/>
    <mergeCell ref="I23:J23"/>
    <mergeCell ref="A1:H1"/>
    <mergeCell ref="G2:H2"/>
    <mergeCell ref="G3:H3"/>
    <mergeCell ref="A4:A5"/>
    <mergeCell ref="B4:B5"/>
    <mergeCell ref="C4:D4"/>
    <mergeCell ref="A2:B2"/>
    <mergeCell ref="E4:H4"/>
  </mergeCells>
  <pageMargins left="0.70866141732283472" right="0.70866141732283472" top="0.74803149606299213" bottom="0.74803149606299213" header="0.31496062992125984" footer="0.31496062992125984"/>
  <pageSetup paperSize="9" scale="65"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D80"/>
  <sheetViews>
    <sheetView showGridLines="0" view="pageBreakPreview" topLeftCell="C4" zoomScale="80" zoomScaleNormal="100" zoomScaleSheetLayoutView="80" workbookViewId="0">
      <selection activeCell="J12" sqref="J12"/>
    </sheetView>
  </sheetViews>
  <sheetFormatPr defaultColWidth="9.140625" defaultRowHeight="15.75"/>
  <cols>
    <col min="1" max="1" width="9.140625" style="75"/>
    <col min="2" max="2" width="34.5703125" style="75" customWidth="1"/>
    <col min="3" max="5" width="12.7109375" style="75" customWidth="1"/>
    <col min="6" max="7" width="12.7109375" style="75" hidden="1" customWidth="1"/>
    <col min="8" max="10" width="12.7109375" style="75" customWidth="1"/>
    <col min="11" max="12" width="9.140625" style="75"/>
    <col min="13" max="13" width="11" style="75" bestFit="1" customWidth="1"/>
    <col min="14" max="14" width="9.140625" style="75"/>
    <col min="15" max="15" width="9.7109375" style="99" bestFit="1" customWidth="1"/>
    <col min="16" max="16" width="9.140625" style="99"/>
    <col min="17" max="16384" width="9.140625" style="75"/>
  </cols>
  <sheetData>
    <row r="1" spans="1:30" ht="21" customHeight="1">
      <c r="A1" s="1545" t="s">
        <v>1233</v>
      </c>
      <c r="B1" s="1545"/>
      <c r="C1" s="1545"/>
      <c r="D1" s="1545"/>
      <c r="E1" s="1545"/>
      <c r="F1" s="1545"/>
      <c r="G1" s="1545"/>
      <c r="H1" s="1545"/>
    </row>
    <row r="2" spans="1:30" ht="21" customHeight="1">
      <c r="A2" s="1391" t="s">
        <v>834</v>
      </c>
      <c r="B2" s="1391"/>
      <c r="C2" s="610"/>
      <c r="D2" s="610"/>
      <c r="E2" s="610"/>
      <c r="F2" s="610"/>
      <c r="G2" s="1552"/>
      <c r="H2" s="1552"/>
      <c r="I2" s="1552" t="s">
        <v>840</v>
      </c>
      <c r="J2" s="1552"/>
    </row>
    <row r="3" spans="1:30" ht="21" customHeight="1">
      <c r="A3" s="611"/>
      <c r="B3" s="611"/>
      <c r="C3" s="611"/>
      <c r="D3" s="611"/>
      <c r="E3" s="611"/>
      <c r="F3" s="611"/>
      <c r="G3" s="1807" t="s">
        <v>345</v>
      </c>
      <c r="H3" s="1807"/>
    </row>
    <row r="4" spans="1:30" ht="30.75" customHeight="1" thickBot="1">
      <c r="A4" s="1808"/>
      <c r="B4" s="1810" t="s">
        <v>48</v>
      </c>
      <c r="C4" s="1365" t="s">
        <v>1916</v>
      </c>
      <c r="D4" s="1365"/>
      <c r="E4" s="1758" t="s">
        <v>1917</v>
      </c>
      <c r="F4" s="1758"/>
      <c r="G4" s="1758"/>
      <c r="H4" s="1758"/>
      <c r="I4" s="1365" t="s">
        <v>1918</v>
      </c>
      <c r="J4" s="1365"/>
      <c r="O4" s="1041">
        <v>43556</v>
      </c>
      <c r="P4" s="1042">
        <v>8.5</v>
      </c>
    </row>
    <row r="5" spans="1:30" ht="44.25" customHeight="1" thickBot="1">
      <c r="A5" s="1809"/>
      <c r="B5" s="1811"/>
      <c r="C5" s="455" t="s">
        <v>2291</v>
      </c>
      <c r="D5" s="328" t="s">
        <v>1384</v>
      </c>
      <c r="E5" s="455" t="s">
        <v>1235</v>
      </c>
      <c r="F5" s="455" t="s">
        <v>1239</v>
      </c>
      <c r="G5" s="455" t="s">
        <v>1240</v>
      </c>
      <c r="H5" s="459" t="s">
        <v>1241</v>
      </c>
      <c r="I5" s="455" t="s">
        <v>1235</v>
      </c>
      <c r="J5" s="455" t="s">
        <v>1243</v>
      </c>
      <c r="O5" s="1041">
        <v>43586</v>
      </c>
      <c r="P5" s="1042">
        <v>8.4499999999999993</v>
      </c>
      <c r="S5" s="1070">
        <v>43556</v>
      </c>
      <c r="T5" s="1071">
        <v>43586</v>
      </c>
      <c r="U5" s="1071">
        <v>43617</v>
      </c>
      <c r="V5" s="1071">
        <v>43647</v>
      </c>
      <c r="W5" s="1071">
        <v>43678</v>
      </c>
      <c r="X5" s="1071">
        <v>43709</v>
      </c>
      <c r="Y5" s="1071">
        <v>43739</v>
      </c>
      <c r="Z5" s="1071">
        <v>43770</v>
      </c>
      <c r="AA5" s="1071">
        <v>43800</v>
      </c>
      <c r="AB5" s="1071">
        <v>43466</v>
      </c>
      <c r="AC5" s="1071">
        <v>43497</v>
      </c>
      <c r="AD5" s="1071">
        <v>43525</v>
      </c>
    </row>
    <row r="6" spans="1:30" ht="63" customHeight="1" thickBot="1">
      <c r="A6" s="61">
        <v>1</v>
      </c>
      <c r="B6" s="524" t="s">
        <v>835</v>
      </c>
      <c r="C6" s="541">
        <f>'F4'!C18/12*2</f>
        <v>213.20000000000002</v>
      </c>
      <c r="D6" s="541">
        <f>'F4'!D18/12*2</f>
        <v>167.05333331666668</v>
      </c>
      <c r="E6" s="541">
        <v>215.36</v>
      </c>
      <c r="F6" s="146"/>
      <c r="G6" s="146"/>
      <c r="H6" s="541">
        <f ca="1">'F1'!I40/12*2</f>
        <v>219.91528686795186</v>
      </c>
      <c r="I6" s="541">
        <f>'F4'!I18/12*2</f>
        <v>324.38833333333332</v>
      </c>
      <c r="J6" s="541">
        <f ca="1">'F4'!J18/12*2</f>
        <v>260.64026561580368</v>
      </c>
      <c r="O6" s="1041">
        <v>43617</v>
      </c>
      <c r="P6" s="1042">
        <v>8.4499999999999993</v>
      </c>
      <c r="S6" s="1072">
        <v>8.5000000000000006E-2</v>
      </c>
      <c r="T6" s="1073">
        <v>8.4500000000000006E-2</v>
      </c>
      <c r="U6" s="1073">
        <v>8.4500000000000006E-2</v>
      </c>
      <c r="V6" s="1073">
        <v>8.4000000000000005E-2</v>
      </c>
      <c r="W6" s="1073">
        <v>8.2500000000000004E-2</v>
      </c>
      <c r="X6" s="1073">
        <v>8.1500000000000003E-2</v>
      </c>
      <c r="Y6" s="1073">
        <v>8.0500000000000002E-2</v>
      </c>
      <c r="Z6" s="1073">
        <v>0.08</v>
      </c>
      <c r="AA6" s="1073">
        <v>7.9000000000000001E-2</v>
      </c>
      <c r="AB6" s="1073">
        <v>7.9000000000000001E-2</v>
      </c>
      <c r="AC6" s="1073">
        <v>7.85E-2</v>
      </c>
      <c r="AD6" s="1073">
        <v>7.7499999999999999E-2</v>
      </c>
    </row>
    <row r="7" spans="1:30" s="99" customFormat="1" ht="32.25" thickBot="1">
      <c r="A7" s="61">
        <v>2</v>
      </c>
      <c r="B7" s="478" t="s">
        <v>836</v>
      </c>
      <c r="C7" s="541">
        <f>'F13'!C12/12</f>
        <v>27.836323246666666</v>
      </c>
      <c r="D7" s="541">
        <f>'F13'!D12/12</f>
        <v>27.257305591312669</v>
      </c>
      <c r="E7" s="541">
        <f>'F13'!E12/12</f>
        <v>29.47738266666666</v>
      </c>
      <c r="F7" s="670"/>
      <c r="G7" s="670"/>
      <c r="H7" s="541">
        <f>'F13'!H12/12</f>
        <v>31.475822419706031</v>
      </c>
      <c r="I7" s="541">
        <f>'F13'!I12/12</f>
        <v>38.989435732833336</v>
      </c>
      <c r="J7" s="541">
        <f>'F13'!J12/12</f>
        <v>35.41787850302569</v>
      </c>
      <c r="M7" s="1059"/>
      <c r="O7" s="1041">
        <v>43647</v>
      </c>
      <c r="P7" s="1042">
        <v>8.4</v>
      </c>
      <c r="S7" s="1804" t="s">
        <v>2321</v>
      </c>
      <c r="T7" s="1805"/>
      <c r="U7" s="1805"/>
      <c r="V7" s="1805"/>
      <c r="W7" s="1805"/>
      <c r="X7" s="1805"/>
      <c r="Y7" s="1805"/>
      <c r="Z7" s="1805"/>
      <c r="AA7" s="1805"/>
      <c r="AB7" s="1805"/>
      <c r="AC7" s="1806"/>
      <c r="AD7" s="1074">
        <v>8.1572000000000006E-2</v>
      </c>
    </row>
    <row r="8" spans="1:30" ht="31.5">
      <c r="A8" s="61">
        <v>3</v>
      </c>
      <c r="B8" s="529" t="s">
        <v>2290</v>
      </c>
      <c r="C8" s="541">
        <f>('F13'!C12/12)*15%</f>
        <v>4.1754484869999997</v>
      </c>
      <c r="D8" s="541">
        <f>('F13'!D12/12)*15%</f>
        <v>4.0885958386969001</v>
      </c>
      <c r="E8" s="541">
        <f>('F13'!E12/12)*15%</f>
        <v>4.4216073999999992</v>
      </c>
      <c r="F8" s="662"/>
      <c r="G8" s="662"/>
      <c r="H8" s="541">
        <f>('F13'!H12/12)*15%</f>
        <v>4.7213733629559043</v>
      </c>
      <c r="I8" s="541">
        <f>('F13'!I12/12)*15%</f>
        <v>5.8484153599250002</v>
      </c>
      <c r="J8" s="541">
        <f>('F13'!J12/12)*15%</f>
        <v>5.3126817754538536</v>
      </c>
      <c r="O8" s="1041">
        <v>43678</v>
      </c>
      <c r="P8" s="1040">
        <v>8.25</v>
      </c>
    </row>
    <row r="9" spans="1:30" s="99" customFormat="1" ht="63">
      <c r="A9" s="61">
        <v>4</v>
      </c>
      <c r="B9" s="532" t="s">
        <v>1397</v>
      </c>
      <c r="C9" s="541">
        <f>('F7-2'!C54/12*2)+('F10'!C39/12*2)</f>
        <v>110.83815431963033</v>
      </c>
      <c r="D9" s="541">
        <f>('F7-2'!D56/12*2)+('F10'!D39/12*2)</f>
        <v>83.927073858526668</v>
      </c>
      <c r="E9" s="541">
        <f>('F7-2'!E54/12*2)+('F10'!E39/12*2)</f>
        <v>111.47808597172744</v>
      </c>
      <c r="F9" s="670"/>
      <c r="G9" s="670"/>
      <c r="H9" s="541">
        <f>('F7-2'!H54/12*2)+('F10'!H39/12*2)</f>
        <v>125.06143971492287</v>
      </c>
      <c r="I9" s="541">
        <f>('F7-2'!I54/12*2)+('F10'!I39/12*2)</f>
        <v>166.06550991558629</v>
      </c>
      <c r="J9" s="541">
        <f>('F7-2'!J54/12*2)+('F10'!J39/12*2)</f>
        <v>147.10035972484684</v>
      </c>
      <c r="O9" s="1041">
        <v>43709</v>
      </c>
      <c r="P9" s="1042">
        <v>8.15</v>
      </c>
    </row>
    <row r="10" spans="1:30" ht="21" customHeight="1" thickBot="1">
      <c r="A10" s="663"/>
      <c r="B10" s="664" t="s">
        <v>837</v>
      </c>
      <c r="C10" s="669">
        <f>SUM(C6:C8)-C9</f>
        <v>134.37361741403635</v>
      </c>
      <c r="D10" s="669">
        <f>SUM(D6:D8)-D9</f>
        <v>114.47216088814959</v>
      </c>
      <c r="E10" s="669">
        <f>SUM(E6:E8)-E9</f>
        <v>137.78090409493925</v>
      </c>
      <c r="F10" s="668"/>
      <c r="G10" s="668"/>
      <c r="H10" s="669">
        <f ca="1">SUM(H6:H8)-H9</f>
        <v>131.05104293569093</v>
      </c>
      <c r="I10" s="669">
        <f>SUM(I6:I8)-I9</f>
        <v>203.16067451050537</v>
      </c>
      <c r="J10" s="669">
        <f ca="1">SUM(J6:J8)-J9</f>
        <v>154.27046616943642</v>
      </c>
      <c r="O10" s="1041">
        <v>43739</v>
      </c>
      <c r="P10" s="1042">
        <v>8.0500000000000007</v>
      </c>
    </row>
    <row r="11" spans="1:30" s="99" customFormat="1" ht="31.5" customHeight="1" thickTop="1">
      <c r="A11" s="1076"/>
      <c r="B11" s="80" t="s">
        <v>838</v>
      </c>
      <c r="C11" s="1075">
        <v>0.1</v>
      </c>
      <c r="D11" s="1075">
        <f>AD7+1.5%</f>
        <v>9.6572000000000005E-2</v>
      </c>
      <c r="E11" s="1075">
        <v>9.5000000000000001E-2</v>
      </c>
      <c r="F11" s="1075"/>
      <c r="G11" s="1075"/>
      <c r="H11" s="1075">
        <f>7%+1.5%</f>
        <v>8.5000000000000006E-2</v>
      </c>
      <c r="I11" s="1075">
        <v>0.1</v>
      </c>
      <c r="J11" s="1075">
        <f>7%+1.5%</f>
        <v>8.5000000000000006E-2</v>
      </c>
      <c r="O11" s="1041">
        <v>43770</v>
      </c>
      <c r="P11" s="165">
        <v>8</v>
      </c>
    </row>
    <row r="12" spans="1:30" ht="32.25" thickBot="1">
      <c r="A12" s="663"/>
      <c r="B12" s="665" t="s">
        <v>839</v>
      </c>
      <c r="C12" s="669">
        <f>C10*C11</f>
        <v>13.437361741403635</v>
      </c>
      <c r="D12" s="669">
        <f>D10*D11</f>
        <v>11.054805521290383</v>
      </c>
      <c r="E12" s="669">
        <f>E10*E11</f>
        <v>13.089185889019229</v>
      </c>
      <c r="F12" s="669"/>
      <c r="G12" s="669"/>
      <c r="H12" s="669">
        <f ca="1">H10*H11</f>
        <v>11.13933864953373</v>
      </c>
      <c r="I12" s="669">
        <f>I10*I11</f>
        <v>20.316067451050539</v>
      </c>
      <c r="J12" s="669">
        <f ca="1">J10*J11</f>
        <v>13.112989624402097</v>
      </c>
      <c r="O12" s="1041">
        <v>43800</v>
      </c>
      <c r="P12" s="165">
        <v>7.9</v>
      </c>
    </row>
    <row r="13" spans="1:30" ht="21" customHeight="1">
      <c r="A13" s="666"/>
      <c r="B13" s="667"/>
      <c r="C13" s="667"/>
      <c r="D13" s="667"/>
      <c r="E13" s="667"/>
      <c r="F13" s="667"/>
      <c r="G13" s="667"/>
      <c r="H13" s="666"/>
      <c r="O13" s="1041">
        <v>43831</v>
      </c>
      <c r="P13" s="165">
        <v>7.9</v>
      </c>
    </row>
    <row r="14" spans="1:30" ht="21" customHeight="1">
      <c r="O14" s="1041">
        <v>43862</v>
      </c>
      <c r="P14" s="165">
        <v>7.85</v>
      </c>
    </row>
    <row r="15" spans="1:30" ht="21" customHeight="1">
      <c r="H15" s="832" t="s">
        <v>427</v>
      </c>
      <c r="O15" s="1041">
        <v>43891</v>
      </c>
      <c r="P15" s="165">
        <v>7.75</v>
      </c>
    </row>
    <row r="16" spans="1:30" ht="21" customHeight="1">
      <c r="O16" s="1041">
        <v>43922</v>
      </c>
      <c r="P16" s="165">
        <v>7.4</v>
      </c>
    </row>
    <row r="17" spans="15:16" ht="21" customHeight="1">
      <c r="O17" s="1041">
        <v>43952</v>
      </c>
      <c r="P17" s="165">
        <v>7.25</v>
      </c>
    </row>
    <row r="18" spans="15:16" ht="21" customHeight="1">
      <c r="O18" s="1041">
        <v>43983</v>
      </c>
      <c r="P18" s="165">
        <v>7</v>
      </c>
    </row>
    <row r="19" spans="15:16" ht="21" customHeight="1">
      <c r="O19" s="1041">
        <v>44013</v>
      </c>
      <c r="P19" s="165">
        <v>7</v>
      </c>
    </row>
    <row r="20" spans="15:16" ht="21" customHeight="1">
      <c r="O20" s="1041">
        <v>44044</v>
      </c>
      <c r="P20" s="165">
        <v>7</v>
      </c>
    </row>
    <row r="21" spans="15:16" ht="21" customHeight="1">
      <c r="O21" s="1041">
        <v>44075</v>
      </c>
      <c r="P21" s="165">
        <v>7</v>
      </c>
    </row>
    <row r="22" spans="15:16" ht="21" customHeight="1">
      <c r="O22" s="165"/>
      <c r="P22" s="165"/>
    </row>
    <row r="23" spans="15:16" ht="21" customHeight="1">
      <c r="O23" s="165"/>
      <c r="P23" s="165"/>
    </row>
    <row r="24" spans="15:16" ht="21" customHeight="1">
      <c r="O24" s="165"/>
      <c r="P24" s="165"/>
    </row>
    <row r="25" spans="15:16" ht="21" customHeight="1">
      <c r="O25" s="165"/>
      <c r="P25" s="165"/>
    </row>
    <row r="26" spans="15:16" ht="21" customHeight="1"/>
    <row r="27" spans="15:16" ht="21" customHeight="1"/>
    <row r="28" spans="15:16" ht="21" customHeight="1"/>
    <row r="29" spans="15:16" ht="21" customHeight="1"/>
    <row r="30" spans="15:16" ht="21" customHeight="1"/>
    <row r="31" spans="15:16" ht="21" customHeight="1"/>
    <row r="32" spans="15:1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1">
    <mergeCell ref="S7:AC7"/>
    <mergeCell ref="I4:J4"/>
    <mergeCell ref="I2:J2"/>
    <mergeCell ref="C4:D4"/>
    <mergeCell ref="A1:H1"/>
    <mergeCell ref="G2:H2"/>
    <mergeCell ref="G3:H3"/>
    <mergeCell ref="A4:A5"/>
    <mergeCell ref="B4:B5"/>
    <mergeCell ref="A2:B2"/>
    <mergeCell ref="E4:H4"/>
  </mergeCells>
  <pageMargins left="0.70866141732283472" right="0.70866141732283472" top="0.74803149606299213" bottom="0.74803149606299213" header="0.31496062992125984" footer="0.31496062992125984"/>
  <pageSetup paperSize="9" scale="72" orientation="portrait"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2D050"/>
    <pageSetUpPr fitToPage="1"/>
  </sheetPr>
  <dimension ref="A1:G22"/>
  <sheetViews>
    <sheetView showGridLines="0" view="pageBreakPreview" zoomScale="70" zoomScaleNormal="80" zoomScaleSheetLayoutView="70" workbookViewId="0">
      <selection activeCell="D9" sqref="D9:G15"/>
    </sheetView>
  </sheetViews>
  <sheetFormatPr defaultColWidth="9.140625" defaultRowHeight="15.75"/>
  <cols>
    <col min="1" max="1" width="9.140625" style="292"/>
    <col min="2" max="2" width="55.140625" style="292" bestFit="1" customWidth="1"/>
    <col min="3" max="7" width="20" style="292" customWidth="1"/>
    <col min="8" max="16384" width="9.140625" style="292"/>
  </cols>
  <sheetData>
    <row r="1" spans="1:7" ht="21" customHeight="1">
      <c r="A1" s="1803" t="s">
        <v>1233</v>
      </c>
      <c r="B1" s="1803"/>
      <c r="C1" s="1803"/>
      <c r="D1" s="1803"/>
      <c r="E1" s="1803"/>
      <c r="F1" s="1803"/>
      <c r="G1" s="1803"/>
    </row>
    <row r="2" spans="1:7" ht="21" customHeight="1">
      <c r="A2" s="1803" t="s">
        <v>317</v>
      </c>
      <c r="B2" s="1803"/>
      <c r="C2" s="610"/>
      <c r="D2" s="610"/>
      <c r="E2" s="610"/>
      <c r="F2" s="610" t="s">
        <v>841</v>
      </c>
      <c r="G2" s="610"/>
    </row>
    <row r="3" spans="1:7" ht="21" customHeight="1">
      <c r="A3" s="653"/>
      <c r="B3" s="653"/>
      <c r="C3" s="653"/>
      <c r="D3" s="653"/>
      <c r="E3" s="653"/>
      <c r="F3" s="1801" t="s">
        <v>345</v>
      </c>
      <c r="G3" s="1801"/>
    </row>
    <row r="4" spans="1:7" ht="68.25" customHeight="1">
      <c r="A4" s="675" t="s">
        <v>274</v>
      </c>
      <c r="B4" s="675" t="s">
        <v>318</v>
      </c>
      <c r="C4" s="675" t="s">
        <v>319</v>
      </c>
      <c r="D4" s="675" t="s">
        <v>320</v>
      </c>
      <c r="E4" s="675" t="s">
        <v>321</v>
      </c>
      <c r="F4" s="675" t="s">
        <v>322</v>
      </c>
      <c r="G4" s="675" t="s">
        <v>323</v>
      </c>
    </row>
    <row r="5" spans="1:7" ht="21" customHeight="1">
      <c r="A5" s="676"/>
      <c r="B5" s="676"/>
      <c r="C5" s="276">
        <v>0</v>
      </c>
      <c r="D5" s="276">
        <v>0</v>
      </c>
      <c r="E5" s="276">
        <v>0</v>
      </c>
      <c r="F5" s="276">
        <v>0</v>
      </c>
      <c r="G5" s="276">
        <v>0</v>
      </c>
    </row>
    <row r="6" spans="1:7" ht="21" customHeight="1">
      <c r="A6" s="530" t="s">
        <v>848</v>
      </c>
    </row>
    <row r="7" spans="1:7" ht="21" customHeight="1">
      <c r="A7" s="1808" t="s">
        <v>174</v>
      </c>
      <c r="B7" s="1810" t="s">
        <v>48</v>
      </c>
      <c r="C7" s="1810"/>
      <c r="D7" s="1810" t="s">
        <v>594</v>
      </c>
      <c r="E7" s="1810" t="s">
        <v>595</v>
      </c>
      <c r="F7" s="1812" t="s">
        <v>779</v>
      </c>
      <c r="G7" s="1813"/>
    </row>
    <row r="8" spans="1:7" ht="21" customHeight="1">
      <c r="A8" s="1809"/>
      <c r="B8" s="1811"/>
      <c r="C8" s="1811"/>
      <c r="D8" s="1811"/>
      <c r="E8" s="1811"/>
      <c r="F8" s="1814"/>
      <c r="G8" s="1815"/>
    </row>
    <row r="9" spans="1:7">
      <c r="A9" s="675" t="s">
        <v>342</v>
      </c>
      <c r="B9" s="169" t="s">
        <v>849</v>
      </c>
      <c r="C9" s="531" t="s">
        <v>342</v>
      </c>
      <c r="D9" s="1817" t="s">
        <v>968</v>
      </c>
      <c r="E9" s="1818"/>
      <c r="F9" s="1818"/>
      <c r="G9" s="1819"/>
    </row>
    <row r="10" spans="1:7">
      <c r="A10" s="169"/>
      <c r="B10" s="169" t="s">
        <v>850</v>
      </c>
      <c r="C10" s="531" t="s">
        <v>210</v>
      </c>
      <c r="D10" s="1820"/>
      <c r="E10" s="1821"/>
      <c r="F10" s="1821"/>
      <c r="G10" s="1822"/>
    </row>
    <row r="11" spans="1:7">
      <c r="A11" s="169"/>
      <c r="B11" s="169" t="s">
        <v>851</v>
      </c>
      <c r="C11" s="531" t="s">
        <v>852</v>
      </c>
      <c r="D11" s="1820"/>
      <c r="E11" s="1821"/>
      <c r="F11" s="1821"/>
      <c r="G11" s="1822"/>
    </row>
    <row r="12" spans="1:7" ht="31.5">
      <c r="A12" s="675" t="s">
        <v>853</v>
      </c>
      <c r="B12" s="169" t="s">
        <v>854</v>
      </c>
      <c r="C12" s="531" t="s">
        <v>161</v>
      </c>
      <c r="D12" s="1820"/>
      <c r="E12" s="1821"/>
      <c r="F12" s="1821"/>
      <c r="G12" s="1822"/>
    </row>
    <row r="13" spans="1:7" ht="31.5">
      <c r="A13" s="169"/>
      <c r="B13" s="169" t="s">
        <v>855</v>
      </c>
      <c r="C13" s="531" t="s">
        <v>208</v>
      </c>
      <c r="D13" s="1820"/>
      <c r="E13" s="1821"/>
      <c r="F13" s="1821"/>
      <c r="G13" s="1822"/>
    </row>
    <row r="14" spans="1:7" ht="31.5">
      <c r="A14" s="169"/>
      <c r="B14" s="169" t="s">
        <v>856</v>
      </c>
      <c r="C14" s="531" t="s">
        <v>857</v>
      </c>
      <c r="D14" s="1820"/>
      <c r="E14" s="1821"/>
      <c r="F14" s="1821"/>
      <c r="G14" s="1822"/>
    </row>
    <row r="15" spans="1:7" ht="31.5">
      <c r="A15" s="675" t="s">
        <v>858</v>
      </c>
      <c r="B15" s="169" t="s">
        <v>862</v>
      </c>
      <c r="C15" s="78" t="s">
        <v>859</v>
      </c>
      <c r="D15" s="1823"/>
      <c r="E15" s="1824"/>
      <c r="F15" s="1824"/>
      <c r="G15" s="1825"/>
    </row>
    <row r="16" spans="1:7" ht="21" customHeight="1">
      <c r="A16" s="677" t="s">
        <v>860</v>
      </c>
    </row>
    <row r="17" spans="1:7" ht="33" customHeight="1">
      <c r="A17" s="1816" t="s">
        <v>861</v>
      </c>
      <c r="B17" s="1816"/>
      <c r="C17" s="1816"/>
      <c r="D17" s="1816"/>
      <c r="E17" s="1816"/>
      <c r="F17" s="1816"/>
      <c r="G17" s="1816"/>
    </row>
    <row r="18" spans="1:7" ht="21" customHeight="1"/>
    <row r="19" spans="1:7" ht="21" customHeight="1"/>
    <row r="20" spans="1:7" ht="21" customHeight="1">
      <c r="E20" s="832"/>
      <c r="F20" s="832" t="s">
        <v>427</v>
      </c>
    </row>
    <row r="21" spans="1:7" ht="21" customHeight="1"/>
    <row r="22" spans="1:7" ht="21" customHeight="1"/>
  </sheetData>
  <mergeCells count="11">
    <mergeCell ref="F3:G3"/>
    <mergeCell ref="A1:G1"/>
    <mergeCell ref="F7:G8"/>
    <mergeCell ref="A2:B2"/>
    <mergeCell ref="A17:G17"/>
    <mergeCell ref="A7:A8"/>
    <mergeCell ref="B7:B8"/>
    <mergeCell ref="C7:C8"/>
    <mergeCell ref="D7:D8"/>
    <mergeCell ref="E7:E8"/>
    <mergeCell ref="D9:G15"/>
  </mergeCells>
  <pageMargins left="0.70866141732283472" right="0.70866141732283472" top="0.74803149606299213" bottom="0.74803149606299213" header="0.31496062992125984" footer="0.31496062992125984"/>
  <pageSetup paperSize="9" scale="5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2D050"/>
    <pageSetUpPr fitToPage="1"/>
  </sheetPr>
  <dimension ref="A1:J84"/>
  <sheetViews>
    <sheetView showGridLines="0" view="pageBreakPreview" zoomScale="73" zoomScaleNormal="100" zoomScaleSheetLayoutView="73" workbookViewId="0">
      <selection activeCell="I12" sqref="I12:I13"/>
    </sheetView>
  </sheetViews>
  <sheetFormatPr defaultColWidth="9.140625" defaultRowHeight="15.75"/>
  <cols>
    <col min="1" max="1" width="9.140625" style="75"/>
    <col min="2" max="2" width="34" style="75" customWidth="1"/>
    <col min="3" max="5" width="16" style="75" customWidth="1"/>
    <col min="6" max="7" width="16" style="75" hidden="1" customWidth="1"/>
    <col min="8" max="10" width="16" style="75" customWidth="1"/>
    <col min="11" max="16384" width="9.140625" style="75"/>
  </cols>
  <sheetData>
    <row r="1" spans="1:10" ht="21" customHeight="1">
      <c r="A1" s="1412" t="s">
        <v>1233</v>
      </c>
      <c r="B1" s="1412"/>
      <c r="C1" s="1412"/>
      <c r="D1" s="1412"/>
      <c r="E1" s="1412"/>
      <c r="F1" s="1412"/>
      <c r="G1" s="1412"/>
      <c r="H1" s="1412"/>
    </row>
    <row r="2" spans="1:10" ht="21" customHeight="1">
      <c r="A2" s="1772" t="s">
        <v>36</v>
      </c>
      <c r="B2" s="1772"/>
      <c r="C2" s="1772"/>
      <c r="D2" s="1772"/>
      <c r="E2" s="1772"/>
      <c r="F2" s="1772"/>
      <c r="G2" s="1552"/>
      <c r="H2" s="1552"/>
      <c r="I2" s="1552" t="s">
        <v>842</v>
      </c>
      <c r="J2" s="1552"/>
    </row>
    <row r="3" spans="1:10" ht="21" customHeight="1">
      <c r="G3" s="1326" t="s">
        <v>345</v>
      </c>
      <c r="H3" s="1326"/>
    </row>
    <row r="4" spans="1:10" ht="43.5" customHeight="1">
      <c r="A4" s="1383" t="s">
        <v>274</v>
      </c>
      <c r="B4" s="1383" t="s">
        <v>48</v>
      </c>
      <c r="C4" s="1365" t="s">
        <v>1916</v>
      </c>
      <c r="D4" s="1365"/>
      <c r="E4" s="1758" t="s">
        <v>1917</v>
      </c>
      <c r="F4" s="1758"/>
      <c r="G4" s="1758"/>
      <c r="H4" s="1758"/>
      <c r="I4" s="1365" t="s">
        <v>1918</v>
      </c>
      <c r="J4" s="1365"/>
    </row>
    <row r="5" spans="1:10" ht="47.25">
      <c r="A5" s="1384"/>
      <c r="B5" s="1384"/>
      <c r="C5" s="455" t="s">
        <v>1250</v>
      </c>
      <c r="D5" s="328" t="s">
        <v>1384</v>
      </c>
      <c r="E5" s="455" t="s">
        <v>1235</v>
      </c>
      <c r="F5" s="455" t="s">
        <v>1239</v>
      </c>
      <c r="G5" s="455" t="s">
        <v>1240</v>
      </c>
      <c r="H5" s="459" t="s">
        <v>1241</v>
      </c>
      <c r="I5" s="455" t="s">
        <v>1235</v>
      </c>
      <c r="J5" s="455" t="s">
        <v>1243</v>
      </c>
    </row>
    <row r="6" spans="1:10" ht="28.5" customHeight="1">
      <c r="A6" s="78">
        <v>1</v>
      </c>
      <c r="B6" s="169" t="s">
        <v>288</v>
      </c>
      <c r="C6" s="61">
        <f>'F7-2'!C22</f>
        <v>0</v>
      </c>
      <c r="D6" s="541">
        <f>'F5-8'!E11</f>
        <v>57.98</v>
      </c>
      <c r="E6" s="78"/>
      <c r="F6" s="78"/>
      <c r="G6" s="78"/>
      <c r="H6" s="541">
        <f>'F5-8'!I11</f>
        <v>102.29311199999999</v>
      </c>
      <c r="I6" s="131"/>
      <c r="J6" s="541">
        <f>'F5-8'!K11</f>
        <v>127.36961999999998</v>
      </c>
    </row>
    <row r="7" spans="1:10" ht="21" customHeight="1">
      <c r="A7" s="78">
        <v>2</v>
      </c>
      <c r="B7" s="169" t="s">
        <v>289</v>
      </c>
      <c r="C7" s="78"/>
      <c r="D7" s="78"/>
      <c r="E7" s="78"/>
      <c r="F7" s="85"/>
      <c r="G7" s="85"/>
      <c r="H7" s="85"/>
      <c r="I7" s="131"/>
      <c r="J7" s="148"/>
    </row>
    <row r="8" spans="1:10" ht="21" customHeight="1">
      <c r="A8" s="678"/>
      <c r="B8" s="154" t="s">
        <v>290</v>
      </c>
      <c r="C8" s="540"/>
      <c r="D8" s="540">
        <v>0</v>
      </c>
      <c r="E8" s="540"/>
      <c r="F8" s="839"/>
      <c r="G8" s="839"/>
      <c r="H8" s="540">
        <v>0</v>
      </c>
      <c r="I8" s="316"/>
      <c r="J8" s="540">
        <v>0</v>
      </c>
    </row>
    <row r="9" spans="1:10" ht="21" customHeight="1">
      <c r="A9" s="678"/>
      <c r="B9" s="154" t="s">
        <v>291</v>
      </c>
      <c r="C9" s="540"/>
      <c r="D9" s="540">
        <v>0</v>
      </c>
      <c r="E9" s="540"/>
      <c r="F9" s="839"/>
      <c r="G9" s="839"/>
      <c r="H9" s="540">
        <v>0</v>
      </c>
      <c r="I9" s="316"/>
      <c r="J9" s="540">
        <v>0</v>
      </c>
    </row>
    <row r="10" spans="1:10" ht="21" customHeight="1">
      <c r="A10" s="678"/>
      <c r="B10" s="154" t="s">
        <v>292</v>
      </c>
      <c r="C10" s="540"/>
      <c r="D10" s="540">
        <v>0</v>
      </c>
      <c r="E10" s="540"/>
      <c r="F10" s="839"/>
      <c r="G10" s="839"/>
      <c r="H10" s="540">
        <v>0</v>
      </c>
      <c r="I10" s="316"/>
      <c r="J10" s="540">
        <v>0</v>
      </c>
    </row>
    <row r="11" spans="1:10" ht="21" customHeight="1">
      <c r="A11" s="678"/>
      <c r="B11" s="154" t="s">
        <v>293</v>
      </c>
      <c r="C11" s="540"/>
      <c r="D11" s="540">
        <v>0</v>
      </c>
      <c r="E11" s="540"/>
      <c r="F11" s="839"/>
      <c r="G11" s="839"/>
      <c r="H11" s="540">
        <v>0</v>
      </c>
      <c r="I11" s="316"/>
      <c r="J11" s="540">
        <v>0</v>
      </c>
    </row>
    <row r="12" spans="1:10" ht="21" customHeight="1">
      <c r="A12" s="678"/>
      <c r="B12" s="154" t="s">
        <v>294</v>
      </c>
      <c r="C12" s="540"/>
      <c r="D12" s="540">
        <v>0</v>
      </c>
      <c r="E12" s="540"/>
      <c r="F12" s="839"/>
      <c r="G12" s="839"/>
      <c r="H12" s="540">
        <v>0</v>
      </c>
      <c r="I12" s="316"/>
      <c r="J12" s="540">
        <v>0</v>
      </c>
    </row>
    <row r="13" spans="1:10" ht="21" customHeight="1">
      <c r="A13" s="276"/>
      <c r="B13" s="679" t="s">
        <v>295</v>
      </c>
      <c r="C13" s="680"/>
      <c r="D13" s="680"/>
      <c r="E13" s="680"/>
      <c r="F13" s="680"/>
      <c r="G13" s="680"/>
      <c r="H13" s="680"/>
      <c r="I13" s="680"/>
      <c r="J13" s="680"/>
    </row>
    <row r="14" spans="1:10" ht="21" customHeight="1">
      <c r="A14" s="276"/>
      <c r="B14" s="531"/>
      <c r="C14" s="681"/>
      <c r="D14" s="681"/>
      <c r="E14" s="681"/>
      <c r="F14" s="681"/>
      <c r="G14" s="681"/>
      <c r="H14" s="681"/>
      <c r="I14" s="131"/>
      <c r="J14" s="148"/>
    </row>
    <row r="15" spans="1:10" ht="21" customHeight="1" thickBot="1">
      <c r="A15" s="276"/>
      <c r="B15" s="682" t="s">
        <v>296</v>
      </c>
      <c r="C15" s="673">
        <f>C6+C13</f>
        <v>0</v>
      </c>
      <c r="D15" s="673">
        <f t="shared" ref="D15:J15" si="0">D6+D13</f>
        <v>57.98</v>
      </c>
      <c r="E15" s="673">
        <f t="shared" si="0"/>
        <v>0</v>
      </c>
      <c r="F15" s="673">
        <f t="shared" si="0"/>
        <v>0</v>
      </c>
      <c r="G15" s="673">
        <f t="shared" si="0"/>
        <v>0</v>
      </c>
      <c r="H15" s="673">
        <f t="shared" si="0"/>
        <v>102.29311199999999</v>
      </c>
      <c r="I15" s="673">
        <f t="shared" si="0"/>
        <v>0</v>
      </c>
      <c r="J15" s="673">
        <f t="shared" si="0"/>
        <v>127.36961999999998</v>
      </c>
    </row>
    <row r="16" spans="1:10" ht="21" customHeight="1" thickTop="1"/>
    <row r="17" spans="1:10" ht="21" customHeight="1"/>
    <row r="18" spans="1:10" ht="21" customHeight="1">
      <c r="F18" s="840" t="s">
        <v>427</v>
      </c>
      <c r="G18" s="840"/>
      <c r="H18" s="840"/>
      <c r="I18" s="832" t="s">
        <v>427</v>
      </c>
      <c r="J18" s="775"/>
    </row>
    <row r="19" spans="1:10" ht="21" customHeight="1">
      <c r="G19" s="521"/>
      <c r="H19" s="521"/>
    </row>
    <row r="20" spans="1:10" ht="21" hidden="1" customHeight="1">
      <c r="A20" s="554" t="s">
        <v>212</v>
      </c>
      <c r="B20" s="554"/>
      <c r="C20" s="554"/>
      <c r="D20" s="554"/>
      <c r="E20" s="554"/>
      <c r="F20" s="554"/>
      <c r="G20" s="554"/>
      <c r="H20" s="554"/>
    </row>
    <row r="21" spans="1:10" ht="21" hidden="1" customHeight="1">
      <c r="A21" s="556">
        <v>1</v>
      </c>
      <c r="B21" s="556" t="s">
        <v>364</v>
      </c>
      <c r="C21" s="1829" t="s">
        <v>365</v>
      </c>
      <c r="D21" s="1830"/>
      <c r="E21" s="1830"/>
      <c r="F21" s="1830"/>
      <c r="G21" s="1830"/>
      <c r="H21" s="1831"/>
    </row>
    <row r="22" spans="1:10" ht="21" hidden="1" customHeight="1">
      <c r="A22" s="602">
        <v>2</v>
      </c>
      <c r="B22" s="603" t="s">
        <v>354</v>
      </c>
      <c r="C22" s="604" t="s">
        <v>353</v>
      </c>
      <c r="D22" s="605"/>
      <c r="E22" s="605"/>
      <c r="F22" s="605"/>
      <c r="G22" s="605"/>
      <c r="H22" s="606"/>
    </row>
    <row r="23" spans="1:10" ht="21" hidden="1" customHeight="1">
      <c r="A23" s="556">
        <v>3</v>
      </c>
      <c r="B23" s="559" t="s">
        <v>355</v>
      </c>
      <c r="C23" s="555" t="s">
        <v>353</v>
      </c>
      <c r="D23" s="607"/>
      <c r="E23" s="607"/>
      <c r="F23" s="607"/>
      <c r="G23" s="607"/>
      <c r="H23" s="608"/>
    </row>
    <row r="24" spans="1:10" ht="21" hidden="1" customHeight="1">
      <c r="A24" s="556">
        <v>4</v>
      </c>
      <c r="B24" s="559" t="s">
        <v>356</v>
      </c>
      <c r="C24" s="1826" t="s">
        <v>359</v>
      </c>
      <c r="D24" s="1827"/>
      <c r="E24" s="1827"/>
      <c r="F24" s="1827"/>
      <c r="G24" s="1827"/>
      <c r="H24" s="1828"/>
      <c r="I24" s="341"/>
    </row>
    <row r="25" spans="1:10" ht="21" hidden="1" customHeight="1">
      <c r="A25" s="556">
        <v>5</v>
      </c>
      <c r="B25" s="559" t="s">
        <v>357</v>
      </c>
      <c r="C25" s="555" t="s">
        <v>387</v>
      </c>
      <c r="D25" s="607"/>
      <c r="E25" s="607"/>
      <c r="F25" s="607"/>
      <c r="G25" s="607"/>
      <c r="H25" s="608"/>
    </row>
    <row r="26" spans="1:10" ht="21" customHeight="1"/>
    <row r="27" spans="1:10" ht="21" customHeight="1"/>
    <row r="28" spans="1:10" ht="21" customHeight="1"/>
    <row r="29" spans="1:10" ht="21" customHeight="1"/>
    <row r="30" spans="1:10" ht="21" customHeight="1"/>
    <row r="31" spans="1:10" ht="21" customHeight="1"/>
    <row r="32" spans="1:10"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sheetData>
  <mergeCells count="12">
    <mergeCell ref="I4:J4"/>
    <mergeCell ref="I2:J2"/>
    <mergeCell ref="A1:H1"/>
    <mergeCell ref="A2:F2"/>
    <mergeCell ref="A4:A5"/>
    <mergeCell ref="B4:B5"/>
    <mergeCell ref="C24:H24"/>
    <mergeCell ref="G3:H3"/>
    <mergeCell ref="G2:H2"/>
    <mergeCell ref="C21:H21"/>
    <mergeCell ref="C4:D4"/>
    <mergeCell ref="E4:H4"/>
  </mergeCells>
  <pageMargins left="0.70866141732283472" right="0.70866141732283472" top="0.74803149606299213" bottom="0.74803149606299213" header="0.31496062992125984" footer="0.31496062992125984"/>
  <pageSetup paperSize="9" scale="62" orientation="portrait"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2D050"/>
    <pageSetUpPr fitToPage="1"/>
  </sheetPr>
  <dimension ref="A1:G35"/>
  <sheetViews>
    <sheetView showGridLines="0" view="pageBreakPreview" zoomScale="80" zoomScaleNormal="100" zoomScaleSheetLayoutView="80" workbookViewId="0">
      <selection activeCell="C5" sqref="C5:D22"/>
    </sheetView>
  </sheetViews>
  <sheetFormatPr defaultColWidth="9.140625" defaultRowHeight="15.75"/>
  <cols>
    <col min="1" max="1" width="9.140625" style="75"/>
    <col min="2" max="2" width="57.28515625" style="75" bestFit="1" customWidth="1"/>
    <col min="3" max="3" width="17.85546875" style="75" bestFit="1" customWidth="1"/>
    <col min="4" max="4" width="27" style="75" bestFit="1" customWidth="1"/>
    <col min="5" max="16384" width="9.140625" style="75"/>
  </cols>
  <sheetData>
    <row r="1" spans="1:7" ht="21" customHeight="1">
      <c r="A1" s="1545" t="s">
        <v>1233</v>
      </c>
      <c r="B1" s="1545"/>
      <c r="C1" s="1545"/>
      <c r="D1" s="1545"/>
    </row>
    <row r="2" spans="1:7" ht="21" customHeight="1">
      <c r="A2" s="1391" t="s">
        <v>301</v>
      </c>
      <c r="B2" s="1391"/>
      <c r="C2" s="610"/>
      <c r="D2" s="610" t="s">
        <v>846</v>
      </c>
    </row>
    <row r="3" spans="1:7" ht="21" customHeight="1">
      <c r="A3" s="683"/>
      <c r="B3" s="683"/>
      <c r="C3" s="683"/>
      <c r="D3" s="683" t="s">
        <v>345</v>
      </c>
    </row>
    <row r="4" spans="1:7" ht="21" customHeight="1">
      <c r="A4" s="675" t="s">
        <v>274</v>
      </c>
      <c r="B4" s="675" t="s">
        <v>48</v>
      </c>
      <c r="C4" s="507" t="s">
        <v>485</v>
      </c>
      <c r="D4" s="507" t="s">
        <v>595</v>
      </c>
      <c r="E4" s="77"/>
      <c r="F4" s="77"/>
      <c r="G4" s="77"/>
    </row>
    <row r="5" spans="1:7" ht="21" customHeight="1">
      <c r="A5" s="146" t="s">
        <v>161</v>
      </c>
      <c r="B5" s="152" t="s">
        <v>302</v>
      </c>
      <c r="C5" s="1832" t="s">
        <v>353</v>
      </c>
      <c r="D5" s="1833"/>
      <c r="E5" s="77"/>
      <c r="F5" s="77"/>
      <c r="G5" s="77"/>
    </row>
    <row r="6" spans="1:7">
      <c r="A6" s="78">
        <v>1</v>
      </c>
      <c r="B6" s="169" t="s">
        <v>303</v>
      </c>
      <c r="C6" s="1834"/>
      <c r="D6" s="1835"/>
      <c r="E6" s="77"/>
      <c r="F6" s="77"/>
      <c r="G6" s="77"/>
    </row>
    <row r="7" spans="1:7">
      <c r="A7" s="684">
        <v>2</v>
      </c>
      <c r="B7" s="649" t="s">
        <v>304</v>
      </c>
      <c r="C7" s="1834"/>
      <c r="D7" s="1835"/>
    </row>
    <row r="8" spans="1:7">
      <c r="A8" s="684">
        <v>3</v>
      </c>
      <c r="B8" s="649" t="s">
        <v>305</v>
      </c>
      <c r="C8" s="1834"/>
      <c r="D8" s="1835"/>
    </row>
    <row r="9" spans="1:7">
      <c r="A9" s="684">
        <v>4</v>
      </c>
      <c r="B9" s="649" t="s">
        <v>306</v>
      </c>
      <c r="C9" s="1834"/>
      <c r="D9" s="1835"/>
    </row>
    <row r="10" spans="1:7">
      <c r="A10" s="684">
        <v>5</v>
      </c>
      <c r="B10" s="649" t="s">
        <v>307</v>
      </c>
      <c r="C10" s="1834"/>
      <c r="D10" s="1835"/>
    </row>
    <row r="11" spans="1:7">
      <c r="A11" s="684">
        <v>6</v>
      </c>
      <c r="B11" s="649" t="s">
        <v>281</v>
      </c>
      <c r="C11" s="1834"/>
      <c r="D11" s="1835"/>
    </row>
    <row r="12" spans="1:7">
      <c r="A12" s="678"/>
      <c r="B12" s="685" t="s">
        <v>308</v>
      </c>
      <c r="C12" s="1834"/>
      <c r="D12" s="1835"/>
    </row>
    <row r="13" spans="1:7">
      <c r="A13" s="525" t="s">
        <v>166</v>
      </c>
      <c r="B13" s="686" t="s">
        <v>309</v>
      </c>
      <c r="C13" s="1834"/>
      <c r="D13" s="1835"/>
    </row>
    <row r="14" spans="1:7">
      <c r="A14" s="684">
        <v>1</v>
      </c>
      <c r="B14" s="649" t="s">
        <v>310</v>
      </c>
      <c r="C14" s="1834"/>
      <c r="D14" s="1835"/>
    </row>
    <row r="15" spans="1:7">
      <c r="A15" s="684">
        <f>+A14+1</f>
        <v>2</v>
      </c>
      <c r="B15" s="649" t="s">
        <v>72</v>
      </c>
      <c r="C15" s="1834"/>
      <c r="D15" s="1835"/>
    </row>
    <row r="16" spans="1:7">
      <c r="A16" s="684">
        <f t="shared" ref="A16:A20" si="0">+A15+1</f>
        <v>3</v>
      </c>
      <c r="B16" s="649" t="s">
        <v>311</v>
      </c>
      <c r="C16" s="1834"/>
      <c r="D16" s="1835"/>
    </row>
    <row r="17" spans="1:7">
      <c r="A17" s="684">
        <f t="shared" si="0"/>
        <v>4</v>
      </c>
      <c r="B17" s="649" t="s">
        <v>312</v>
      </c>
      <c r="C17" s="1834"/>
      <c r="D17" s="1835"/>
    </row>
    <row r="18" spans="1:7">
      <c r="A18" s="684">
        <f t="shared" si="0"/>
        <v>5</v>
      </c>
      <c r="B18" s="649" t="s">
        <v>313</v>
      </c>
      <c r="C18" s="1834"/>
      <c r="D18" s="1835"/>
    </row>
    <row r="19" spans="1:7">
      <c r="A19" s="684">
        <f t="shared" si="0"/>
        <v>6</v>
      </c>
      <c r="B19" s="649" t="s">
        <v>314</v>
      </c>
      <c r="C19" s="1834"/>
      <c r="D19" s="1835"/>
    </row>
    <row r="20" spans="1:7">
      <c r="A20" s="684">
        <f t="shared" si="0"/>
        <v>7</v>
      </c>
      <c r="B20" s="649" t="s">
        <v>281</v>
      </c>
      <c r="C20" s="1834"/>
      <c r="D20" s="1835"/>
    </row>
    <row r="21" spans="1:7">
      <c r="A21" s="678"/>
      <c r="B21" s="685" t="s">
        <v>315</v>
      </c>
      <c r="C21" s="1834"/>
      <c r="D21" s="1835"/>
    </row>
    <row r="22" spans="1:7">
      <c r="A22" s="276"/>
      <c r="B22" s="679" t="s">
        <v>316</v>
      </c>
      <c r="C22" s="1836"/>
      <c r="D22" s="1837"/>
      <c r="E22" s="77"/>
      <c r="F22" s="77"/>
      <c r="G22" s="77"/>
    </row>
    <row r="23" spans="1:7" ht="21" customHeight="1">
      <c r="A23" s="653"/>
      <c r="B23" s="687"/>
      <c r="C23" s="688"/>
      <c r="D23" s="688"/>
      <c r="E23" s="77"/>
      <c r="F23" s="77"/>
      <c r="G23" s="77"/>
    </row>
    <row r="24" spans="1:7" ht="21" customHeight="1" thickBot="1">
      <c r="A24" s="503" t="s">
        <v>843</v>
      </c>
      <c r="B24" s="500"/>
      <c r="C24" s="500"/>
      <c r="D24" s="500"/>
      <c r="E24" s="77"/>
      <c r="F24" s="77"/>
      <c r="G24" s="77"/>
    </row>
    <row r="25" spans="1:7" ht="16.5" thickBot="1">
      <c r="A25" s="689" t="s">
        <v>274</v>
      </c>
      <c r="B25" s="690" t="s">
        <v>48</v>
      </c>
      <c r="C25" s="691" t="s">
        <v>485</v>
      </c>
      <c r="D25" s="691" t="s">
        <v>595</v>
      </c>
      <c r="E25" s="77"/>
      <c r="F25" s="77"/>
      <c r="G25" s="77"/>
    </row>
    <row r="26" spans="1:7" ht="16.5" thickBot="1">
      <c r="A26" s="614">
        <v>1</v>
      </c>
      <c r="B26" s="615" t="s">
        <v>297</v>
      </c>
      <c r="C26" s="692"/>
      <c r="D26" s="692"/>
      <c r="E26" s="77"/>
      <c r="F26" s="77"/>
      <c r="G26" s="77"/>
    </row>
    <row r="27" spans="1:7" ht="16.5" thickBot="1">
      <c r="A27" s="614" t="s">
        <v>844</v>
      </c>
      <c r="B27" s="615" t="s">
        <v>585</v>
      </c>
      <c r="C27" s="692"/>
      <c r="D27" s="692"/>
    </row>
    <row r="28" spans="1:7" ht="16.5" thickBot="1">
      <c r="A28" s="614"/>
      <c r="B28" s="693" t="s">
        <v>298</v>
      </c>
      <c r="C28" s="694"/>
      <c r="D28" s="694"/>
    </row>
    <row r="29" spans="1:7" ht="16.5" thickBot="1">
      <c r="A29" s="614">
        <v>2</v>
      </c>
      <c r="B29" s="615" t="s">
        <v>299</v>
      </c>
      <c r="C29" s="692"/>
      <c r="D29" s="692"/>
    </row>
    <row r="30" spans="1:7" ht="16.5" thickBot="1">
      <c r="A30" s="614" t="s">
        <v>844</v>
      </c>
      <c r="B30" s="615" t="s">
        <v>585</v>
      </c>
      <c r="C30" s="692"/>
      <c r="D30" s="692"/>
    </row>
    <row r="31" spans="1:7" ht="16.5" thickBot="1">
      <c r="A31" s="612"/>
      <c r="B31" s="693" t="s">
        <v>300</v>
      </c>
      <c r="C31" s="694">
        <v>0</v>
      </c>
      <c r="D31" s="694" t="s">
        <v>845</v>
      </c>
    </row>
    <row r="35" spans="3:3">
      <c r="C35" s="832" t="s">
        <v>427</v>
      </c>
    </row>
  </sheetData>
  <mergeCells count="3">
    <mergeCell ref="A1:D1"/>
    <mergeCell ref="C5:D22"/>
    <mergeCell ref="A2:B2"/>
  </mergeCells>
  <pageMargins left="0.70866141732283472" right="0.70866141732283472" top="0.48" bottom="0.74803149606299213" header="0.31496062992125984" footer="0.31496062992125984"/>
  <pageSetup paperSize="9" scale="7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0"/>
  <sheetViews>
    <sheetView showGridLines="0" view="pageBreakPreview" topLeftCell="A22" zoomScale="80" zoomScaleNormal="100" zoomScaleSheetLayoutView="80" workbookViewId="0">
      <selection activeCell="C7" sqref="C7:D15"/>
    </sheetView>
  </sheetViews>
  <sheetFormatPr defaultColWidth="9.140625" defaultRowHeight="15.75"/>
  <cols>
    <col min="1" max="1" width="6.28515625" style="500" customWidth="1"/>
    <col min="2" max="2" width="65.5703125" style="500" bestFit="1" customWidth="1"/>
    <col min="3" max="4" width="16.28515625" style="500" customWidth="1"/>
    <col min="5" max="5" width="18.42578125" style="500" bestFit="1" customWidth="1"/>
    <col min="6" max="16384" width="9.140625" style="500"/>
  </cols>
  <sheetData>
    <row r="1" spans="1:5">
      <c r="A1" s="500" t="s">
        <v>1233</v>
      </c>
      <c r="E1" s="695"/>
    </row>
    <row r="2" spans="1:5">
      <c r="A2" s="503" t="s">
        <v>879</v>
      </c>
    </row>
    <row r="3" spans="1:5">
      <c r="A3" s="503"/>
      <c r="C3" s="610"/>
      <c r="D3" s="610"/>
      <c r="E3" s="610" t="s">
        <v>863</v>
      </c>
    </row>
    <row r="4" spans="1:5" s="697" customFormat="1">
      <c r="A4" s="696"/>
      <c r="C4" s="157"/>
      <c r="D4" s="157"/>
      <c r="E4" s="157"/>
    </row>
    <row r="5" spans="1:5">
      <c r="A5" s="502" t="s">
        <v>651</v>
      </c>
      <c r="B5" s="502" t="s">
        <v>48</v>
      </c>
      <c r="C5" s="527" t="s">
        <v>1173</v>
      </c>
      <c r="D5" s="507" t="s">
        <v>1174</v>
      </c>
    </row>
    <row r="6" spans="1:5">
      <c r="A6" s="507">
        <v>1</v>
      </c>
      <c r="B6" s="507">
        <v>2</v>
      </c>
      <c r="C6" s="507">
        <v>3</v>
      </c>
      <c r="D6" s="507">
        <v>4</v>
      </c>
    </row>
    <row r="7" spans="1:5">
      <c r="A7" s="522">
        <v>1</v>
      </c>
      <c r="B7" s="523" t="s">
        <v>872</v>
      </c>
      <c r="C7" s="1842" t="s">
        <v>1789</v>
      </c>
      <c r="D7" s="1843"/>
    </row>
    <row r="8" spans="1:5">
      <c r="A8" s="522">
        <v>2</v>
      </c>
      <c r="B8" s="523" t="s">
        <v>873</v>
      </c>
      <c r="C8" s="1844"/>
      <c r="D8" s="1845"/>
    </row>
    <row r="9" spans="1:5">
      <c r="A9" s="522">
        <v>3</v>
      </c>
      <c r="B9" s="523" t="s">
        <v>874</v>
      </c>
      <c r="C9" s="1844"/>
      <c r="D9" s="1845"/>
    </row>
    <row r="10" spans="1:5">
      <c r="A10" s="522">
        <v>4</v>
      </c>
      <c r="B10" s="523" t="s">
        <v>875</v>
      </c>
      <c r="C10" s="1844"/>
      <c r="D10" s="1845"/>
    </row>
    <row r="11" spans="1:5">
      <c r="A11" s="1841">
        <v>5</v>
      </c>
      <c r="B11" s="523" t="s">
        <v>876</v>
      </c>
      <c r="C11" s="1844"/>
      <c r="D11" s="1845"/>
    </row>
    <row r="12" spans="1:5">
      <c r="A12" s="1841"/>
      <c r="B12" s="523" t="s">
        <v>671</v>
      </c>
      <c r="C12" s="1844"/>
      <c r="D12" s="1845"/>
    </row>
    <row r="13" spans="1:5">
      <c r="A13" s="1841"/>
      <c r="B13" s="523" t="s">
        <v>665</v>
      </c>
      <c r="C13" s="1844"/>
      <c r="D13" s="1845"/>
    </row>
    <row r="14" spans="1:5">
      <c r="A14" s="1841"/>
      <c r="B14" s="523" t="s">
        <v>877</v>
      </c>
      <c r="C14" s="1844"/>
      <c r="D14" s="1845"/>
    </row>
    <row r="15" spans="1:5">
      <c r="A15" s="1841"/>
      <c r="B15" s="523" t="s">
        <v>878</v>
      </c>
      <c r="C15" s="1846"/>
      <c r="D15" s="1847"/>
    </row>
    <row r="17" spans="1:5">
      <c r="A17" s="503" t="s">
        <v>880</v>
      </c>
    </row>
    <row r="18" spans="1:5" ht="16.5" thickBot="1"/>
    <row r="19" spans="1:5" ht="16.5" thickBot="1">
      <c r="A19" s="698" t="s">
        <v>651</v>
      </c>
      <c r="B19" s="699" t="s">
        <v>48</v>
      </c>
      <c r="C19" s="700" t="s">
        <v>1346</v>
      </c>
      <c r="D19" s="700" t="s">
        <v>1173</v>
      </c>
      <c r="E19" s="700" t="s">
        <v>1174</v>
      </c>
    </row>
    <row r="20" spans="1:5" ht="16.5" thickBot="1">
      <c r="A20" s="701">
        <v>1</v>
      </c>
      <c r="B20" s="702">
        <v>2</v>
      </c>
      <c r="C20" s="702">
        <v>3</v>
      </c>
      <c r="D20" s="702">
        <v>4</v>
      </c>
      <c r="E20" s="702">
        <v>5</v>
      </c>
    </row>
    <row r="21" spans="1:5" ht="16.5" thickBot="1">
      <c r="A21" s="1838" t="s">
        <v>161</v>
      </c>
      <c r="B21" s="613" t="s">
        <v>881</v>
      </c>
      <c r="C21" s="613"/>
      <c r="D21" s="613"/>
      <c r="E21" s="613"/>
    </row>
    <row r="22" spans="1:5" ht="16.5" thickBot="1">
      <c r="A22" s="1839"/>
      <c r="B22" s="613" t="s">
        <v>882</v>
      </c>
      <c r="C22" s="613"/>
      <c r="D22" s="613"/>
      <c r="E22" s="613"/>
    </row>
    <row r="23" spans="1:5" ht="16.5" thickBot="1">
      <c r="A23" s="1839"/>
      <c r="B23" s="613" t="s">
        <v>883</v>
      </c>
      <c r="C23" s="613"/>
      <c r="D23" s="613"/>
      <c r="E23" s="613"/>
    </row>
    <row r="24" spans="1:5" ht="16.5" thickBot="1">
      <c r="A24" s="1839"/>
      <c r="B24" s="613" t="s">
        <v>884</v>
      </c>
      <c r="C24" s="613"/>
      <c r="D24" s="613"/>
      <c r="E24" s="613"/>
    </row>
    <row r="25" spans="1:5" ht="16.5" thickBot="1">
      <c r="A25" s="1839"/>
      <c r="B25" s="613" t="s">
        <v>885</v>
      </c>
      <c r="C25" s="613"/>
      <c r="D25" s="613"/>
      <c r="E25" s="613"/>
    </row>
    <row r="26" spans="1:5" ht="16.5" thickBot="1">
      <c r="A26" s="1839"/>
      <c r="B26" s="613" t="s">
        <v>883</v>
      </c>
      <c r="C26" s="613"/>
      <c r="D26" s="613"/>
      <c r="E26" s="613"/>
    </row>
    <row r="27" spans="1:5" ht="16.5" thickBot="1">
      <c r="A27" s="1840"/>
      <c r="B27" s="613" t="s">
        <v>884</v>
      </c>
      <c r="C27" s="613"/>
      <c r="D27" s="613"/>
      <c r="E27" s="613"/>
    </row>
    <row r="28" spans="1:5" ht="16.5" thickBot="1">
      <c r="A28" s="1838" t="s">
        <v>166</v>
      </c>
      <c r="B28" s="613" t="s">
        <v>886</v>
      </c>
      <c r="C28" s="613"/>
      <c r="D28" s="613"/>
      <c r="E28" s="613"/>
    </row>
    <row r="29" spans="1:5" ht="16.5" thickBot="1">
      <c r="A29" s="1839"/>
      <c r="B29" s="613" t="s">
        <v>962</v>
      </c>
      <c r="C29" s="613"/>
      <c r="D29" s="613"/>
      <c r="E29" s="613"/>
    </row>
    <row r="30" spans="1:5" ht="16.5" thickBot="1">
      <c r="A30" s="1839"/>
      <c r="B30" s="613" t="s">
        <v>883</v>
      </c>
      <c r="C30" s="613"/>
      <c r="D30" s="613"/>
      <c r="E30" s="613"/>
    </row>
    <row r="31" spans="1:5" ht="16.5" thickBot="1">
      <c r="A31" s="1840"/>
      <c r="B31" s="613" t="s">
        <v>884</v>
      </c>
      <c r="C31" s="613"/>
      <c r="D31" s="613"/>
      <c r="E31" s="613"/>
    </row>
    <row r="32" spans="1:5" ht="16.5" thickBot="1">
      <c r="A32" s="1838" t="s">
        <v>208</v>
      </c>
      <c r="B32" s="613" t="s">
        <v>963</v>
      </c>
      <c r="C32" s="613"/>
      <c r="D32" s="613"/>
      <c r="E32" s="613"/>
    </row>
    <row r="33" spans="1:5" ht="16.5" thickBot="1">
      <c r="A33" s="1839"/>
      <c r="B33" s="613" t="s">
        <v>964</v>
      </c>
      <c r="C33" s="617"/>
      <c r="D33" s="613"/>
      <c r="E33" s="613"/>
    </row>
    <row r="34" spans="1:5" ht="16.5" thickBot="1">
      <c r="A34" s="1839"/>
      <c r="B34" s="613"/>
      <c r="C34" s="613"/>
      <c r="D34" s="613"/>
      <c r="E34" s="613"/>
    </row>
    <row r="35" spans="1:5" ht="16.5" thickBot="1">
      <c r="A35" s="1840"/>
      <c r="B35" s="613"/>
      <c r="C35" s="613"/>
      <c r="D35" s="613"/>
      <c r="E35" s="613"/>
    </row>
    <row r="40" spans="1:5">
      <c r="D40" s="832" t="s">
        <v>427</v>
      </c>
    </row>
  </sheetData>
  <mergeCells count="5">
    <mergeCell ref="A32:A35"/>
    <mergeCell ref="A11:A15"/>
    <mergeCell ref="A21:A27"/>
    <mergeCell ref="A28:A31"/>
    <mergeCell ref="C7:D15"/>
  </mergeCells>
  <pageMargins left="0.7" right="0.7" top="0.38" bottom="0.75" header="0.3" footer="0.3"/>
  <pageSetup paperSize="9" scale="6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0"/>
  <sheetViews>
    <sheetView showGridLines="0" view="pageBreakPreview" zoomScale="80" zoomScaleNormal="100" zoomScaleSheetLayoutView="80" workbookViewId="0">
      <selection activeCell="D19" sqref="D19"/>
    </sheetView>
  </sheetViews>
  <sheetFormatPr defaultColWidth="9.140625" defaultRowHeight="15"/>
  <cols>
    <col min="1" max="1" width="9.140625" style="766"/>
    <col min="2" max="2" width="34.7109375" style="766" customWidth="1"/>
    <col min="3" max="3" width="11.5703125" style="766" bestFit="1" customWidth="1"/>
    <col min="4" max="4" width="11.42578125" style="766" bestFit="1" customWidth="1"/>
    <col min="5" max="5" width="10.7109375" style="766" bestFit="1" customWidth="1"/>
    <col min="6" max="6" width="11.5703125" style="766" bestFit="1" customWidth="1"/>
    <col min="7" max="7" width="11.42578125" style="766" bestFit="1" customWidth="1"/>
    <col min="8" max="8" width="10.7109375" style="766" bestFit="1" customWidth="1"/>
    <col min="9" max="9" width="11.5703125" style="766" bestFit="1" customWidth="1"/>
    <col min="10" max="10" width="11.42578125" style="766" bestFit="1" customWidth="1"/>
    <col min="11" max="11" width="10.7109375" style="766" bestFit="1" customWidth="1"/>
    <col min="12" max="16384" width="9.140625" style="766"/>
  </cols>
  <sheetData>
    <row r="1" spans="1:11" ht="21" customHeight="1">
      <c r="A1" s="1849" t="s">
        <v>1233</v>
      </c>
      <c r="B1" s="1849"/>
      <c r="C1" s="1849"/>
      <c r="D1" s="1849"/>
      <c r="E1" s="1849"/>
      <c r="F1" s="1849"/>
      <c r="G1" s="1849"/>
      <c r="H1" s="1849"/>
      <c r="I1" s="1849"/>
      <c r="J1" s="1849"/>
      <c r="K1" s="1849"/>
    </row>
    <row r="2" spans="1:11" ht="21" customHeight="1">
      <c r="A2" s="1527" t="s">
        <v>446</v>
      </c>
      <c r="B2" s="1527"/>
      <c r="C2" s="1527"/>
      <c r="D2" s="1527"/>
      <c r="E2" s="1527"/>
      <c r="F2" s="1527"/>
      <c r="G2" s="1527"/>
      <c r="H2" s="257"/>
      <c r="I2" s="257"/>
      <c r="J2" s="767"/>
      <c r="K2" s="762" t="s">
        <v>871</v>
      </c>
    </row>
    <row r="3" spans="1:11" ht="21" customHeight="1">
      <c r="A3" s="841"/>
      <c r="B3" s="841"/>
      <c r="C3" s="758" t="s">
        <v>1230</v>
      </c>
      <c r="D3" s="758"/>
      <c r="E3" s="758"/>
      <c r="F3" s="758"/>
      <c r="G3" s="758"/>
      <c r="H3" s="842"/>
      <c r="I3" s="842"/>
      <c r="J3" s="758"/>
      <c r="K3" s="843" t="s">
        <v>345</v>
      </c>
    </row>
    <row r="4" spans="1:11" ht="21" customHeight="1">
      <c r="A4" s="1850"/>
      <c r="B4" s="1794" t="s">
        <v>48</v>
      </c>
      <c r="C4" s="1848" t="s">
        <v>594</v>
      </c>
      <c r="D4" s="1848"/>
      <c r="E4" s="1848" t="s">
        <v>159</v>
      </c>
      <c r="F4" s="1848" t="s">
        <v>486</v>
      </c>
      <c r="G4" s="1848"/>
      <c r="H4" s="1848"/>
      <c r="I4" s="1848" t="s">
        <v>779</v>
      </c>
      <c r="J4" s="1848"/>
      <c r="K4" s="1848"/>
    </row>
    <row r="5" spans="1:11" ht="61.5" customHeight="1">
      <c r="A5" s="1850"/>
      <c r="B5" s="1794"/>
      <c r="C5" s="844" t="s">
        <v>450</v>
      </c>
      <c r="D5" s="844" t="s">
        <v>448</v>
      </c>
      <c r="E5" s="844" t="s">
        <v>449</v>
      </c>
      <c r="F5" s="844" t="s">
        <v>450</v>
      </c>
      <c r="G5" s="844" t="s">
        <v>448</v>
      </c>
      <c r="H5" s="844" t="s">
        <v>449</v>
      </c>
      <c r="I5" s="844" t="s">
        <v>450</v>
      </c>
      <c r="J5" s="844" t="s">
        <v>448</v>
      </c>
      <c r="K5" s="844" t="s">
        <v>449</v>
      </c>
    </row>
    <row r="6" spans="1:11" ht="21" customHeight="1">
      <c r="A6" s="845"/>
      <c r="B6" s="844" t="s">
        <v>69</v>
      </c>
      <c r="C6" s="1851" t="s">
        <v>1790</v>
      </c>
      <c r="D6" s="1852"/>
      <c r="E6" s="1852"/>
      <c r="F6" s="1852"/>
      <c r="G6" s="1852"/>
      <c r="H6" s="1852"/>
      <c r="I6" s="1852"/>
      <c r="J6" s="1852"/>
      <c r="K6" s="1853"/>
    </row>
    <row r="7" spans="1:11" ht="21" customHeight="1">
      <c r="A7" s="845" t="s">
        <v>64</v>
      </c>
      <c r="B7" s="844" t="s">
        <v>326</v>
      </c>
      <c r="C7" s="1854"/>
      <c r="D7" s="1855"/>
      <c r="E7" s="1855"/>
      <c r="F7" s="1855"/>
      <c r="G7" s="1855"/>
      <c r="H7" s="1855"/>
      <c r="I7" s="1855"/>
      <c r="J7" s="1855"/>
      <c r="K7" s="1856"/>
    </row>
    <row r="8" spans="1:11" ht="21" customHeight="1">
      <c r="A8" s="845" t="s">
        <v>327</v>
      </c>
      <c r="B8" s="846" t="s">
        <v>70</v>
      </c>
      <c r="C8" s="1854"/>
      <c r="D8" s="1855"/>
      <c r="E8" s="1855"/>
      <c r="F8" s="1855"/>
      <c r="G8" s="1855"/>
      <c r="H8" s="1855"/>
      <c r="I8" s="1855"/>
      <c r="J8" s="1855"/>
      <c r="K8" s="1856"/>
    </row>
    <row r="9" spans="1:11" ht="21" customHeight="1">
      <c r="A9" s="845" t="s">
        <v>328</v>
      </c>
      <c r="B9" s="846" t="s">
        <v>276</v>
      </c>
      <c r="C9" s="1854"/>
      <c r="D9" s="1855"/>
      <c r="E9" s="1855"/>
      <c r="F9" s="1855"/>
      <c r="G9" s="1855"/>
      <c r="H9" s="1855"/>
      <c r="I9" s="1855"/>
      <c r="J9" s="1855"/>
      <c r="K9" s="1856"/>
    </row>
    <row r="10" spans="1:11" ht="21" customHeight="1">
      <c r="A10" s="845" t="s">
        <v>333</v>
      </c>
      <c r="B10" s="846" t="s">
        <v>71</v>
      </c>
      <c r="C10" s="1854"/>
      <c r="D10" s="1855"/>
      <c r="E10" s="1855"/>
      <c r="F10" s="1855"/>
      <c r="G10" s="1855"/>
      <c r="H10" s="1855"/>
      <c r="I10" s="1855"/>
      <c r="J10" s="1855"/>
      <c r="K10" s="1856"/>
    </row>
    <row r="11" spans="1:11" ht="21" customHeight="1">
      <c r="A11" s="845"/>
      <c r="B11" s="846" t="s">
        <v>334</v>
      </c>
      <c r="C11" s="1854"/>
      <c r="D11" s="1855"/>
      <c r="E11" s="1855"/>
      <c r="F11" s="1855"/>
      <c r="G11" s="1855"/>
      <c r="H11" s="1855"/>
      <c r="I11" s="1855"/>
      <c r="J11" s="1855"/>
      <c r="K11" s="1856"/>
    </row>
    <row r="12" spans="1:11" ht="21" customHeight="1">
      <c r="A12" s="845" t="s">
        <v>65</v>
      </c>
      <c r="B12" s="846" t="s">
        <v>72</v>
      </c>
      <c r="C12" s="1854"/>
      <c r="D12" s="1855"/>
      <c r="E12" s="1855"/>
      <c r="F12" s="1855"/>
      <c r="G12" s="1855"/>
      <c r="H12" s="1855"/>
      <c r="I12" s="1855"/>
      <c r="J12" s="1855"/>
      <c r="K12" s="1856"/>
    </row>
    <row r="13" spans="1:11" ht="21" customHeight="1">
      <c r="A13" s="845" t="s">
        <v>66</v>
      </c>
      <c r="B13" s="846" t="s">
        <v>329</v>
      </c>
      <c r="C13" s="1854"/>
      <c r="D13" s="1855"/>
      <c r="E13" s="1855"/>
      <c r="F13" s="1855"/>
      <c r="G13" s="1855"/>
      <c r="H13" s="1855"/>
      <c r="I13" s="1855"/>
      <c r="J13" s="1855"/>
      <c r="K13" s="1856"/>
    </row>
    <row r="14" spans="1:11" ht="21" customHeight="1">
      <c r="A14" s="845" t="s">
        <v>73</v>
      </c>
      <c r="B14" s="846" t="s">
        <v>88</v>
      </c>
      <c r="C14" s="1854"/>
      <c r="D14" s="1855"/>
      <c r="E14" s="1855"/>
      <c r="F14" s="1855"/>
      <c r="G14" s="1855"/>
      <c r="H14" s="1855"/>
      <c r="I14" s="1855"/>
      <c r="J14" s="1855"/>
      <c r="K14" s="1856"/>
    </row>
    <row r="15" spans="1:11" ht="21" customHeight="1">
      <c r="A15" s="845" t="s">
        <v>74</v>
      </c>
      <c r="B15" s="847" t="s">
        <v>832</v>
      </c>
      <c r="C15" s="1857"/>
      <c r="D15" s="1858"/>
      <c r="E15" s="1858"/>
      <c r="F15" s="1858"/>
      <c r="G15" s="1858"/>
      <c r="H15" s="1858"/>
      <c r="I15" s="1858"/>
      <c r="J15" s="1858"/>
      <c r="K15" s="1859"/>
    </row>
    <row r="16" spans="1:11" ht="21" customHeight="1">
      <c r="A16" s="848"/>
      <c r="B16" s="849" t="s">
        <v>447</v>
      </c>
      <c r="C16" s="850"/>
      <c r="D16" s="850"/>
      <c r="E16" s="851">
        <f>SUM(E11:E14)</f>
        <v>0</v>
      </c>
      <c r="F16" s="850"/>
      <c r="G16" s="850"/>
      <c r="H16" s="851">
        <f>SUM(H11:H14)</f>
        <v>0</v>
      </c>
      <c r="I16" s="850"/>
      <c r="J16" s="850"/>
      <c r="K16" s="851">
        <f>SUM(K11:K14)</f>
        <v>0</v>
      </c>
    </row>
    <row r="17" spans="1:11" ht="21" customHeight="1"/>
    <row r="18" spans="1:11" ht="21" customHeight="1"/>
    <row r="19" spans="1:11" ht="21" customHeight="1">
      <c r="H19" s="832" t="s">
        <v>427</v>
      </c>
    </row>
    <row r="20" spans="1:11" ht="21" customHeight="1"/>
    <row r="21" spans="1:11" ht="21" hidden="1" customHeight="1"/>
    <row r="22" spans="1:11" ht="21" hidden="1" customHeight="1">
      <c r="A22" s="194" t="s">
        <v>212</v>
      </c>
      <c r="B22" s="194"/>
      <c r="C22" s="194"/>
      <c r="D22" s="194"/>
      <c r="E22" s="194"/>
      <c r="F22" s="194"/>
      <c r="G22" s="194"/>
      <c r="H22" s="194"/>
      <c r="I22" s="194"/>
      <c r="J22" s="194"/>
      <c r="K22" s="194"/>
    </row>
    <row r="23" spans="1:11" ht="21" hidden="1" customHeight="1">
      <c r="A23" s="214">
        <v>1</v>
      </c>
      <c r="B23" s="214" t="s">
        <v>364</v>
      </c>
      <c r="C23" s="1569"/>
      <c r="D23" s="1569"/>
      <c r="E23" s="1569"/>
      <c r="F23" s="1569"/>
      <c r="G23" s="1569"/>
      <c r="H23" s="1569"/>
      <c r="I23" s="1569"/>
      <c r="J23" s="1569"/>
      <c r="K23" s="1569"/>
    </row>
    <row r="24" spans="1:11" ht="21" hidden="1" customHeight="1">
      <c r="A24" s="246">
        <v>2</v>
      </c>
      <c r="B24" s="247" t="s">
        <v>354</v>
      </c>
      <c r="C24" s="248"/>
      <c r="D24" s="248"/>
      <c r="E24" s="248"/>
      <c r="F24" s="248"/>
      <c r="G24" s="248"/>
      <c r="H24" s="248"/>
      <c r="I24" s="248"/>
      <c r="J24" s="248"/>
      <c r="K24" s="248"/>
    </row>
    <row r="25" spans="1:11" ht="21" hidden="1" customHeight="1">
      <c r="A25" s="214">
        <v>3</v>
      </c>
      <c r="B25" s="215" t="s">
        <v>355</v>
      </c>
      <c r="C25" s="778"/>
      <c r="D25" s="778"/>
      <c r="E25" s="778"/>
      <c r="F25" s="778"/>
      <c r="G25" s="778"/>
      <c r="H25" s="778"/>
      <c r="I25" s="778"/>
      <c r="J25" s="778"/>
      <c r="K25" s="778"/>
    </row>
    <row r="26" spans="1:11" ht="21" hidden="1" customHeight="1">
      <c r="A26" s="214">
        <v>4</v>
      </c>
      <c r="B26" s="215" t="s">
        <v>356</v>
      </c>
      <c r="C26" s="1571"/>
      <c r="D26" s="1571"/>
      <c r="E26" s="1571"/>
      <c r="F26" s="1571"/>
      <c r="G26" s="1571"/>
      <c r="H26" s="1571"/>
      <c r="I26" s="1571"/>
      <c r="J26" s="1571"/>
      <c r="K26" s="1571"/>
    </row>
    <row r="27" spans="1:11" ht="21" hidden="1" customHeight="1">
      <c r="A27" s="214">
        <v>5</v>
      </c>
      <c r="B27" s="215" t="s">
        <v>357</v>
      </c>
      <c r="C27" s="778"/>
      <c r="D27" s="778"/>
      <c r="E27" s="778"/>
      <c r="F27" s="778"/>
      <c r="G27" s="778"/>
      <c r="H27" s="778"/>
      <c r="I27" s="778"/>
      <c r="J27" s="778"/>
      <c r="K27" s="778"/>
    </row>
    <row r="28" spans="1:11" ht="21" customHeight="1"/>
    <row r="29" spans="1:11" ht="21" customHeight="1"/>
    <row r="30" spans="1:11" ht="21" customHeight="1"/>
    <row r="31" spans="1:11" ht="21" customHeight="1"/>
    <row r="32" spans="1:1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0">
    <mergeCell ref="C26:K26"/>
    <mergeCell ref="C4:E4"/>
    <mergeCell ref="F4:H4"/>
    <mergeCell ref="I4:K4"/>
    <mergeCell ref="A1:K1"/>
    <mergeCell ref="B4:B5"/>
    <mergeCell ref="A4:A5"/>
    <mergeCell ref="A2:G2"/>
    <mergeCell ref="C23:K23"/>
    <mergeCell ref="C6:K15"/>
  </mergeCells>
  <pageMargins left="0.7" right="0.7" top="0.75" bottom="0.75" header="0.3" footer="0.3"/>
  <pageSetup paperSize="9" scale="9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41"/>
  <sheetViews>
    <sheetView showGridLines="0" view="pageBreakPreview" topLeftCell="C23" zoomScale="70" zoomScaleNormal="70" zoomScaleSheetLayoutView="70" workbookViewId="0">
      <selection activeCell="D33" sqref="D33"/>
    </sheetView>
  </sheetViews>
  <sheetFormatPr defaultRowHeight="15"/>
  <cols>
    <col min="1" max="1" width="3.85546875" customWidth="1"/>
    <col min="2" max="2" width="6.42578125" customWidth="1"/>
    <col min="3" max="3" width="75.42578125" customWidth="1"/>
    <col min="4" max="4" width="20.85546875" bestFit="1" customWidth="1"/>
    <col min="5" max="5" width="17.42578125" customWidth="1"/>
    <col min="6" max="6" width="18" customWidth="1"/>
    <col min="7" max="7" width="12.28515625" customWidth="1"/>
    <col min="8" max="8" width="17.7109375" customWidth="1"/>
    <col min="9" max="9" width="13.42578125" bestFit="1" customWidth="1"/>
    <col min="258" max="258" width="6.42578125" customWidth="1"/>
    <col min="259" max="259" width="75.42578125" customWidth="1"/>
    <col min="260" max="260" width="19.5703125" customWidth="1"/>
    <col min="261" max="261" width="17.42578125" customWidth="1"/>
    <col min="262" max="262" width="16.28515625" customWidth="1"/>
    <col min="514" max="514" width="6.42578125" customWidth="1"/>
    <col min="515" max="515" width="75.42578125" customWidth="1"/>
    <col min="516" max="516" width="19.5703125" customWidth="1"/>
    <col min="517" max="517" width="17.42578125" customWidth="1"/>
    <col min="518" max="518" width="16.28515625" customWidth="1"/>
    <col min="770" max="770" width="6.42578125" customWidth="1"/>
    <col min="771" max="771" width="75.42578125" customWidth="1"/>
    <col min="772" max="772" width="19.5703125" customWidth="1"/>
    <col min="773" max="773" width="17.42578125" customWidth="1"/>
    <col min="774" max="774" width="16.28515625" customWidth="1"/>
    <col min="1026" max="1026" width="6.42578125" customWidth="1"/>
    <col min="1027" max="1027" width="75.42578125" customWidth="1"/>
    <col min="1028" max="1028" width="19.5703125" customWidth="1"/>
    <col min="1029" max="1029" width="17.42578125" customWidth="1"/>
    <col min="1030" max="1030" width="16.28515625" customWidth="1"/>
    <col min="1282" max="1282" width="6.42578125" customWidth="1"/>
    <col min="1283" max="1283" width="75.42578125" customWidth="1"/>
    <col min="1284" max="1284" width="19.5703125" customWidth="1"/>
    <col min="1285" max="1285" width="17.42578125" customWidth="1"/>
    <col min="1286" max="1286" width="16.28515625" customWidth="1"/>
    <col min="1538" max="1538" width="6.42578125" customWidth="1"/>
    <col min="1539" max="1539" width="75.42578125" customWidth="1"/>
    <col min="1540" max="1540" width="19.5703125" customWidth="1"/>
    <col min="1541" max="1541" width="17.42578125" customWidth="1"/>
    <col min="1542" max="1542" width="16.28515625" customWidth="1"/>
    <col min="1794" max="1794" width="6.42578125" customWidth="1"/>
    <col min="1795" max="1795" width="75.42578125" customWidth="1"/>
    <col min="1796" max="1796" width="19.5703125" customWidth="1"/>
    <col min="1797" max="1797" width="17.42578125" customWidth="1"/>
    <col min="1798" max="1798" width="16.28515625" customWidth="1"/>
    <col min="2050" max="2050" width="6.42578125" customWidth="1"/>
    <col min="2051" max="2051" width="75.42578125" customWidth="1"/>
    <col min="2052" max="2052" width="19.5703125" customWidth="1"/>
    <col min="2053" max="2053" width="17.42578125" customWidth="1"/>
    <col min="2054" max="2054" width="16.28515625" customWidth="1"/>
    <col min="2306" max="2306" width="6.42578125" customWidth="1"/>
    <col min="2307" max="2307" width="75.42578125" customWidth="1"/>
    <col min="2308" max="2308" width="19.5703125" customWidth="1"/>
    <col min="2309" max="2309" width="17.42578125" customWidth="1"/>
    <col min="2310" max="2310" width="16.28515625" customWidth="1"/>
    <col min="2562" max="2562" width="6.42578125" customWidth="1"/>
    <col min="2563" max="2563" width="75.42578125" customWidth="1"/>
    <col min="2564" max="2564" width="19.5703125" customWidth="1"/>
    <col min="2565" max="2565" width="17.42578125" customWidth="1"/>
    <col min="2566" max="2566" width="16.28515625" customWidth="1"/>
    <col min="2818" max="2818" width="6.42578125" customWidth="1"/>
    <col min="2819" max="2819" width="75.42578125" customWidth="1"/>
    <col min="2820" max="2820" width="19.5703125" customWidth="1"/>
    <col min="2821" max="2821" width="17.42578125" customWidth="1"/>
    <col min="2822" max="2822" width="16.28515625" customWidth="1"/>
    <col min="3074" max="3074" width="6.42578125" customWidth="1"/>
    <col min="3075" max="3075" width="75.42578125" customWidth="1"/>
    <col min="3076" max="3076" width="19.5703125" customWidth="1"/>
    <col min="3077" max="3077" width="17.42578125" customWidth="1"/>
    <col min="3078" max="3078" width="16.28515625" customWidth="1"/>
    <col min="3330" max="3330" width="6.42578125" customWidth="1"/>
    <col min="3331" max="3331" width="75.42578125" customWidth="1"/>
    <col min="3332" max="3332" width="19.5703125" customWidth="1"/>
    <col min="3333" max="3333" width="17.42578125" customWidth="1"/>
    <col min="3334" max="3334" width="16.28515625" customWidth="1"/>
    <col min="3586" max="3586" width="6.42578125" customWidth="1"/>
    <col min="3587" max="3587" width="75.42578125" customWidth="1"/>
    <col min="3588" max="3588" width="19.5703125" customWidth="1"/>
    <col min="3589" max="3589" width="17.42578125" customWidth="1"/>
    <col min="3590" max="3590" width="16.28515625" customWidth="1"/>
    <col min="3842" max="3842" width="6.42578125" customWidth="1"/>
    <col min="3843" max="3843" width="75.42578125" customWidth="1"/>
    <col min="3844" max="3844" width="19.5703125" customWidth="1"/>
    <col min="3845" max="3845" width="17.42578125" customWidth="1"/>
    <col min="3846" max="3846" width="16.28515625" customWidth="1"/>
    <col min="4098" max="4098" width="6.42578125" customWidth="1"/>
    <col min="4099" max="4099" width="75.42578125" customWidth="1"/>
    <col min="4100" max="4100" width="19.5703125" customWidth="1"/>
    <col min="4101" max="4101" width="17.42578125" customWidth="1"/>
    <col min="4102" max="4102" width="16.28515625" customWidth="1"/>
    <col min="4354" max="4354" width="6.42578125" customWidth="1"/>
    <col min="4355" max="4355" width="75.42578125" customWidth="1"/>
    <col min="4356" max="4356" width="19.5703125" customWidth="1"/>
    <col min="4357" max="4357" width="17.42578125" customWidth="1"/>
    <col min="4358" max="4358" width="16.28515625" customWidth="1"/>
    <col min="4610" max="4610" width="6.42578125" customWidth="1"/>
    <col min="4611" max="4611" width="75.42578125" customWidth="1"/>
    <col min="4612" max="4612" width="19.5703125" customWidth="1"/>
    <col min="4613" max="4613" width="17.42578125" customWidth="1"/>
    <col min="4614" max="4614" width="16.28515625" customWidth="1"/>
    <col min="4866" max="4866" width="6.42578125" customWidth="1"/>
    <col min="4867" max="4867" width="75.42578125" customWidth="1"/>
    <col min="4868" max="4868" width="19.5703125" customWidth="1"/>
    <col min="4869" max="4869" width="17.42578125" customWidth="1"/>
    <col min="4870" max="4870" width="16.28515625" customWidth="1"/>
    <col min="5122" max="5122" width="6.42578125" customWidth="1"/>
    <col min="5123" max="5123" width="75.42578125" customWidth="1"/>
    <col min="5124" max="5124" width="19.5703125" customWidth="1"/>
    <col min="5125" max="5125" width="17.42578125" customWidth="1"/>
    <col min="5126" max="5126" width="16.28515625" customWidth="1"/>
    <col min="5378" max="5378" width="6.42578125" customWidth="1"/>
    <col min="5379" max="5379" width="75.42578125" customWidth="1"/>
    <col min="5380" max="5380" width="19.5703125" customWidth="1"/>
    <col min="5381" max="5381" width="17.42578125" customWidth="1"/>
    <col min="5382" max="5382" width="16.28515625" customWidth="1"/>
    <col min="5634" max="5634" width="6.42578125" customWidth="1"/>
    <col min="5635" max="5635" width="75.42578125" customWidth="1"/>
    <col min="5636" max="5636" width="19.5703125" customWidth="1"/>
    <col min="5637" max="5637" width="17.42578125" customWidth="1"/>
    <col min="5638" max="5638" width="16.28515625" customWidth="1"/>
    <col min="5890" max="5890" width="6.42578125" customWidth="1"/>
    <col min="5891" max="5891" width="75.42578125" customWidth="1"/>
    <col min="5892" max="5892" width="19.5703125" customWidth="1"/>
    <col min="5893" max="5893" width="17.42578125" customWidth="1"/>
    <col min="5894" max="5894" width="16.28515625" customWidth="1"/>
    <col min="6146" max="6146" width="6.42578125" customWidth="1"/>
    <col min="6147" max="6147" width="75.42578125" customWidth="1"/>
    <col min="6148" max="6148" width="19.5703125" customWidth="1"/>
    <col min="6149" max="6149" width="17.42578125" customWidth="1"/>
    <col min="6150" max="6150" width="16.28515625" customWidth="1"/>
    <col min="6402" max="6402" width="6.42578125" customWidth="1"/>
    <col min="6403" max="6403" width="75.42578125" customWidth="1"/>
    <col min="6404" max="6404" width="19.5703125" customWidth="1"/>
    <col min="6405" max="6405" width="17.42578125" customWidth="1"/>
    <col min="6406" max="6406" width="16.28515625" customWidth="1"/>
    <col min="6658" max="6658" width="6.42578125" customWidth="1"/>
    <col min="6659" max="6659" width="75.42578125" customWidth="1"/>
    <col min="6660" max="6660" width="19.5703125" customWidth="1"/>
    <col min="6661" max="6661" width="17.42578125" customWidth="1"/>
    <col min="6662" max="6662" width="16.28515625" customWidth="1"/>
    <col min="6914" max="6914" width="6.42578125" customWidth="1"/>
    <col min="6915" max="6915" width="75.42578125" customWidth="1"/>
    <col min="6916" max="6916" width="19.5703125" customWidth="1"/>
    <col min="6917" max="6917" width="17.42578125" customWidth="1"/>
    <col min="6918" max="6918" width="16.28515625" customWidth="1"/>
    <col min="7170" max="7170" width="6.42578125" customWidth="1"/>
    <col min="7171" max="7171" width="75.42578125" customWidth="1"/>
    <col min="7172" max="7172" width="19.5703125" customWidth="1"/>
    <col min="7173" max="7173" width="17.42578125" customWidth="1"/>
    <col min="7174" max="7174" width="16.28515625" customWidth="1"/>
    <col min="7426" max="7426" width="6.42578125" customWidth="1"/>
    <col min="7427" max="7427" width="75.42578125" customWidth="1"/>
    <col min="7428" max="7428" width="19.5703125" customWidth="1"/>
    <col min="7429" max="7429" width="17.42578125" customWidth="1"/>
    <col min="7430" max="7430" width="16.28515625" customWidth="1"/>
    <col min="7682" max="7682" width="6.42578125" customWidth="1"/>
    <col min="7683" max="7683" width="75.42578125" customWidth="1"/>
    <col min="7684" max="7684" width="19.5703125" customWidth="1"/>
    <col min="7685" max="7685" width="17.42578125" customWidth="1"/>
    <col min="7686" max="7686" width="16.28515625" customWidth="1"/>
    <col min="7938" max="7938" width="6.42578125" customWidth="1"/>
    <col min="7939" max="7939" width="75.42578125" customWidth="1"/>
    <col min="7940" max="7940" width="19.5703125" customWidth="1"/>
    <col min="7941" max="7941" width="17.42578125" customWidth="1"/>
    <col min="7942" max="7942" width="16.28515625" customWidth="1"/>
    <col min="8194" max="8194" width="6.42578125" customWidth="1"/>
    <col min="8195" max="8195" width="75.42578125" customWidth="1"/>
    <col min="8196" max="8196" width="19.5703125" customWidth="1"/>
    <col min="8197" max="8197" width="17.42578125" customWidth="1"/>
    <col min="8198" max="8198" width="16.28515625" customWidth="1"/>
    <col min="8450" max="8450" width="6.42578125" customWidth="1"/>
    <col min="8451" max="8451" width="75.42578125" customWidth="1"/>
    <col min="8452" max="8452" width="19.5703125" customWidth="1"/>
    <col min="8453" max="8453" width="17.42578125" customWidth="1"/>
    <col min="8454" max="8454" width="16.28515625" customWidth="1"/>
    <col min="8706" max="8706" width="6.42578125" customWidth="1"/>
    <col min="8707" max="8707" width="75.42578125" customWidth="1"/>
    <col min="8708" max="8708" width="19.5703125" customWidth="1"/>
    <col min="8709" max="8709" width="17.42578125" customWidth="1"/>
    <col min="8710" max="8710" width="16.28515625" customWidth="1"/>
    <col min="8962" max="8962" width="6.42578125" customWidth="1"/>
    <col min="8963" max="8963" width="75.42578125" customWidth="1"/>
    <col min="8964" max="8964" width="19.5703125" customWidth="1"/>
    <col min="8965" max="8965" width="17.42578125" customWidth="1"/>
    <col min="8966" max="8966" width="16.28515625" customWidth="1"/>
    <col min="9218" max="9218" width="6.42578125" customWidth="1"/>
    <col min="9219" max="9219" width="75.42578125" customWidth="1"/>
    <col min="9220" max="9220" width="19.5703125" customWidth="1"/>
    <col min="9221" max="9221" width="17.42578125" customWidth="1"/>
    <col min="9222" max="9222" width="16.28515625" customWidth="1"/>
    <col min="9474" max="9474" width="6.42578125" customWidth="1"/>
    <col min="9475" max="9475" width="75.42578125" customWidth="1"/>
    <col min="9476" max="9476" width="19.5703125" customWidth="1"/>
    <col min="9477" max="9477" width="17.42578125" customWidth="1"/>
    <col min="9478" max="9478" width="16.28515625" customWidth="1"/>
    <col min="9730" max="9730" width="6.42578125" customWidth="1"/>
    <col min="9731" max="9731" width="75.42578125" customWidth="1"/>
    <col min="9732" max="9732" width="19.5703125" customWidth="1"/>
    <col min="9733" max="9733" width="17.42578125" customWidth="1"/>
    <col min="9734" max="9734" width="16.28515625" customWidth="1"/>
    <col min="9986" max="9986" width="6.42578125" customWidth="1"/>
    <col min="9987" max="9987" width="75.42578125" customWidth="1"/>
    <col min="9988" max="9988" width="19.5703125" customWidth="1"/>
    <col min="9989" max="9989" width="17.42578125" customWidth="1"/>
    <col min="9990" max="9990" width="16.28515625" customWidth="1"/>
    <col min="10242" max="10242" width="6.42578125" customWidth="1"/>
    <col min="10243" max="10243" width="75.42578125" customWidth="1"/>
    <col min="10244" max="10244" width="19.5703125" customWidth="1"/>
    <col min="10245" max="10245" width="17.42578125" customWidth="1"/>
    <col min="10246" max="10246" width="16.28515625" customWidth="1"/>
    <col min="10498" max="10498" width="6.42578125" customWidth="1"/>
    <col min="10499" max="10499" width="75.42578125" customWidth="1"/>
    <col min="10500" max="10500" width="19.5703125" customWidth="1"/>
    <col min="10501" max="10501" width="17.42578125" customWidth="1"/>
    <col min="10502" max="10502" width="16.28515625" customWidth="1"/>
    <col min="10754" max="10754" width="6.42578125" customWidth="1"/>
    <col min="10755" max="10755" width="75.42578125" customWidth="1"/>
    <col min="10756" max="10756" width="19.5703125" customWidth="1"/>
    <col min="10757" max="10757" width="17.42578125" customWidth="1"/>
    <col min="10758" max="10758" width="16.28515625" customWidth="1"/>
    <col min="11010" max="11010" width="6.42578125" customWidth="1"/>
    <col min="11011" max="11011" width="75.42578125" customWidth="1"/>
    <col min="11012" max="11012" width="19.5703125" customWidth="1"/>
    <col min="11013" max="11013" width="17.42578125" customWidth="1"/>
    <col min="11014" max="11014" width="16.28515625" customWidth="1"/>
    <col min="11266" max="11266" width="6.42578125" customWidth="1"/>
    <col min="11267" max="11267" width="75.42578125" customWidth="1"/>
    <col min="11268" max="11268" width="19.5703125" customWidth="1"/>
    <col min="11269" max="11269" width="17.42578125" customWidth="1"/>
    <col min="11270" max="11270" width="16.28515625" customWidth="1"/>
    <col min="11522" max="11522" width="6.42578125" customWidth="1"/>
    <col min="11523" max="11523" width="75.42578125" customWidth="1"/>
    <col min="11524" max="11524" width="19.5703125" customWidth="1"/>
    <col min="11525" max="11525" width="17.42578125" customWidth="1"/>
    <col min="11526" max="11526" width="16.28515625" customWidth="1"/>
    <col min="11778" max="11778" width="6.42578125" customWidth="1"/>
    <col min="11779" max="11779" width="75.42578125" customWidth="1"/>
    <col min="11780" max="11780" width="19.5703125" customWidth="1"/>
    <col min="11781" max="11781" width="17.42578125" customWidth="1"/>
    <col min="11782" max="11782" width="16.28515625" customWidth="1"/>
    <col min="12034" max="12034" width="6.42578125" customWidth="1"/>
    <col min="12035" max="12035" width="75.42578125" customWidth="1"/>
    <col min="12036" max="12036" width="19.5703125" customWidth="1"/>
    <col min="12037" max="12037" width="17.42578125" customWidth="1"/>
    <col min="12038" max="12038" width="16.28515625" customWidth="1"/>
    <col min="12290" max="12290" width="6.42578125" customWidth="1"/>
    <col min="12291" max="12291" width="75.42578125" customWidth="1"/>
    <col min="12292" max="12292" width="19.5703125" customWidth="1"/>
    <col min="12293" max="12293" width="17.42578125" customWidth="1"/>
    <col min="12294" max="12294" width="16.28515625" customWidth="1"/>
    <col min="12546" max="12546" width="6.42578125" customWidth="1"/>
    <col min="12547" max="12547" width="75.42578125" customWidth="1"/>
    <col min="12548" max="12548" width="19.5703125" customWidth="1"/>
    <col min="12549" max="12549" width="17.42578125" customWidth="1"/>
    <col min="12550" max="12550" width="16.28515625" customWidth="1"/>
    <col min="12802" max="12802" width="6.42578125" customWidth="1"/>
    <col min="12803" max="12803" width="75.42578125" customWidth="1"/>
    <col min="12804" max="12804" width="19.5703125" customWidth="1"/>
    <col min="12805" max="12805" width="17.42578125" customWidth="1"/>
    <col min="12806" max="12806" width="16.28515625" customWidth="1"/>
    <col min="13058" max="13058" width="6.42578125" customWidth="1"/>
    <col min="13059" max="13059" width="75.42578125" customWidth="1"/>
    <col min="13060" max="13060" width="19.5703125" customWidth="1"/>
    <col min="13061" max="13061" width="17.42578125" customWidth="1"/>
    <col min="13062" max="13062" width="16.28515625" customWidth="1"/>
    <col min="13314" max="13314" width="6.42578125" customWidth="1"/>
    <col min="13315" max="13315" width="75.42578125" customWidth="1"/>
    <col min="13316" max="13316" width="19.5703125" customWidth="1"/>
    <col min="13317" max="13317" width="17.42578125" customWidth="1"/>
    <col min="13318" max="13318" width="16.28515625" customWidth="1"/>
    <col min="13570" max="13570" width="6.42578125" customWidth="1"/>
    <col min="13571" max="13571" width="75.42578125" customWidth="1"/>
    <col min="13572" max="13572" width="19.5703125" customWidth="1"/>
    <col min="13573" max="13573" width="17.42578125" customWidth="1"/>
    <col min="13574" max="13574" width="16.28515625" customWidth="1"/>
    <col min="13826" max="13826" width="6.42578125" customWidth="1"/>
    <col min="13827" max="13827" width="75.42578125" customWidth="1"/>
    <col min="13828" max="13828" width="19.5703125" customWidth="1"/>
    <col min="13829" max="13829" width="17.42578125" customWidth="1"/>
    <col min="13830" max="13830" width="16.28515625" customWidth="1"/>
    <col min="14082" max="14082" width="6.42578125" customWidth="1"/>
    <col min="14083" max="14083" width="75.42578125" customWidth="1"/>
    <col min="14084" max="14084" width="19.5703125" customWidth="1"/>
    <col min="14085" max="14085" width="17.42578125" customWidth="1"/>
    <col min="14086" max="14086" width="16.28515625" customWidth="1"/>
    <col min="14338" max="14338" width="6.42578125" customWidth="1"/>
    <col min="14339" max="14339" width="75.42578125" customWidth="1"/>
    <col min="14340" max="14340" width="19.5703125" customWidth="1"/>
    <col min="14341" max="14341" width="17.42578125" customWidth="1"/>
    <col min="14342" max="14342" width="16.28515625" customWidth="1"/>
    <col min="14594" max="14594" width="6.42578125" customWidth="1"/>
    <col min="14595" max="14595" width="75.42578125" customWidth="1"/>
    <col min="14596" max="14596" width="19.5703125" customWidth="1"/>
    <col min="14597" max="14597" width="17.42578125" customWidth="1"/>
    <col min="14598" max="14598" width="16.28515625" customWidth="1"/>
    <col min="14850" max="14850" width="6.42578125" customWidth="1"/>
    <col min="14851" max="14851" width="75.42578125" customWidth="1"/>
    <col min="14852" max="14852" width="19.5703125" customWidth="1"/>
    <col min="14853" max="14853" width="17.42578125" customWidth="1"/>
    <col min="14854" max="14854" width="16.28515625" customWidth="1"/>
    <col min="15106" max="15106" width="6.42578125" customWidth="1"/>
    <col min="15107" max="15107" width="75.42578125" customWidth="1"/>
    <col min="15108" max="15108" width="19.5703125" customWidth="1"/>
    <col min="15109" max="15109" width="17.42578125" customWidth="1"/>
    <col min="15110" max="15110" width="16.28515625" customWidth="1"/>
    <col min="15362" max="15362" width="6.42578125" customWidth="1"/>
    <col min="15363" max="15363" width="75.42578125" customWidth="1"/>
    <col min="15364" max="15364" width="19.5703125" customWidth="1"/>
    <col min="15365" max="15365" width="17.42578125" customWidth="1"/>
    <col min="15366" max="15366" width="16.28515625" customWidth="1"/>
    <col min="15618" max="15618" width="6.42578125" customWidth="1"/>
    <col min="15619" max="15619" width="75.42578125" customWidth="1"/>
    <col min="15620" max="15620" width="19.5703125" customWidth="1"/>
    <col min="15621" max="15621" width="17.42578125" customWidth="1"/>
    <col min="15622" max="15622" width="16.28515625" customWidth="1"/>
    <col min="15874" max="15874" width="6.42578125" customWidth="1"/>
    <col min="15875" max="15875" width="75.42578125" customWidth="1"/>
    <col min="15876" max="15876" width="19.5703125" customWidth="1"/>
    <col min="15877" max="15877" width="17.42578125" customWidth="1"/>
    <col min="15878" max="15878" width="16.28515625" customWidth="1"/>
    <col min="16130" max="16130" width="6.42578125" customWidth="1"/>
    <col min="16131" max="16131" width="75.42578125" customWidth="1"/>
    <col min="16132" max="16132" width="19.5703125" customWidth="1"/>
    <col min="16133" max="16133" width="17.42578125" customWidth="1"/>
    <col min="16134" max="16134" width="16.28515625" customWidth="1"/>
  </cols>
  <sheetData>
    <row r="1" spans="2:8" ht="18" customHeight="1">
      <c r="B1" s="1860" t="s">
        <v>1140</v>
      </c>
      <c r="C1" s="1860"/>
      <c r="D1" s="1860"/>
      <c r="E1" s="1860"/>
      <c r="F1" s="1860"/>
      <c r="G1" s="1860"/>
      <c r="H1" s="1860"/>
    </row>
    <row r="2" spans="2:8" ht="3.75" customHeight="1"/>
    <row r="3" spans="2:8" ht="16.5" customHeight="1">
      <c r="B3" s="346" t="s">
        <v>1141</v>
      </c>
      <c r="C3" s="346"/>
      <c r="D3" s="346"/>
      <c r="E3" s="346" t="s">
        <v>1142</v>
      </c>
      <c r="F3" s="346"/>
    </row>
    <row r="4" spans="2:8" ht="18" customHeight="1">
      <c r="B4" s="346" t="s">
        <v>456</v>
      </c>
      <c r="C4" s="346"/>
      <c r="D4" s="346"/>
      <c r="E4" s="346"/>
    </row>
    <row r="5" spans="2:8" ht="18.75" hidden="1">
      <c r="B5" s="343" t="s">
        <v>286</v>
      </c>
      <c r="C5" s="343" t="s">
        <v>1143</v>
      </c>
      <c r="D5" s="343" t="s">
        <v>485</v>
      </c>
      <c r="E5" s="343" t="s">
        <v>486</v>
      </c>
      <c r="F5" s="343" t="s">
        <v>1111</v>
      </c>
    </row>
    <row r="6" spans="2:8" ht="18.75" hidden="1">
      <c r="B6" s="343" t="s">
        <v>161</v>
      </c>
      <c r="C6" s="343" t="s">
        <v>1144</v>
      </c>
      <c r="D6" s="343"/>
      <c r="E6" s="343"/>
      <c r="F6" s="343"/>
    </row>
    <row r="7" spans="2:8" ht="56.25" hidden="1">
      <c r="B7" s="713">
        <v>1</v>
      </c>
      <c r="C7" s="345" t="s">
        <v>1145</v>
      </c>
      <c r="D7" s="343"/>
      <c r="E7" s="343"/>
      <c r="F7" s="343"/>
    </row>
    <row r="8" spans="2:8" ht="37.5" hidden="1">
      <c r="B8" s="713">
        <v>2</v>
      </c>
      <c r="C8" s="344" t="s">
        <v>1146</v>
      </c>
      <c r="D8" s="343"/>
      <c r="E8" s="343"/>
      <c r="F8" s="343"/>
    </row>
    <row r="9" spans="2:8" ht="37.5" hidden="1">
      <c r="B9" s="713">
        <v>3</v>
      </c>
      <c r="C9" s="344" t="s">
        <v>1147</v>
      </c>
      <c r="D9" s="343"/>
      <c r="E9" s="343"/>
      <c r="F9" s="343"/>
    </row>
    <row r="10" spans="2:8" ht="18.75" hidden="1">
      <c r="B10" s="713">
        <v>4</v>
      </c>
      <c r="C10" s="344" t="s">
        <v>457</v>
      </c>
      <c r="D10" s="343"/>
      <c r="E10" s="343"/>
      <c r="F10" s="343"/>
    </row>
    <row r="11" spans="2:8" ht="18.75" hidden="1">
      <c r="B11" s="713">
        <v>5</v>
      </c>
      <c r="C11" s="344" t="s">
        <v>1148</v>
      </c>
      <c r="D11" s="343"/>
      <c r="E11" s="343"/>
      <c r="F11" s="343"/>
    </row>
    <row r="12" spans="2:8" ht="18.75" hidden="1">
      <c r="B12" s="343"/>
      <c r="C12" s="343"/>
      <c r="D12" s="343"/>
      <c r="E12" s="343"/>
      <c r="F12" s="343"/>
    </row>
    <row r="13" spans="2:8" hidden="1"/>
    <row r="14" spans="2:8" ht="3.75" customHeight="1"/>
    <row r="15" spans="2:8" ht="18.75">
      <c r="B15" s="347" t="s">
        <v>286</v>
      </c>
      <c r="C15" s="347" t="s">
        <v>1143</v>
      </c>
      <c r="D15" s="348" t="s">
        <v>485</v>
      </c>
      <c r="E15" s="348" t="s">
        <v>486</v>
      </c>
      <c r="F15" s="348" t="s">
        <v>1111</v>
      </c>
    </row>
    <row r="16" spans="2:8" ht="18.75">
      <c r="B16" s="713" t="s">
        <v>166</v>
      </c>
      <c r="C16" s="343" t="s">
        <v>1149</v>
      </c>
      <c r="D16" s="349"/>
      <c r="E16" s="349" t="s">
        <v>2084</v>
      </c>
      <c r="F16" s="349"/>
    </row>
    <row r="17" spans="2:14" ht="51.75">
      <c r="B17" s="713">
        <v>1</v>
      </c>
      <c r="C17" s="350" t="s">
        <v>1145</v>
      </c>
      <c r="D17" s="1861"/>
      <c r="E17" s="1862"/>
      <c r="F17" s="1863"/>
    </row>
    <row r="18" spans="2:14" ht="34.5">
      <c r="B18" s="713">
        <v>2</v>
      </c>
      <c r="C18" s="350" t="s">
        <v>1146</v>
      </c>
      <c r="D18" s="1864"/>
      <c r="E18" s="1865"/>
      <c r="F18" s="1866"/>
    </row>
    <row r="19" spans="2:14" ht="38.25" customHeight="1">
      <c r="B19" s="713">
        <v>3</v>
      </c>
      <c r="C19" s="350" t="s">
        <v>1147</v>
      </c>
      <c r="D19" s="1864"/>
      <c r="E19" s="1865"/>
      <c r="F19" s="1866"/>
      <c r="M19" s="1054">
        <v>43556</v>
      </c>
      <c r="N19">
        <v>4.0999999999999996</v>
      </c>
    </row>
    <row r="20" spans="2:14" ht="17.25" customHeight="1">
      <c r="B20" s="713">
        <v>4</v>
      </c>
      <c r="C20" s="350" t="s">
        <v>458</v>
      </c>
      <c r="D20" s="1864"/>
      <c r="E20" s="1865"/>
      <c r="F20" s="1866"/>
      <c r="M20" s="1054">
        <v>43586</v>
      </c>
      <c r="N20">
        <v>3.96</v>
      </c>
    </row>
    <row r="21" spans="2:14" ht="18.75">
      <c r="B21" s="713">
        <v>5</v>
      </c>
      <c r="C21" s="350" t="s">
        <v>1150</v>
      </c>
      <c r="D21" s="1867"/>
      <c r="E21" s="1868"/>
      <c r="F21" s="1869"/>
      <c r="H21" t="s">
        <v>1151</v>
      </c>
      <c r="M21" s="1054">
        <v>43617</v>
      </c>
      <c r="N21">
        <v>2.82</v>
      </c>
    </row>
    <row r="22" spans="2:14" ht="17.25" customHeight="1">
      <c r="B22" s="346"/>
      <c r="C22" s="346"/>
      <c r="M22" s="1054">
        <v>43647</v>
      </c>
      <c r="N22">
        <v>3.89</v>
      </c>
    </row>
    <row r="23" spans="2:14" ht="17.25">
      <c r="B23" s="1870" t="s">
        <v>208</v>
      </c>
      <c r="C23" s="1870" t="s">
        <v>1152</v>
      </c>
      <c r="D23" s="349" t="s">
        <v>1153</v>
      </c>
      <c r="E23" s="349" t="s">
        <v>486</v>
      </c>
      <c r="F23" s="349" t="s">
        <v>1111</v>
      </c>
      <c r="M23" s="1054">
        <v>43678</v>
      </c>
      <c r="N23">
        <v>3.83</v>
      </c>
    </row>
    <row r="24" spans="2:14" ht="17.25">
      <c r="B24" s="1871"/>
      <c r="C24" s="1871"/>
      <c r="D24" s="349" t="s">
        <v>158</v>
      </c>
      <c r="E24" s="349" t="s">
        <v>2084</v>
      </c>
      <c r="F24" s="349" t="s">
        <v>160</v>
      </c>
      <c r="M24" s="1054">
        <v>43709</v>
      </c>
      <c r="N24">
        <v>3.85</v>
      </c>
    </row>
    <row r="25" spans="2:14" ht="18.75">
      <c r="B25" s="343"/>
      <c r="C25" s="351" t="s">
        <v>1154</v>
      </c>
      <c r="D25" s="1861"/>
      <c r="E25" s="1862"/>
      <c r="F25" s="1863"/>
      <c r="M25" s="1054">
        <v>43739</v>
      </c>
      <c r="N25">
        <v>3.83</v>
      </c>
    </row>
    <row r="26" spans="2:14" ht="18.75">
      <c r="B26" s="352">
        <v>2</v>
      </c>
      <c r="C26" s="353" t="s">
        <v>1155</v>
      </c>
      <c r="D26" s="1864"/>
      <c r="E26" s="1865"/>
      <c r="F26" s="1866"/>
      <c r="M26" s="1054">
        <v>43770</v>
      </c>
      <c r="N26">
        <v>3.86</v>
      </c>
    </row>
    <row r="27" spans="2:14" ht="34.5">
      <c r="B27" s="352">
        <v>3</v>
      </c>
      <c r="C27" s="353" t="s">
        <v>1156</v>
      </c>
      <c r="D27" s="1864"/>
      <c r="E27" s="1865"/>
      <c r="F27" s="1866"/>
      <c r="M27" s="1054">
        <v>43800</v>
      </c>
      <c r="N27">
        <v>3.78</v>
      </c>
    </row>
    <row r="28" spans="2:14" ht="18.75">
      <c r="B28" s="343">
        <v>4</v>
      </c>
      <c r="C28" s="349" t="s">
        <v>1157</v>
      </c>
      <c r="D28" s="1864"/>
      <c r="E28" s="1865"/>
      <c r="F28" s="1866"/>
      <c r="M28" s="1054">
        <v>43831</v>
      </c>
      <c r="N28">
        <v>3.69</v>
      </c>
    </row>
    <row r="29" spans="2:14" ht="18.75">
      <c r="B29" s="343">
        <v>5</v>
      </c>
      <c r="C29" s="354" t="s">
        <v>1158</v>
      </c>
      <c r="D29" s="1867"/>
      <c r="E29" s="1868"/>
      <c r="F29" s="1869"/>
      <c r="M29" s="1054">
        <v>43862</v>
      </c>
      <c r="N29">
        <v>3.66</v>
      </c>
    </row>
    <row r="30" spans="2:14" ht="17.25">
      <c r="C30" s="355"/>
      <c r="H30" s="815"/>
      <c r="M30" s="1054">
        <v>43891</v>
      </c>
      <c r="N30">
        <v>3.66</v>
      </c>
    </row>
    <row r="31" spans="2:14" ht="42.75" customHeight="1">
      <c r="B31" s="713" t="s">
        <v>209</v>
      </c>
      <c r="C31" s="356" t="s">
        <v>1159</v>
      </c>
      <c r="D31" s="357" t="s">
        <v>1153</v>
      </c>
      <c r="E31" s="358" t="s">
        <v>2085</v>
      </c>
      <c r="F31" s="357" t="s">
        <v>1111</v>
      </c>
      <c r="M31" s="1054">
        <v>43922</v>
      </c>
      <c r="N31">
        <v>2.4500000000000002</v>
      </c>
    </row>
    <row r="32" spans="2:14" ht="51.75">
      <c r="B32" s="713">
        <v>1</v>
      </c>
      <c r="C32" s="353" t="s">
        <v>1791</v>
      </c>
      <c r="D32" s="353">
        <v>31539896770</v>
      </c>
      <c r="E32" s="353">
        <v>8063172701</v>
      </c>
      <c r="F32" s="57"/>
      <c r="H32" s="442">
        <f>D32/1000000</f>
        <v>31539.896769999999</v>
      </c>
      <c r="I32" s="442">
        <f>E32/1000000</f>
        <v>8063.1727010000004</v>
      </c>
      <c r="M32" s="1054"/>
      <c r="N32" s="442">
        <f>AVERAGE(N19:N31)</f>
        <v>3.6446153846153844</v>
      </c>
    </row>
    <row r="33" spans="2:13" ht="51.75" customHeight="1">
      <c r="B33" s="713">
        <v>2</v>
      </c>
      <c r="C33" s="354" t="s">
        <v>1160</v>
      </c>
      <c r="D33" s="353">
        <v>30386478151</v>
      </c>
      <c r="E33" s="353">
        <v>7836184641</v>
      </c>
      <c r="F33" s="57"/>
      <c r="H33" s="442">
        <f t="shared" ref="H33:I34" si="0">D33/1000000</f>
        <v>30386.478150999999</v>
      </c>
      <c r="I33" s="442">
        <f t="shared" si="0"/>
        <v>7836.1846409999998</v>
      </c>
      <c r="M33" s="1054"/>
    </row>
    <row r="34" spans="2:13" ht="22.5" customHeight="1">
      <c r="B34" s="713">
        <v>3</v>
      </c>
      <c r="C34" s="356" t="s">
        <v>1161</v>
      </c>
      <c r="D34" s="1044">
        <f>D32-D33</f>
        <v>1153418619</v>
      </c>
      <c r="E34" s="1044">
        <f>E32-E33</f>
        <v>226988060</v>
      </c>
      <c r="F34" s="57"/>
      <c r="H34" s="442">
        <f t="shared" si="0"/>
        <v>1153.418619</v>
      </c>
      <c r="I34" s="442">
        <f t="shared" si="0"/>
        <v>226.98805999999999</v>
      </c>
    </row>
    <row r="35" spans="2:13" ht="18.75">
      <c r="B35" s="713">
        <v>4</v>
      </c>
      <c r="C35" s="354" t="s">
        <v>1162</v>
      </c>
      <c r="D35" s="1043">
        <f>D34/D32</f>
        <v>3.6570145660625761E-2</v>
      </c>
      <c r="E35" s="1043">
        <f>E34/E32</f>
        <v>2.8151209011292637E-2</v>
      </c>
      <c r="F35" s="57"/>
      <c r="I35" s="815"/>
    </row>
    <row r="36" spans="2:13" ht="18.75">
      <c r="B36" s="359"/>
      <c r="C36" s="360"/>
      <c r="D36" s="361"/>
      <c r="E36" s="361"/>
      <c r="F36" s="359"/>
    </row>
    <row r="38" spans="2:13">
      <c r="I38" s="442"/>
    </row>
    <row r="41" spans="2:13" ht="18.75">
      <c r="E41" s="1860" t="s">
        <v>1163</v>
      </c>
      <c r="F41" s="1860"/>
    </row>
  </sheetData>
  <mergeCells count="6">
    <mergeCell ref="E41:F41"/>
    <mergeCell ref="B1:H1"/>
    <mergeCell ref="D17:F21"/>
    <mergeCell ref="B23:B24"/>
    <mergeCell ref="C23:C24"/>
    <mergeCell ref="D25:F29"/>
  </mergeCells>
  <pageMargins left="0.70866141732283472" right="0.70866141732283472" top="0.74803149606299213" bottom="0.74803149606299213" header="0.31496062992125984" footer="0.31496062992125984"/>
  <pageSetup paperSize="9" scale="5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3"/>
  <sheetViews>
    <sheetView showGridLines="0" view="pageBreakPreview" topLeftCell="A151" zoomScale="55" zoomScaleNormal="85" zoomScaleSheetLayoutView="55" workbookViewId="0">
      <selection activeCell="G67" sqref="G67"/>
    </sheetView>
  </sheetViews>
  <sheetFormatPr defaultRowHeight="15"/>
  <cols>
    <col min="1" max="1" width="12.42578125" customWidth="1"/>
    <col min="2" max="2" width="27" customWidth="1"/>
    <col min="3" max="3" width="18" bestFit="1" customWidth="1"/>
    <col min="4" max="4" width="11.85546875" customWidth="1"/>
    <col min="5" max="5" width="18" bestFit="1" customWidth="1"/>
    <col min="6" max="6" width="11.85546875" customWidth="1"/>
    <col min="7" max="7" width="18.140625" customWidth="1"/>
    <col min="8" max="8" width="22.42578125" customWidth="1"/>
    <col min="250" max="250" width="10.85546875" customWidth="1"/>
    <col min="251" max="251" width="31.42578125" customWidth="1"/>
    <col min="252" max="252" width="13.140625" customWidth="1"/>
    <col min="253" max="253" width="13.28515625" customWidth="1"/>
    <col min="254" max="254" width="14" customWidth="1"/>
    <col min="255" max="255" width="12.42578125" customWidth="1"/>
    <col min="256" max="256" width="17" customWidth="1"/>
    <col min="506" max="506" width="10.85546875" customWidth="1"/>
    <col min="507" max="507" width="31.42578125" customWidth="1"/>
    <col min="508" max="508" width="13.140625" customWidth="1"/>
    <col min="509" max="509" width="13.28515625" customWidth="1"/>
    <col min="510" max="510" width="14" customWidth="1"/>
    <col min="511" max="511" width="12.42578125" customWidth="1"/>
    <col min="512" max="512" width="17" customWidth="1"/>
    <col min="762" max="762" width="10.85546875" customWidth="1"/>
    <col min="763" max="763" width="31.42578125" customWidth="1"/>
    <col min="764" max="764" width="13.140625" customWidth="1"/>
    <col min="765" max="765" width="13.28515625" customWidth="1"/>
    <col min="766" max="766" width="14" customWidth="1"/>
    <col min="767" max="767" width="12.42578125" customWidth="1"/>
    <col min="768" max="768" width="17" customWidth="1"/>
    <col min="1018" max="1018" width="10.85546875" customWidth="1"/>
    <col min="1019" max="1019" width="31.42578125" customWidth="1"/>
    <col min="1020" max="1020" width="13.140625" customWidth="1"/>
    <col min="1021" max="1021" width="13.28515625" customWidth="1"/>
    <col min="1022" max="1022" width="14" customWidth="1"/>
    <col min="1023" max="1023" width="12.42578125" customWidth="1"/>
    <col min="1024" max="1024" width="17" customWidth="1"/>
    <col min="1274" max="1274" width="10.85546875" customWidth="1"/>
    <col min="1275" max="1275" width="31.42578125" customWidth="1"/>
    <col min="1276" max="1276" width="13.140625" customWidth="1"/>
    <col min="1277" max="1277" width="13.28515625" customWidth="1"/>
    <col min="1278" max="1278" width="14" customWidth="1"/>
    <col min="1279" max="1279" width="12.42578125" customWidth="1"/>
    <col min="1280" max="1280" width="17" customWidth="1"/>
    <col min="1530" max="1530" width="10.85546875" customWidth="1"/>
    <col min="1531" max="1531" width="31.42578125" customWidth="1"/>
    <col min="1532" max="1532" width="13.140625" customWidth="1"/>
    <col min="1533" max="1533" width="13.28515625" customWidth="1"/>
    <col min="1534" max="1534" width="14" customWidth="1"/>
    <col min="1535" max="1535" width="12.42578125" customWidth="1"/>
    <col min="1536" max="1536" width="17" customWidth="1"/>
    <col min="1786" max="1786" width="10.85546875" customWidth="1"/>
    <col min="1787" max="1787" width="31.42578125" customWidth="1"/>
    <col min="1788" max="1788" width="13.140625" customWidth="1"/>
    <col min="1789" max="1789" width="13.28515625" customWidth="1"/>
    <col min="1790" max="1790" width="14" customWidth="1"/>
    <col min="1791" max="1791" width="12.42578125" customWidth="1"/>
    <col min="1792" max="1792" width="17" customWidth="1"/>
    <col min="2042" max="2042" width="10.85546875" customWidth="1"/>
    <col min="2043" max="2043" width="31.42578125" customWidth="1"/>
    <col min="2044" max="2044" width="13.140625" customWidth="1"/>
    <col min="2045" max="2045" width="13.28515625" customWidth="1"/>
    <col min="2046" max="2046" width="14" customWidth="1"/>
    <col min="2047" max="2047" width="12.42578125" customWidth="1"/>
    <col min="2048" max="2048" width="17" customWidth="1"/>
    <col min="2298" max="2298" width="10.85546875" customWidth="1"/>
    <col min="2299" max="2299" width="31.42578125" customWidth="1"/>
    <col min="2300" max="2300" width="13.140625" customWidth="1"/>
    <col min="2301" max="2301" width="13.28515625" customWidth="1"/>
    <col min="2302" max="2302" width="14" customWidth="1"/>
    <col min="2303" max="2303" width="12.42578125" customWidth="1"/>
    <col min="2304" max="2304" width="17" customWidth="1"/>
    <col min="2554" max="2554" width="10.85546875" customWidth="1"/>
    <col min="2555" max="2555" width="31.42578125" customWidth="1"/>
    <col min="2556" max="2556" width="13.140625" customWidth="1"/>
    <col min="2557" max="2557" width="13.28515625" customWidth="1"/>
    <col min="2558" max="2558" width="14" customWidth="1"/>
    <col min="2559" max="2559" width="12.42578125" customWidth="1"/>
    <col min="2560" max="2560" width="17" customWidth="1"/>
    <col min="2810" max="2810" width="10.85546875" customWidth="1"/>
    <col min="2811" max="2811" width="31.42578125" customWidth="1"/>
    <col min="2812" max="2812" width="13.140625" customWidth="1"/>
    <col min="2813" max="2813" width="13.28515625" customWidth="1"/>
    <col min="2814" max="2814" width="14" customWidth="1"/>
    <col min="2815" max="2815" width="12.42578125" customWidth="1"/>
    <col min="2816" max="2816" width="17" customWidth="1"/>
    <col min="3066" max="3066" width="10.85546875" customWidth="1"/>
    <col min="3067" max="3067" width="31.42578125" customWidth="1"/>
    <col min="3068" max="3068" width="13.140625" customWidth="1"/>
    <col min="3069" max="3069" width="13.28515625" customWidth="1"/>
    <col min="3070" max="3070" width="14" customWidth="1"/>
    <col min="3071" max="3071" width="12.42578125" customWidth="1"/>
    <col min="3072" max="3072" width="17" customWidth="1"/>
    <col min="3322" max="3322" width="10.85546875" customWidth="1"/>
    <col min="3323" max="3323" width="31.42578125" customWidth="1"/>
    <col min="3324" max="3324" width="13.140625" customWidth="1"/>
    <col min="3325" max="3325" width="13.28515625" customWidth="1"/>
    <col min="3326" max="3326" width="14" customWidth="1"/>
    <col min="3327" max="3327" width="12.42578125" customWidth="1"/>
    <col min="3328" max="3328" width="17" customWidth="1"/>
    <col min="3578" max="3578" width="10.85546875" customWidth="1"/>
    <col min="3579" max="3579" width="31.42578125" customWidth="1"/>
    <col min="3580" max="3580" width="13.140625" customWidth="1"/>
    <col min="3581" max="3581" width="13.28515625" customWidth="1"/>
    <col min="3582" max="3582" width="14" customWidth="1"/>
    <col min="3583" max="3583" width="12.42578125" customWidth="1"/>
    <col min="3584" max="3584" width="17" customWidth="1"/>
    <col min="3834" max="3834" width="10.85546875" customWidth="1"/>
    <col min="3835" max="3835" width="31.42578125" customWidth="1"/>
    <col min="3836" max="3836" width="13.140625" customWidth="1"/>
    <col min="3837" max="3837" width="13.28515625" customWidth="1"/>
    <col min="3838" max="3838" width="14" customWidth="1"/>
    <col min="3839" max="3839" width="12.42578125" customWidth="1"/>
    <col min="3840" max="3840" width="17" customWidth="1"/>
    <col min="4090" max="4090" width="10.85546875" customWidth="1"/>
    <col min="4091" max="4091" width="31.42578125" customWidth="1"/>
    <col min="4092" max="4092" width="13.140625" customWidth="1"/>
    <col min="4093" max="4093" width="13.28515625" customWidth="1"/>
    <col min="4094" max="4094" width="14" customWidth="1"/>
    <col min="4095" max="4095" width="12.42578125" customWidth="1"/>
    <col min="4096" max="4096" width="17" customWidth="1"/>
    <col min="4346" max="4346" width="10.85546875" customWidth="1"/>
    <col min="4347" max="4347" width="31.42578125" customWidth="1"/>
    <col min="4348" max="4348" width="13.140625" customWidth="1"/>
    <col min="4349" max="4349" width="13.28515625" customWidth="1"/>
    <col min="4350" max="4350" width="14" customWidth="1"/>
    <col min="4351" max="4351" width="12.42578125" customWidth="1"/>
    <col min="4352" max="4352" width="17" customWidth="1"/>
    <col min="4602" max="4602" width="10.85546875" customWidth="1"/>
    <col min="4603" max="4603" width="31.42578125" customWidth="1"/>
    <col min="4604" max="4604" width="13.140625" customWidth="1"/>
    <col min="4605" max="4605" width="13.28515625" customWidth="1"/>
    <col min="4606" max="4606" width="14" customWidth="1"/>
    <col min="4607" max="4607" width="12.42578125" customWidth="1"/>
    <col min="4608" max="4608" width="17" customWidth="1"/>
    <col min="4858" max="4858" width="10.85546875" customWidth="1"/>
    <col min="4859" max="4859" width="31.42578125" customWidth="1"/>
    <col min="4860" max="4860" width="13.140625" customWidth="1"/>
    <col min="4861" max="4861" width="13.28515625" customWidth="1"/>
    <col min="4862" max="4862" width="14" customWidth="1"/>
    <col min="4863" max="4863" width="12.42578125" customWidth="1"/>
    <col min="4864" max="4864" width="17" customWidth="1"/>
    <col min="5114" max="5114" width="10.85546875" customWidth="1"/>
    <col min="5115" max="5115" width="31.42578125" customWidth="1"/>
    <col min="5116" max="5116" width="13.140625" customWidth="1"/>
    <col min="5117" max="5117" width="13.28515625" customWidth="1"/>
    <col min="5118" max="5118" width="14" customWidth="1"/>
    <col min="5119" max="5119" width="12.42578125" customWidth="1"/>
    <col min="5120" max="5120" width="17" customWidth="1"/>
    <col min="5370" max="5370" width="10.85546875" customWidth="1"/>
    <col min="5371" max="5371" width="31.42578125" customWidth="1"/>
    <col min="5372" max="5372" width="13.140625" customWidth="1"/>
    <col min="5373" max="5373" width="13.28515625" customWidth="1"/>
    <col min="5374" max="5374" width="14" customWidth="1"/>
    <col min="5375" max="5375" width="12.42578125" customWidth="1"/>
    <col min="5376" max="5376" width="17" customWidth="1"/>
    <col min="5626" max="5626" width="10.85546875" customWidth="1"/>
    <col min="5627" max="5627" width="31.42578125" customWidth="1"/>
    <col min="5628" max="5628" width="13.140625" customWidth="1"/>
    <col min="5629" max="5629" width="13.28515625" customWidth="1"/>
    <col min="5630" max="5630" width="14" customWidth="1"/>
    <col min="5631" max="5631" width="12.42578125" customWidth="1"/>
    <col min="5632" max="5632" width="17" customWidth="1"/>
    <col min="5882" max="5882" width="10.85546875" customWidth="1"/>
    <col min="5883" max="5883" width="31.42578125" customWidth="1"/>
    <col min="5884" max="5884" width="13.140625" customWidth="1"/>
    <col min="5885" max="5885" width="13.28515625" customWidth="1"/>
    <col min="5886" max="5886" width="14" customWidth="1"/>
    <col min="5887" max="5887" width="12.42578125" customWidth="1"/>
    <col min="5888" max="5888" width="17" customWidth="1"/>
    <col min="6138" max="6138" width="10.85546875" customWidth="1"/>
    <col min="6139" max="6139" width="31.42578125" customWidth="1"/>
    <col min="6140" max="6140" width="13.140625" customWidth="1"/>
    <col min="6141" max="6141" width="13.28515625" customWidth="1"/>
    <col min="6142" max="6142" width="14" customWidth="1"/>
    <col min="6143" max="6143" width="12.42578125" customWidth="1"/>
    <col min="6144" max="6144" width="17" customWidth="1"/>
    <col min="6394" max="6394" width="10.85546875" customWidth="1"/>
    <col min="6395" max="6395" width="31.42578125" customWidth="1"/>
    <col min="6396" max="6396" width="13.140625" customWidth="1"/>
    <col min="6397" max="6397" width="13.28515625" customWidth="1"/>
    <col min="6398" max="6398" width="14" customWidth="1"/>
    <col min="6399" max="6399" width="12.42578125" customWidth="1"/>
    <col min="6400" max="6400" width="17" customWidth="1"/>
    <col min="6650" max="6650" width="10.85546875" customWidth="1"/>
    <col min="6651" max="6651" width="31.42578125" customWidth="1"/>
    <col min="6652" max="6652" width="13.140625" customWidth="1"/>
    <col min="6653" max="6653" width="13.28515625" customWidth="1"/>
    <col min="6654" max="6654" width="14" customWidth="1"/>
    <col min="6655" max="6655" width="12.42578125" customWidth="1"/>
    <col min="6656" max="6656" width="17" customWidth="1"/>
    <col min="6906" max="6906" width="10.85546875" customWidth="1"/>
    <col min="6907" max="6907" width="31.42578125" customWidth="1"/>
    <col min="6908" max="6908" width="13.140625" customWidth="1"/>
    <col min="6909" max="6909" width="13.28515625" customWidth="1"/>
    <col min="6910" max="6910" width="14" customWidth="1"/>
    <col min="6911" max="6911" width="12.42578125" customWidth="1"/>
    <col min="6912" max="6912" width="17" customWidth="1"/>
    <col min="7162" max="7162" width="10.85546875" customWidth="1"/>
    <col min="7163" max="7163" width="31.42578125" customWidth="1"/>
    <col min="7164" max="7164" width="13.140625" customWidth="1"/>
    <col min="7165" max="7165" width="13.28515625" customWidth="1"/>
    <col min="7166" max="7166" width="14" customWidth="1"/>
    <col min="7167" max="7167" width="12.42578125" customWidth="1"/>
    <col min="7168" max="7168" width="17" customWidth="1"/>
    <col min="7418" max="7418" width="10.85546875" customWidth="1"/>
    <col min="7419" max="7419" width="31.42578125" customWidth="1"/>
    <col min="7420" max="7420" width="13.140625" customWidth="1"/>
    <col min="7421" max="7421" width="13.28515625" customWidth="1"/>
    <col min="7422" max="7422" width="14" customWidth="1"/>
    <col min="7423" max="7423" width="12.42578125" customWidth="1"/>
    <col min="7424" max="7424" width="17" customWidth="1"/>
    <col min="7674" max="7674" width="10.85546875" customWidth="1"/>
    <col min="7675" max="7675" width="31.42578125" customWidth="1"/>
    <col min="7676" max="7676" width="13.140625" customWidth="1"/>
    <col min="7677" max="7677" width="13.28515625" customWidth="1"/>
    <col min="7678" max="7678" width="14" customWidth="1"/>
    <col min="7679" max="7679" width="12.42578125" customWidth="1"/>
    <col min="7680" max="7680" width="17" customWidth="1"/>
    <col min="7930" max="7930" width="10.85546875" customWidth="1"/>
    <col min="7931" max="7931" width="31.42578125" customWidth="1"/>
    <col min="7932" max="7932" width="13.140625" customWidth="1"/>
    <col min="7933" max="7933" width="13.28515625" customWidth="1"/>
    <col min="7934" max="7934" width="14" customWidth="1"/>
    <col min="7935" max="7935" width="12.42578125" customWidth="1"/>
    <col min="7936" max="7936" width="17" customWidth="1"/>
    <col min="8186" max="8186" width="10.85546875" customWidth="1"/>
    <col min="8187" max="8187" width="31.42578125" customWidth="1"/>
    <col min="8188" max="8188" width="13.140625" customWidth="1"/>
    <col min="8189" max="8189" width="13.28515625" customWidth="1"/>
    <col min="8190" max="8190" width="14" customWidth="1"/>
    <col min="8191" max="8191" width="12.42578125" customWidth="1"/>
    <col min="8192" max="8192" width="17" customWidth="1"/>
    <col min="8442" max="8442" width="10.85546875" customWidth="1"/>
    <col min="8443" max="8443" width="31.42578125" customWidth="1"/>
    <col min="8444" max="8444" width="13.140625" customWidth="1"/>
    <col min="8445" max="8445" width="13.28515625" customWidth="1"/>
    <col min="8446" max="8446" width="14" customWidth="1"/>
    <col min="8447" max="8447" width="12.42578125" customWidth="1"/>
    <col min="8448" max="8448" width="17" customWidth="1"/>
    <col min="8698" max="8698" width="10.85546875" customWidth="1"/>
    <col min="8699" max="8699" width="31.42578125" customWidth="1"/>
    <col min="8700" max="8700" width="13.140625" customWidth="1"/>
    <col min="8701" max="8701" width="13.28515625" customWidth="1"/>
    <col min="8702" max="8702" width="14" customWidth="1"/>
    <col min="8703" max="8703" width="12.42578125" customWidth="1"/>
    <col min="8704" max="8704" width="17" customWidth="1"/>
    <col min="8954" max="8954" width="10.85546875" customWidth="1"/>
    <col min="8955" max="8955" width="31.42578125" customWidth="1"/>
    <col min="8956" max="8956" width="13.140625" customWidth="1"/>
    <col min="8957" max="8957" width="13.28515625" customWidth="1"/>
    <col min="8958" max="8958" width="14" customWidth="1"/>
    <col min="8959" max="8959" width="12.42578125" customWidth="1"/>
    <col min="8960" max="8960" width="17" customWidth="1"/>
    <col min="9210" max="9210" width="10.85546875" customWidth="1"/>
    <col min="9211" max="9211" width="31.42578125" customWidth="1"/>
    <col min="9212" max="9212" width="13.140625" customWidth="1"/>
    <col min="9213" max="9213" width="13.28515625" customWidth="1"/>
    <col min="9214" max="9214" width="14" customWidth="1"/>
    <col min="9215" max="9215" width="12.42578125" customWidth="1"/>
    <col min="9216" max="9216" width="17" customWidth="1"/>
    <col min="9466" max="9466" width="10.85546875" customWidth="1"/>
    <col min="9467" max="9467" width="31.42578125" customWidth="1"/>
    <col min="9468" max="9468" width="13.140625" customWidth="1"/>
    <col min="9469" max="9469" width="13.28515625" customWidth="1"/>
    <col min="9470" max="9470" width="14" customWidth="1"/>
    <col min="9471" max="9471" width="12.42578125" customWidth="1"/>
    <col min="9472" max="9472" width="17" customWidth="1"/>
    <col min="9722" max="9722" width="10.85546875" customWidth="1"/>
    <col min="9723" max="9723" width="31.42578125" customWidth="1"/>
    <col min="9724" max="9724" width="13.140625" customWidth="1"/>
    <col min="9725" max="9725" width="13.28515625" customWidth="1"/>
    <col min="9726" max="9726" width="14" customWidth="1"/>
    <col min="9727" max="9727" width="12.42578125" customWidth="1"/>
    <col min="9728" max="9728" width="17" customWidth="1"/>
    <col min="9978" max="9978" width="10.85546875" customWidth="1"/>
    <col min="9979" max="9979" width="31.42578125" customWidth="1"/>
    <col min="9980" max="9980" width="13.140625" customWidth="1"/>
    <col min="9981" max="9981" width="13.28515625" customWidth="1"/>
    <col min="9982" max="9982" width="14" customWidth="1"/>
    <col min="9983" max="9983" width="12.42578125" customWidth="1"/>
    <col min="9984" max="9984" width="17" customWidth="1"/>
    <col min="10234" max="10234" width="10.85546875" customWidth="1"/>
    <col min="10235" max="10235" width="31.42578125" customWidth="1"/>
    <col min="10236" max="10236" width="13.140625" customWidth="1"/>
    <col min="10237" max="10237" width="13.28515625" customWidth="1"/>
    <col min="10238" max="10238" width="14" customWidth="1"/>
    <col min="10239" max="10239" width="12.42578125" customWidth="1"/>
    <col min="10240" max="10240" width="17" customWidth="1"/>
    <col min="10490" max="10490" width="10.85546875" customWidth="1"/>
    <col min="10491" max="10491" width="31.42578125" customWidth="1"/>
    <col min="10492" max="10492" width="13.140625" customWidth="1"/>
    <col min="10493" max="10493" width="13.28515625" customWidth="1"/>
    <col min="10494" max="10494" width="14" customWidth="1"/>
    <col min="10495" max="10495" width="12.42578125" customWidth="1"/>
    <col min="10496" max="10496" width="17" customWidth="1"/>
    <col min="10746" max="10746" width="10.85546875" customWidth="1"/>
    <col min="10747" max="10747" width="31.42578125" customWidth="1"/>
    <col min="10748" max="10748" width="13.140625" customWidth="1"/>
    <col min="10749" max="10749" width="13.28515625" customWidth="1"/>
    <col min="10750" max="10750" width="14" customWidth="1"/>
    <col min="10751" max="10751" width="12.42578125" customWidth="1"/>
    <col min="10752" max="10752" width="17" customWidth="1"/>
    <col min="11002" max="11002" width="10.85546875" customWidth="1"/>
    <col min="11003" max="11003" width="31.42578125" customWidth="1"/>
    <col min="11004" max="11004" width="13.140625" customWidth="1"/>
    <col min="11005" max="11005" width="13.28515625" customWidth="1"/>
    <col min="11006" max="11006" width="14" customWidth="1"/>
    <col min="11007" max="11007" width="12.42578125" customWidth="1"/>
    <col min="11008" max="11008" width="17" customWidth="1"/>
    <col min="11258" max="11258" width="10.85546875" customWidth="1"/>
    <col min="11259" max="11259" width="31.42578125" customWidth="1"/>
    <col min="11260" max="11260" width="13.140625" customWidth="1"/>
    <col min="11261" max="11261" width="13.28515625" customWidth="1"/>
    <col min="11262" max="11262" width="14" customWidth="1"/>
    <col min="11263" max="11263" width="12.42578125" customWidth="1"/>
    <col min="11264" max="11264" width="17" customWidth="1"/>
    <col min="11514" max="11514" width="10.85546875" customWidth="1"/>
    <col min="11515" max="11515" width="31.42578125" customWidth="1"/>
    <col min="11516" max="11516" width="13.140625" customWidth="1"/>
    <col min="11517" max="11517" width="13.28515625" customWidth="1"/>
    <col min="11518" max="11518" width="14" customWidth="1"/>
    <col min="11519" max="11519" width="12.42578125" customWidth="1"/>
    <col min="11520" max="11520" width="17" customWidth="1"/>
    <col min="11770" max="11770" width="10.85546875" customWidth="1"/>
    <col min="11771" max="11771" width="31.42578125" customWidth="1"/>
    <col min="11772" max="11772" width="13.140625" customWidth="1"/>
    <col min="11773" max="11773" width="13.28515625" customWidth="1"/>
    <col min="11774" max="11774" width="14" customWidth="1"/>
    <col min="11775" max="11775" width="12.42578125" customWidth="1"/>
    <col min="11776" max="11776" width="17" customWidth="1"/>
    <col min="12026" max="12026" width="10.85546875" customWidth="1"/>
    <col min="12027" max="12027" width="31.42578125" customWidth="1"/>
    <col min="12028" max="12028" width="13.140625" customWidth="1"/>
    <col min="12029" max="12029" width="13.28515625" customWidth="1"/>
    <col min="12030" max="12030" width="14" customWidth="1"/>
    <col min="12031" max="12031" width="12.42578125" customWidth="1"/>
    <col min="12032" max="12032" width="17" customWidth="1"/>
    <col min="12282" max="12282" width="10.85546875" customWidth="1"/>
    <col min="12283" max="12283" width="31.42578125" customWidth="1"/>
    <col min="12284" max="12284" width="13.140625" customWidth="1"/>
    <col min="12285" max="12285" width="13.28515625" customWidth="1"/>
    <col min="12286" max="12286" width="14" customWidth="1"/>
    <col min="12287" max="12287" width="12.42578125" customWidth="1"/>
    <col min="12288" max="12288" width="17" customWidth="1"/>
    <col min="12538" max="12538" width="10.85546875" customWidth="1"/>
    <col min="12539" max="12539" width="31.42578125" customWidth="1"/>
    <col min="12540" max="12540" width="13.140625" customWidth="1"/>
    <col min="12541" max="12541" width="13.28515625" customWidth="1"/>
    <col min="12542" max="12542" width="14" customWidth="1"/>
    <col min="12543" max="12543" width="12.42578125" customWidth="1"/>
    <col min="12544" max="12544" width="17" customWidth="1"/>
    <col min="12794" max="12794" width="10.85546875" customWidth="1"/>
    <col min="12795" max="12795" width="31.42578125" customWidth="1"/>
    <col min="12796" max="12796" width="13.140625" customWidth="1"/>
    <col min="12797" max="12797" width="13.28515625" customWidth="1"/>
    <col min="12798" max="12798" width="14" customWidth="1"/>
    <col min="12799" max="12799" width="12.42578125" customWidth="1"/>
    <col min="12800" max="12800" width="17" customWidth="1"/>
    <col min="13050" max="13050" width="10.85546875" customWidth="1"/>
    <col min="13051" max="13051" width="31.42578125" customWidth="1"/>
    <col min="13052" max="13052" width="13.140625" customWidth="1"/>
    <col min="13053" max="13053" width="13.28515625" customWidth="1"/>
    <col min="13054" max="13054" width="14" customWidth="1"/>
    <col min="13055" max="13055" width="12.42578125" customWidth="1"/>
    <col min="13056" max="13056" width="17" customWidth="1"/>
    <col min="13306" max="13306" width="10.85546875" customWidth="1"/>
    <col min="13307" max="13307" width="31.42578125" customWidth="1"/>
    <col min="13308" max="13308" width="13.140625" customWidth="1"/>
    <col min="13309" max="13309" width="13.28515625" customWidth="1"/>
    <col min="13310" max="13310" width="14" customWidth="1"/>
    <col min="13311" max="13311" width="12.42578125" customWidth="1"/>
    <col min="13312" max="13312" width="17" customWidth="1"/>
    <col min="13562" max="13562" width="10.85546875" customWidth="1"/>
    <col min="13563" max="13563" width="31.42578125" customWidth="1"/>
    <col min="13564" max="13564" width="13.140625" customWidth="1"/>
    <col min="13565" max="13565" width="13.28515625" customWidth="1"/>
    <col min="13566" max="13566" width="14" customWidth="1"/>
    <col min="13567" max="13567" width="12.42578125" customWidth="1"/>
    <col min="13568" max="13568" width="17" customWidth="1"/>
    <col min="13818" max="13818" width="10.85546875" customWidth="1"/>
    <col min="13819" max="13819" width="31.42578125" customWidth="1"/>
    <col min="13820" max="13820" width="13.140625" customWidth="1"/>
    <col min="13821" max="13821" width="13.28515625" customWidth="1"/>
    <col min="13822" max="13822" width="14" customWidth="1"/>
    <col min="13823" max="13823" width="12.42578125" customWidth="1"/>
    <col min="13824" max="13824" width="17" customWidth="1"/>
    <col min="14074" max="14074" width="10.85546875" customWidth="1"/>
    <col min="14075" max="14075" width="31.42578125" customWidth="1"/>
    <col min="14076" max="14076" width="13.140625" customWidth="1"/>
    <col min="14077" max="14077" width="13.28515625" customWidth="1"/>
    <col min="14078" max="14078" width="14" customWidth="1"/>
    <col min="14079" max="14079" width="12.42578125" customWidth="1"/>
    <col min="14080" max="14080" width="17" customWidth="1"/>
    <col min="14330" max="14330" width="10.85546875" customWidth="1"/>
    <col min="14331" max="14331" width="31.42578125" customWidth="1"/>
    <col min="14332" max="14332" width="13.140625" customWidth="1"/>
    <col min="14333" max="14333" width="13.28515625" customWidth="1"/>
    <col min="14334" max="14334" width="14" customWidth="1"/>
    <col min="14335" max="14335" width="12.42578125" customWidth="1"/>
    <col min="14336" max="14336" width="17" customWidth="1"/>
    <col min="14586" max="14586" width="10.85546875" customWidth="1"/>
    <col min="14587" max="14587" width="31.42578125" customWidth="1"/>
    <col min="14588" max="14588" width="13.140625" customWidth="1"/>
    <col min="14589" max="14589" width="13.28515625" customWidth="1"/>
    <col min="14590" max="14590" width="14" customWidth="1"/>
    <col min="14591" max="14591" width="12.42578125" customWidth="1"/>
    <col min="14592" max="14592" width="17" customWidth="1"/>
    <col min="14842" max="14842" width="10.85546875" customWidth="1"/>
    <col min="14843" max="14843" width="31.42578125" customWidth="1"/>
    <col min="14844" max="14844" width="13.140625" customWidth="1"/>
    <col min="14845" max="14845" width="13.28515625" customWidth="1"/>
    <col min="14846" max="14846" width="14" customWidth="1"/>
    <col min="14847" max="14847" width="12.42578125" customWidth="1"/>
    <col min="14848" max="14848" width="17" customWidth="1"/>
    <col min="15098" max="15098" width="10.85546875" customWidth="1"/>
    <col min="15099" max="15099" width="31.42578125" customWidth="1"/>
    <col min="15100" max="15100" width="13.140625" customWidth="1"/>
    <col min="15101" max="15101" width="13.28515625" customWidth="1"/>
    <col min="15102" max="15102" width="14" customWidth="1"/>
    <col min="15103" max="15103" width="12.42578125" customWidth="1"/>
    <col min="15104" max="15104" width="17" customWidth="1"/>
    <col min="15354" max="15354" width="10.85546875" customWidth="1"/>
    <col min="15355" max="15355" width="31.42578125" customWidth="1"/>
    <col min="15356" max="15356" width="13.140625" customWidth="1"/>
    <col min="15357" max="15357" width="13.28515625" customWidth="1"/>
    <col min="15358" max="15358" width="14" customWidth="1"/>
    <col min="15359" max="15359" width="12.42578125" customWidth="1"/>
    <col min="15360" max="15360" width="17" customWidth="1"/>
    <col min="15610" max="15610" width="10.85546875" customWidth="1"/>
    <col min="15611" max="15611" width="31.42578125" customWidth="1"/>
    <col min="15612" max="15612" width="13.140625" customWidth="1"/>
    <col min="15613" max="15613" width="13.28515625" customWidth="1"/>
    <col min="15614" max="15614" width="14" customWidth="1"/>
    <col min="15615" max="15615" width="12.42578125" customWidth="1"/>
    <col min="15616" max="15616" width="17" customWidth="1"/>
    <col min="15866" max="15866" width="10.85546875" customWidth="1"/>
    <col min="15867" max="15867" width="31.42578125" customWidth="1"/>
    <col min="15868" max="15868" width="13.140625" customWidth="1"/>
    <col min="15869" max="15869" width="13.28515625" customWidth="1"/>
    <col min="15870" max="15870" width="14" customWidth="1"/>
    <col min="15871" max="15871" width="12.42578125" customWidth="1"/>
    <col min="15872" max="15872" width="17" customWidth="1"/>
    <col min="16122" max="16122" width="10.85546875" customWidth="1"/>
    <col min="16123" max="16123" width="31.42578125" customWidth="1"/>
    <col min="16124" max="16124" width="13.140625" customWidth="1"/>
    <col min="16125" max="16125" width="13.28515625" customWidth="1"/>
    <col min="16126" max="16126" width="14" customWidth="1"/>
    <col min="16127" max="16127" width="12.42578125" customWidth="1"/>
    <col min="16128" max="16128" width="17" customWidth="1"/>
  </cols>
  <sheetData>
    <row r="1" spans="1:8" ht="21.75" customHeight="1" thickBot="1">
      <c r="A1" s="1888" t="s">
        <v>1173</v>
      </c>
      <c r="B1" s="1889"/>
      <c r="C1" s="1889"/>
      <c r="D1" s="1889"/>
      <c r="E1" s="1889"/>
      <c r="F1" s="1889"/>
      <c r="G1" s="1889"/>
      <c r="H1" s="1890"/>
    </row>
    <row r="2" spans="1:8" ht="16.5" customHeight="1" thickBot="1">
      <c r="A2" s="1891" t="s">
        <v>2056</v>
      </c>
      <c r="B2" s="1892"/>
      <c r="C2" s="1892"/>
      <c r="D2" s="1892"/>
      <c r="E2" s="1892"/>
      <c r="F2" s="1892"/>
      <c r="G2" s="1892"/>
      <c r="H2" s="1893"/>
    </row>
    <row r="3" spans="1:8" ht="15" customHeight="1">
      <c r="A3" s="1894" t="s">
        <v>1164</v>
      </c>
      <c r="B3" s="1895"/>
      <c r="C3" s="1895"/>
      <c r="D3" s="1895"/>
      <c r="E3" s="1895"/>
      <c r="F3" s="1895"/>
      <c r="G3" s="1895"/>
      <c r="H3" s="1896"/>
    </row>
    <row r="4" spans="1:8" ht="15.75" customHeight="1" thickBot="1">
      <c r="A4" s="1897" t="s">
        <v>1165</v>
      </c>
      <c r="B4" s="1898"/>
      <c r="C4" s="1898"/>
      <c r="D4" s="1898"/>
      <c r="E4" s="1898"/>
      <c r="F4" s="1898"/>
      <c r="G4" s="1898"/>
      <c r="H4" s="1899"/>
    </row>
    <row r="5" spans="1:8" ht="15.75" customHeight="1" thickBot="1">
      <c r="A5" s="1877" t="s">
        <v>483</v>
      </c>
      <c r="B5" s="1879" t="s">
        <v>461</v>
      </c>
      <c r="C5" s="1881" t="s">
        <v>462</v>
      </c>
      <c r="D5" s="1882"/>
      <c r="E5" s="1882"/>
      <c r="F5" s="1883"/>
      <c r="G5" s="1877" t="s">
        <v>2057</v>
      </c>
      <c r="H5" s="1877" t="s">
        <v>1166</v>
      </c>
    </row>
    <row r="6" spans="1:8" ht="15" customHeight="1" thickBot="1">
      <c r="A6" s="1878"/>
      <c r="B6" s="1880"/>
      <c r="C6" s="1885" t="s">
        <v>1167</v>
      </c>
      <c r="D6" s="1886"/>
      <c r="E6" s="1885" t="s">
        <v>1168</v>
      </c>
      <c r="F6" s="1887"/>
      <c r="G6" s="1878"/>
      <c r="H6" s="1878"/>
    </row>
    <row r="7" spans="1:8" ht="15.75" customHeight="1" thickBot="1">
      <c r="A7" s="1878"/>
      <c r="B7" s="1880"/>
      <c r="C7" s="362" t="s">
        <v>1169</v>
      </c>
      <c r="D7" s="362" t="s">
        <v>1170</v>
      </c>
      <c r="E7" s="362" t="s">
        <v>1171</v>
      </c>
      <c r="F7" s="970" t="s">
        <v>1170</v>
      </c>
      <c r="G7" s="1884"/>
      <c r="H7" s="1878"/>
    </row>
    <row r="8" spans="1:8" ht="15.75" thickBot="1">
      <c r="A8" s="730" t="s">
        <v>389</v>
      </c>
      <c r="B8" s="971" t="s">
        <v>1015</v>
      </c>
      <c r="C8" s="972" t="s">
        <v>1015</v>
      </c>
      <c r="D8" s="363" t="s">
        <v>1015</v>
      </c>
      <c r="E8" s="363" t="s">
        <v>1015</v>
      </c>
      <c r="F8" s="973" t="s">
        <v>1015</v>
      </c>
      <c r="G8" s="974"/>
      <c r="H8" s="364" t="s">
        <v>1015</v>
      </c>
    </row>
    <row r="9" spans="1:8" ht="15.75" thickBot="1">
      <c r="A9" s="367"/>
      <c r="B9" s="975"/>
      <c r="C9" s="976"/>
      <c r="D9" s="365"/>
      <c r="E9" s="365"/>
      <c r="F9" s="977"/>
      <c r="G9" s="978"/>
      <c r="H9" s="366"/>
    </row>
    <row r="10" spans="1:8" ht="15" customHeight="1">
      <c r="A10" s="731" t="s">
        <v>1004</v>
      </c>
      <c r="B10" s="729" t="s">
        <v>1621</v>
      </c>
      <c r="C10" s="979">
        <v>0</v>
      </c>
      <c r="D10" s="729">
        <v>0</v>
      </c>
      <c r="E10" s="729">
        <v>0</v>
      </c>
      <c r="F10" s="980">
        <v>0</v>
      </c>
      <c r="G10" s="980">
        <v>31.412749999999999</v>
      </c>
      <c r="H10" s="731">
        <v>31.412749999999999</v>
      </c>
    </row>
    <row r="11" spans="1:8">
      <c r="A11" s="732" t="s">
        <v>1004</v>
      </c>
      <c r="B11" s="729" t="s">
        <v>1620</v>
      </c>
      <c r="C11" s="979">
        <v>0</v>
      </c>
      <c r="D11" s="729">
        <v>0</v>
      </c>
      <c r="E11" s="729">
        <v>135.336636</v>
      </c>
      <c r="F11" s="980">
        <v>0</v>
      </c>
      <c r="G11" s="980">
        <v>0</v>
      </c>
      <c r="H11" s="731">
        <v>135.336636</v>
      </c>
    </row>
    <row r="12" spans="1:8">
      <c r="A12" s="732" t="s">
        <v>1004</v>
      </c>
      <c r="B12" s="729" t="s">
        <v>1622</v>
      </c>
      <c r="C12" s="979">
        <v>0</v>
      </c>
      <c r="D12" s="729">
        <v>0</v>
      </c>
      <c r="E12" s="729">
        <v>40.098185999999998</v>
      </c>
      <c r="F12" s="980">
        <v>0</v>
      </c>
      <c r="G12" s="980">
        <v>0</v>
      </c>
      <c r="H12" s="731">
        <v>40.098185999999998</v>
      </c>
    </row>
    <row r="13" spans="1:8">
      <c r="A13" s="732" t="s">
        <v>1004</v>
      </c>
      <c r="B13" s="729" t="s">
        <v>1623</v>
      </c>
      <c r="C13" s="979">
        <v>0</v>
      </c>
      <c r="D13" s="729">
        <v>0</v>
      </c>
      <c r="E13" s="729">
        <v>0</v>
      </c>
      <c r="F13" s="980">
        <v>0</v>
      </c>
      <c r="G13" s="980">
        <v>53.410310000000003</v>
      </c>
      <c r="H13" s="731">
        <v>53.410310000000003</v>
      </c>
    </row>
    <row r="14" spans="1:8">
      <c r="A14" s="732" t="s">
        <v>1004</v>
      </c>
      <c r="B14" s="729" t="s">
        <v>1624</v>
      </c>
      <c r="C14" s="979">
        <v>0</v>
      </c>
      <c r="D14" s="729">
        <v>0</v>
      </c>
      <c r="E14" s="729">
        <v>0</v>
      </c>
      <c r="F14" s="980">
        <v>0</v>
      </c>
      <c r="G14" s="980">
        <v>29.176290000000002</v>
      </c>
      <c r="H14" s="731">
        <v>29.176290000000002</v>
      </c>
    </row>
    <row r="15" spans="1:8">
      <c r="A15" s="732" t="s">
        <v>1004</v>
      </c>
      <c r="B15" s="729" t="s">
        <v>1625</v>
      </c>
      <c r="C15" s="979">
        <v>0</v>
      </c>
      <c r="D15" s="729">
        <v>0</v>
      </c>
      <c r="E15" s="729">
        <v>0</v>
      </c>
      <c r="F15" s="980">
        <v>0</v>
      </c>
      <c r="G15" s="980">
        <v>33.447850000000003</v>
      </c>
      <c r="H15" s="731">
        <v>33.447850000000003</v>
      </c>
    </row>
    <row r="16" spans="1:8">
      <c r="A16" s="732" t="s">
        <v>1004</v>
      </c>
      <c r="B16" s="729" t="s">
        <v>1627</v>
      </c>
      <c r="C16" s="979">
        <v>0</v>
      </c>
      <c r="D16" s="729">
        <v>0</v>
      </c>
      <c r="E16" s="729">
        <v>0</v>
      </c>
      <c r="F16" s="980">
        <v>0</v>
      </c>
      <c r="G16" s="980">
        <v>24.638145999999999</v>
      </c>
      <c r="H16" s="731">
        <v>24.638145999999999</v>
      </c>
    </row>
    <row r="17" spans="1:8">
      <c r="A17" s="732" t="s">
        <v>1004</v>
      </c>
      <c r="B17" s="729" t="s">
        <v>1628</v>
      </c>
      <c r="C17" s="979">
        <v>0</v>
      </c>
      <c r="D17" s="729">
        <v>0</v>
      </c>
      <c r="E17" s="729">
        <v>0</v>
      </c>
      <c r="F17" s="980">
        <v>0</v>
      </c>
      <c r="G17" s="980">
        <v>29.291139999999999</v>
      </c>
      <c r="H17" s="731">
        <v>29.291139999999999</v>
      </c>
    </row>
    <row r="18" spans="1:8">
      <c r="A18" s="732" t="s">
        <v>1004</v>
      </c>
      <c r="B18" s="729" t="s">
        <v>1678</v>
      </c>
      <c r="C18" s="979">
        <v>0</v>
      </c>
      <c r="D18" s="729">
        <v>0</v>
      </c>
      <c r="E18" s="729">
        <v>0</v>
      </c>
      <c r="F18" s="980">
        <v>0</v>
      </c>
      <c r="G18" s="980">
        <v>92.117729999999995</v>
      </c>
      <c r="H18" s="731">
        <v>92.117729999999995</v>
      </c>
    </row>
    <row r="19" spans="1:8">
      <c r="A19" s="732" t="s">
        <v>1004</v>
      </c>
      <c r="B19" s="729" t="s">
        <v>1630</v>
      </c>
      <c r="C19" s="979">
        <v>0</v>
      </c>
      <c r="D19" s="729">
        <v>0</v>
      </c>
      <c r="E19" s="729">
        <v>0.113122</v>
      </c>
      <c r="F19" s="980">
        <v>0</v>
      </c>
      <c r="G19" s="980">
        <v>41.869815000000003</v>
      </c>
      <c r="H19" s="731">
        <v>41.982937</v>
      </c>
    </row>
    <row r="20" spans="1:8">
      <c r="A20" s="732" t="s">
        <v>1004</v>
      </c>
      <c r="B20" s="729" t="s">
        <v>1631</v>
      </c>
      <c r="C20" s="979">
        <v>0</v>
      </c>
      <c r="D20" s="729">
        <v>0</v>
      </c>
      <c r="E20" s="729">
        <v>2.9380000000000002</v>
      </c>
      <c r="F20" s="980">
        <v>0</v>
      </c>
      <c r="G20" s="980">
        <v>0</v>
      </c>
      <c r="H20" s="731">
        <v>2.9380000000000002</v>
      </c>
    </row>
    <row r="21" spans="1:8">
      <c r="A21" s="732" t="s">
        <v>1004</v>
      </c>
      <c r="B21" s="729" t="s">
        <v>1632</v>
      </c>
      <c r="C21" s="979">
        <v>0</v>
      </c>
      <c r="D21" s="729">
        <v>0</v>
      </c>
      <c r="E21" s="729">
        <v>0.31472899999999998</v>
      </c>
      <c r="F21" s="980">
        <v>0</v>
      </c>
      <c r="G21" s="980">
        <v>0</v>
      </c>
      <c r="H21" s="731">
        <v>0.31472899999999998</v>
      </c>
    </row>
    <row r="22" spans="1:8">
      <c r="A22" s="732" t="s">
        <v>1004</v>
      </c>
      <c r="B22" s="729" t="s">
        <v>1633</v>
      </c>
      <c r="C22" s="979">
        <v>0</v>
      </c>
      <c r="D22" s="729">
        <v>0</v>
      </c>
      <c r="E22" s="729">
        <v>0</v>
      </c>
      <c r="F22" s="980">
        <v>0</v>
      </c>
      <c r="G22" s="980">
        <v>93.174171999999999</v>
      </c>
      <c r="H22" s="731">
        <v>93.174171999999999</v>
      </c>
    </row>
    <row r="23" spans="1:8">
      <c r="A23" s="732" t="s">
        <v>1004</v>
      </c>
      <c r="B23" s="729" t="s">
        <v>1634</v>
      </c>
      <c r="C23" s="979">
        <v>0</v>
      </c>
      <c r="D23" s="729">
        <v>0</v>
      </c>
      <c r="E23" s="729">
        <v>0</v>
      </c>
      <c r="F23" s="980">
        <v>30.882822000000001</v>
      </c>
      <c r="G23" s="980">
        <v>0</v>
      </c>
      <c r="H23" s="731">
        <v>30.882822000000001</v>
      </c>
    </row>
    <row r="24" spans="1:8">
      <c r="A24" s="732" t="s">
        <v>1004</v>
      </c>
      <c r="B24" s="729" t="s">
        <v>1635</v>
      </c>
      <c r="C24" s="979">
        <v>0</v>
      </c>
      <c r="D24" s="729">
        <v>0</v>
      </c>
      <c r="E24" s="729">
        <v>0</v>
      </c>
      <c r="F24" s="980">
        <v>33.008339999999997</v>
      </c>
      <c r="G24" s="980">
        <v>16.055084999999998</v>
      </c>
      <c r="H24" s="731">
        <v>49.063425000000002</v>
      </c>
    </row>
    <row r="25" spans="1:8">
      <c r="A25" s="732" t="s">
        <v>1004</v>
      </c>
      <c r="B25" s="729" t="s">
        <v>1636</v>
      </c>
      <c r="C25" s="979">
        <v>0</v>
      </c>
      <c r="D25" s="729">
        <v>0</v>
      </c>
      <c r="E25" s="729">
        <v>0</v>
      </c>
      <c r="F25" s="980">
        <v>0</v>
      </c>
      <c r="G25" s="980">
        <v>37.429160000000003</v>
      </c>
      <c r="H25" s="731">
        <v>37.429160000000003</v>
      </c>
    </row>
    <row r="26" spans="1:8">
      <c r="A26" s="732" t="s">
        <v>1004</v>
      </c>
      <c r="B26" s="729" t="s">
        <v>1709</v>
      </c>
      <c r="C26" s="979">
        <v>0</v>
      </c>
      <c r="D26" s="729">
        <v>11.729512</v>
      </c>
      <c r="E26" s="729">
        <v>0</v>
      </c>
      <c r="F26" s="980">
        <v>0</v>
      </c>
      <c r="G26" s="980">
        <v>0</v>
      </c>
      <c r="H26" s="731">
        <v>11.729512</v>
      </c>
    </row>
    <row r="27" spans="1:8">
      <c r="A27" s="732" t="s">
        <v>1004</v>
      </c>
      <c r="B27" s="729" t="s">
        <v>1638</v>
      </c>
      <c r="C27" s="979">
        <v>0</v>
      </c>
      <c r="D27" s="729">
        <v>14.274303</v>
      </c>
      <c r="E27" s="729">
        <v>0</v>
      </c>
      <c r="F27" s="980">
        <v>0</v>
      </c>
      <c r="G27" s="980">
        <v>6.9822410000000001</v>
      </c>
      <c r="H27" s="731">
        <v>21.256544000000002</v>
      </c>
    </row>
    <row r="28" spans="1:8">
      <c r="A28" s="732" t="s">
        <v>1004</v>
      </c>
      <c r="B28" s="729" t="s">
        <v>1639</v>
      </c>
      <c r="C28" s="979">
        <v>0</v>
      </c>
      <c r="D28" s="729">
        <v>18.103760000000001</v>
      </c>
      <c r="E28" s="729">
        <v>0</v>
      </c>
      <c r="F28" s="980">
        <v>0</v>
      </c>
      <c r="G28" s="980">
        <v>9.8075500000000009</v>
      </c>
      <c r="H28" s="731">
        <v>27.91131</v>
      </c>
    </row>
    <row r="29" spans="1:8">
      <c r="A29" s="732" t="s">
        <v>1004</v>
      </c>
      <c r="B29" s="729" t="s">
        <v>1640</v>
      </c>
      <c r="C29" s="979">
        <v>0</v>
      </c>
      <c r="D29" s="729">
        <v>7.8023740000000004</v>
      </c>
      <c r="E29" s="729">
        <v>0</v>
      </c>
      <c r="F29" s="980">
        <v>0</v>
      </c>
      <c r="G29" s="980">
        <v>8.7730099999999993</v>
      </c>
      <c r="H29" s="731">
        <v>16.575384</v>
      </c>
    </row>
    <row r="30" spans="1:8">
      <c r="A30" s="732" t="s">
        <v>1004</v>
      </c>
      <c r="B30" s="729" t="s">
        <v>1641</v>
      </c>
      <c r="C30" s="979">
        <v>421.846451</v>
      </c>
      <c r="D30" s="729">
        <v>0</v>
      </c>
      <c r="E30" s="729">
        <v>0</v>
      </c>
      <c r="F30" s="980">
        <v>0</v>
      </c>
      <c r="G30" s="980">
        <v>0</v>
      </c>
      <c r="H30" s="731">
        <v>421.846451</v>
      </c>
    </row>
    <row r="31" spans="1:8">
      <c r="A31" s="732" t="s">
        <v>1004</v>
      </c>
      <c r="B31" s="729" t="s">
        <v>1644</v>
      </c>
      <c r="C31" s="979">
        <v>4.9746059999999996</v>
      </c>
      <c r="D31" s="729">
        <v>0</v>
      </c>
      <c r="E31" s="729">
        <v>0</v>
      </c>
      <c r="F31" s="980">
        <v>0</v>
      </c>
      <c r="G31" s="980">
        <v>0</v>
      </c>
      <c r="H31" s="731">
        <v>4.9746059999999996</v>
      </c>
    </row>
    <row r="32" spans="1:8">
      <c r="A32" s="732" t="s">
        <v>1004</v>
      </c>
      <c r="B32" s="729" t="s">
        <v>1645</v>
      </c>
      <c r="C32" s="979">
        <v>86.911766</v>
      </c>
      <c r="D32" s="729">
        <v>0</v>
      </c>
      <c r="E32" s="729">
        <v>0</v>
      </c>
      <c r="F32" s="980">
        <v>0</v>
      </c>
      <c r="G32" s="980">
        <v>0</v>
      </c>
      <c r="H32" s="731">
        <v>86.911766</v>
      </c>
    </row>
    <row r="33" spans="1:8">
      <c r="A33" s="732" t="s">
        <v>1004</v>
      </c>
      <c r="B33" s="729" t="s">
        <v>1646</v>
      </c>
      <c r="C33" s="979">
        <v>0.97689199999999998</v>
      </c>
      <c r="D33" s="729">
        <v>0</v>
      </c>
      <c r="E33" s="729">
        <v>0</v>
      </c>
      <c r="F33" s="980">
        <v>0</v>
      </c>
      <c r="G33" s="980">
        <v>0</v>
      </c>
      <c r="H33" s="731">
        <v>0.97689199999999998</v>
      </c>
    </row>
    <row r="34" spans="1:8">
      <c r="A34" s="732" t="s">
        <v>1004</v>
      </c>
      <c r="B34" s="729" t="s">
        <v>1647</v>
      </c>
      <c r="C34" s="979">
        <v>0</v>
      </c>
      <c r="D34" s="729">
        <v>24.136323000000001</v>
      </c>
      <c r="E34" s="729">
        <v>0</v>
      </c>
      <c r="F34" s="980">
        <v>0</v>
      </c>
      <c r="G34" s="980">
        <v>0</v>
      </c>
      <c r="H34" s="731">
        <v>24.136323000000001</v>
      </c>
    </row>
    <row r="35" spans="1:8">
      <c r="A35" s="732" t="s">
        <v>1004</v>
      </c>
      <c r="B35" s="729" t="s">
        <v>1648</v>
      </c>
      <c r="C35" s="979">
        <v>0</v>
      </c>
      <c r="D35" s="729">
        <v>11.599835000000001</v>
      </c>
      <c r="E35" s="729">
        <v>0</v>
      </c>
      <c r="F35" s="980">
        <v>0</v>
      </c>
      <c r="G35" s="980">
        <v>3.362746</v>
      </c>
      <c r="H35" s="731">
        <v>14.962581</v>
      </c>
    </row>
    <row r="36" spans="1:8">
      <c r="A36" s="732" t="s">
        <v>1004</v>
      </c>
      <c r="B36" s="729" t="s">
        <v>1649</v>
      </c>
      <c r="C36" s="979">
        <v>0</v>
      </c>
      <c r="D36" s="729">
        <v>27.507984</v>
      </c>
      <c r="E36" s="729">
        <v>0</v>
      </c>
      <c r="F36" s="980">
        <v>0</v>
      </c>
      <c r="G36" s="980">
        <v>0</v>
      </c>
      <c r="H36" s="731">
        <v>27.507984</v>
      </c>
    </row>
    <row r="37" spans="1:8">
      <c r="A37" s="732" t="s">
        <v>1004</v>
      </c>
      <c r="B37" s="729" t="s">
        <v>2058</v>
      </c>
      <c r="C37" s="979">
        <v>3.5726610000000001</v>
      </c>
      <c r="D37" s="729">
        <v>0</v>
      </c>
      <c r="E37" s="729">
        <v>0</v>
      </c>
      <c r="F37" s="980">
        <v>0</v>
      </c>
      <c r="G37" s="980">
        <v>0</v>
      </c>
      <c r="H37" s="731">
        <v>3.5726610000000001</v>
      </c>
    </row>
    <row r="38" spans="1:8">
      <c r="A38" s="732" t="s">
        <v>1004</v>
      </c>
      <c r="B38" s="729" t="s">
        <v>2059</v>
      </c>
      <c r="C38" s="979">
        <v>6.0255299999999998</v>
      </c>
      <c r="D38" s="729">
        <v>0</v>
      </c>
      <c r="E38" s="729">
        <v>0</v>
      </c>
      <c r="F38" s="980">
        <v>0</v>
      </c>
      <c r="G38" s="980">
        <v>0</v>
      </c>
      <c r="H38" s="731">
        <v>6.0255299999999998</v>
      </c>
    </row>
    <row r="39" spans="1:8">
      <c r="A39" s="732" t="s">
        <v>1004</v>
      </c>
      <c r="B39" s="729" t="s">
        <v>1650</v>
      </c>
      <c r="C39" s="979">
        <v>0</v>
      </c>
      <c r="D39" s="729">
        <v>14.350512</v>
      </c>
      <c r="E39" s="729">
        <v>0</v>
      </c>
      <c r="F39" s="980">
        <v>0</v>
      </c>
      <c r="G39" s="980">
        <v>15.437500999999999</v>
      </c>
      <c r="H39" s="731">
        <v>29.788012999999999</v>
      </c>
    </row>
    <row r="40" spans="1:8">
      <c r="A40" s="732" t="s">
        <v>1004</v>
      </c>
      <c r="B40" s="729" t="s">
        <v>2060</v>
      </c>
      <c r="C40" s="979">
        <v>28.667111999999999</v>
      </c>
      <c r="D40" s="729">
        <v>0</v>
      </c>
      <c r="E40" s="729">
        <v>0</v>
      </c>
      <c r="F40" s="980">
        <v>0</v>
      </c>
      <c r="G40" s="980">
        <v>0</v>
      </c>
      <c r="H40" s="731">
        <v>28.667111999999999</v>
      </c>
    </row>
    <row r="41" spans="1:8">
      <c r="A41" s="732" t="s">
        <v>1004</v>
      </c>
      <c r="B41" s="729" t="s">
        <v>1651</v>
      </c>
      <c r="C41" s="979">
        <v>1.0016</v>
      </c>
      <c r="D41" s="729">
        <v>0</v>
      </c>
      <c r="E41" s="729">
        <v>0</v>
      </c>
      <c r="F41" s="980">
        <v>0</v>
      </c>
      <c r="G41" s="980">
        <v>0</v>
      </c>
      <c r="H41" s="731">
        <v>1.0016</v>
      </c>
    </row>
    <row r="42" spans="1:8">
      <c r="A42" s="732" t="s">
        <v>1004</v>
      </c>
      <c r="B42" s="729" t="s">
        <v>1652</v>
      </c>
      <c r="C42" s="979">
        <v>0</v>
      </c>
      <c r="D42" s="729">
        <v>5.2118080000000004</v>
      </c>
      <c r="E42" s="729">
        <v>0</v>
      </c>
      <c r="F42" s="980">
        <v>0</v>
      </c>
      <c r="G42" s="980">
        <v>3.5272670000000002</v>
      </c>
      <c r="H42" s="731">
        <v>8.7390749999999997</v>
      </c>
    </row>
    <row r="43" spans="1:8">
      <c r="A43" s="732" t="s">
        <v>1004</v>
      </c>
      <c r="B43" s="729" t="s">
        <v>1653</v>
      </c>
      <c r="C43" s="979">
        <v>0</v>
      </c>
      <c r="D43" s="729">
        <v>10.53195</v>
      </c>
      <c r="E43" s="729">
        <v>0</v>
      </c>
      <c r="F43" s="980">
        <v>0</v>
      </c>
      <c r="G43" s="980">
        <v>7.7321799999999996</v>
      </c>
      <c r="H43" s="731">
        <v>18.264130000000002</v>
      </c>
    </row>
    <row r="44" spans="1:8">
      <c r="A44" s="732" t="s">
        <v>1004</v>
      </c>
      <c r="B44" s="729" t="s">
        <v>1626</v>
      </c>
      <c r="C44" s="979">
        <v>0</v>
      </c>
      <c r="D44" s="729">
        <v>0</v>
      </c>
      <c r="E44" s="729">
        <v>0</v>
      </c>
      <c r="F44" s="980">
        <v>29.616569999999999</v>
      </c>
      <c r="G44" s="980">
        <v>11.482430000000001</v>
      </c>
      <c r="H44" s="731">
        <v>41.098999999999997</v>
      </c>
    </row>
    <row r="45" spans="1:8">
      <c r="A45" s="732" t="s">
        <v>1004</v>
      </c>
      <c r="B45" s="729" t="s">
        <v>1642</v>
      </c>
      <c r="C45" s="979">
        <v>0</v>
      </c>
      <c r="D45" s="729">
        <v>8.5862379999999998</v>
      </c>
      <c r="E45" s="729">
        <v>0</v>
      </c>
      <c r="F45" s="980">
        <v>0</v>
      </c>
      <c r="G45" s="980">
        <v>5.9792620000000003</v>
      </c>
      <c r="H45" s="731">
        <v>14.5655</v>
      </c>
    </row>
    <row r="46" spans="1:8">
      <c r="A46" s="732" t="s">
        <v>1004</v>
      </c>
      <c r="B46" s="729" t="s">
        <v>1629</v>
      </c>
      <c r="C46" s="979">
        <v>0</v>
      </c>
      <c r="D46" s="729">
        <v>0</v>
      </c>
      <c r="E46" s="729">
        <v>0</v>
      </c>
      <c r="F46" s="980">
        <v>0</v>
      </c>
      <c r="G46" s="980">
        <v>46.610529999999997</v>
      </c>
      <c r="H46" s="731">
        <v>46.610529999999997</v>
      </c>
    </row>
    <row r="47" spans="1:8" ht="15" customHeight="1">
      <c r="A47" s="732" t="s">
        <v>1004</v>
      </c>
      <c r="B47" s="729" t="s">
        <v>1643</v>
      </c>
      <c r="C47" s="979">
        <v>0</v>
      </c>
      <c r="D47" s="729">
        <v>6.8456999999999999</v>
      </c>
      <c r="E47" s="729">
        <v>0</v>
      </c>
      <c r="F47" s="980">
        <v>0</v>
      </c>
      <c r="G47" s="980">
        <v>8.2671299999999999</v>
      </c>
      <c r="H47" s="731">
        <v>15.112830000000001</v>
      </c>
    </row>
    <row r="48" spans="1:8" ht="15.75" thickBot="1">
      <c r="A48" s="732" t="s">
        <v>1004</v>
      </c>
      <c r="B48" s="729" t="s">
        <v>2061</v>
      </c>
      <c r="C48" s="979">
        <v>12.28281</v>
      </c>
      <c r="D48" s="729">
        <v>0</v>
      </c>
      <c r="E48" s="729">
        <v>0</v>
      </c>
      <c r="F48" s="980">
        <v>0</v>
      </c>
      <c r="G48" s="980">
        <v>0</v>
      </c>
      <c r="H48" s="731">
        <v>12.28281</v>
      </c>
    </row>
    <row r="49" spans="1:8" ht="15.75" thickBot="1">
      <c r="A49" s="733"/>
      <c r="B49" s="734"/>
      <c r="C49" s="981"/>
      <c r="D49" s="734"/>
      <c r="E49" s="734"/>
      <c r="F49" s="982"/>
      <c r="G49" s="982"/>
      <c r="H49" s="735"/>
    </row>
    <row r="50" spans="1:8">
      <c r="A50" s="731" t="s">
        <v>1172</v>
      </c>
      <c r="B50" s="729" t="s">
        <v>1654</v>
      </c>
      <c r="C50" s="979">
        <v>0</v>
      </c>
      <c r="D50" s="729">
        <v>0</v>
      </c>
      <c r="E50" s="729">
        <v>180.380447</v>
      </c>
      <c r="F50" s="980">
        <v>0</v>
      </c>
      <c r="G50" s="980">
        <v>0</v>
      </c>
      <c r="H50" s="731">
        <v>180.380447</v>
      </c>
    </row>
    <row r="51" spans="1:8">
      <c r="A51" s="732" t="s">
        <v>1172</v>
      </c>
      <c r="B51" s="729" t="s">
        <v>1621</v>
      </c>
      <c r="C51" s="979">
        <v>0</v>
      </c>
      <c r="D51" s="729">
        <v>0</v>
      </c>
      <c r="E51" s="729">
        <v>404.08431200000001</v>
      </c>
      <c r="F51" s="980">
        <v>0</v>
      </c>
      <c r="G51" s="980">
        <v>0</v>
      </c>
      <c r="H51" s="731">
        <v>404.08431200000001</v>
      </c>
    </row>
    <row r="52" spans="1:8">
      <c r="A52" s="732" t="s">
        <v>1172</v>
      </c>
      <c r="B52" s="729" t="s">
        <v>1655</v>
      </c>
      <c r="C52" s="979">
        <v>0</v>
      </c>
      <c r="D52" s="729">
        <v>0</v>
      </c>
      <c r="E52" s="729">
        <v>250.057534</v>
      </c>
      <c r="F52" s="980">
        <v>0</v>
      </c>
      <c r="G52" s="980">
        <v>0</v>
      </c>
      <c r="H52" s="731">
        <v>250.057534</v>
      </c>
    </row>
    <row r="53" spans="1:8">
      <c r="A53" s="732" t="s">
        <v>1172</v>
      </c>
      <c r="B53" s="729" t="s">
        <v>1620</v>
      </c>
      <c r="C53" s="979">
        <v>0</v>
      </c>
      <c r="D53" s="729">
        <v>0</v>
      </c>
      <c r="E53" s="729">
        <v>345.33377200000001</v>
      </c>
      <c r="F53" s="980">
        <v>0</v>
      </c>
      <c r="G53" s="980">
        <v>0</v>
      </c>
      <c r="H53" s="731">
        <v>345.33377200000001</v>
      </c>
    </row>
    <row r="54" spans="1:8">
      <c r="A54" s="732" t="s">
        <v>1172</v>
      </c>
      <c r="B54" s="729" t="s">
        <v>1622</v>
      </c>
      <c r="C54" s="979">
        <v>0</v>
      </c>
      <c r="D54" s="729">
        <v>0</v>
      </c>
      <c r="E54" s="729">
        <v>136.35172700000001</v>
      </c>
      <c r="F54" s="980">
        <v>0</v>
      </c>
      <c r="G54" s="980">
        <v>0</v>
      </c>
      <c r="H54" s="731">
        <v>136.35172700000001</v>
      </c>
    </row>
    <row r="55" spans="1:8">
      <c r="A55" s="732" t="s">
        <v>1172</v>
      </c>
      <c r="B55" s="729" t="s">
        <v>1658</v>
      </c>
      <c r="C55" s="979">
        <v>0</v>
      </c>
      <c r="D55" s="729">
        <v>0</v>
      </c>
      <c r="E55" s="729">
        <v>185.26987</v>
      </c>
      <c r="F55" s="980">
        <v>0</v>
      </c>
      <c r="G55" s="980">
        <v>0</v>
      </c>
      <c r="H55" s="731">
        <v>185.26987</v>
      </c>
    </row>
    <row r="56" spans="1:8">
      <c r="A56" s="732" t="s">
        <v>1172</v>
      </c>
      <c r="B56" s="729" t="s">
        <v>1659</v>
      </c>
      <c r="C56" s="979">
        <v>0</v>
      </c>
      <c r="D56" s="729">
        <v>0</v>
      </c>
      <c r="E56" s="729">
        <v>442.66610900000001</v>
      </c>
      <c r="F56" s="980">
        <v>0</v>
      </c>
      <c r="G56" s="980">
        <v>0</v>
      </c>
      <c r="H56" s="731">
        <v>442.66610900000001</v>
      </c>
    </row>
    <row r="57" spans="1:8">
      <c r="A57" s="732" t="s">
        <v>1172</v>
      </c>
      <c r="B57" s="729" t="s">
        <v>1660</v>
      </c>
      <c r="C57" s="979">
        <v>0</v>
      </c>
      <c r="D57" s="729">
        <v>0</v>
      </c>
      <c r="E57" s="729">
        <v>119.860451</v>
      </c>
      <c r="F57" s="980">
        <v>0</v>
      </c>
      <c r="G57" s="980">
        <v>0</v>
      </c>
      <c r="H57" s="731">
        <v>119.860451</v>
      </c>
    </row>
    <row r="58" spans="1:8">
      <c r="A58" s="732" t="s">
        <v>1172</v>
      </c>
      <c r="B58" s="729" t="s">
        <v>1661</v>
      </c>
      <c r="C58" s="979">
        <v>0</v>
      </c>
      <c r="D58" s="729">
        <v>0</v>
      </c>
      <c r="E58" s="729">
        <v>323.05975000000001</v>
      </c>
      <c r="F58" s="980">
        <v>0</v>
      </c>
      <c r="G58" s="980">
        <v>0</v>
      </c>
      <c r="H58" s="731">
        <v>323.05975000000001</v>
      </c>
    </row>
    <row r="59" spans="1:8">
      <c r="A59" s="732" t="s">
        <v>1172</v>
      </c>
      <c r="B59" s="729" t="s">
        <v>1662</v>
      </c>
      <c r="C59" s="979">
        <v>0</v>
      </c>
      <c r="D59" s="729">
        <v>0</v>
      </c>
      <c r="E59" s="729">
        <v>233.25380999999999</v>
      </c>
      <c r="F59" s="980">
        <v>0</v>
      </c>
      <c r="G59" s="980">
        <v>0</v>
      </c>
      <c r="H59" s="731">
        <v>233.25380999999999</v>
      </c>
    </row>
    <row r="60" spans="1:8">
      <c r="A60" s="732" t="s">
        <v>1172</v>
      </c>
      <c r="B60" s="729" t="s">
        <v>1623</v>
      </c>
      <c r="C60" s="979">
        <v>0</v>
      </c>
      <c r="D60" s="729">
        <v>0</v>
      </c>
      <c r="E60" s="729">
        <v>443.20717200000001</v>
      </c>
      <c r="F60" s="980">
        <v>0</v>
      </c>
      <c r="G60" s="980">
        <v>0</v>
      </c>
      <c r="H60" s="731">
        <v>443.20717200000001</v>
      </c>
    </row>
    <row r="61" spans="1:8">
      <c r="A61" s="732" t="s">
        <v>1172</v>
      </c>
      <c r="B61" s="729" t="s">
        <v>1663</v>
      </c>
      <c r="C61" s="979">
        <v>0</v>
      </c>
      <c r="D61" s="729">
        <v>0</v>
      </c>
      <c r="E61" s="729">
        <v>455.53805</v>
      </c>
      <c r="F61" s="980">
        <v>0</v>
      </c>
      <c r="G61" s="980">
        <v>0</v>
      </c>
      <c r="H61" s="731">
        <v>455.53805</v>
      </c>
    </row>
    <row r="62" spans="1:8" ht="16.5" customHeight="1">
      <c r="A62" s="732" t="s">
        <v>1172</v>
      </c>
      <c r="B62" s="729" t="s">
        <v>1624</v>
      </c>
      <c r="C62" s="979">
        <v>0</v>
      </c>
      <c r="D62" s="729">
        <v>0</v>
      </c>
      <c r="E62" s="729">
        <v>298.11317200000002</v>
      </c>
      <c r="F62" s="980">
        <v>0</v>
      </c>
      <c r="G62" s="980">
        <v>0</v>
      </c>
      <c r="H62" s="731">
        <v>298.11317200000002</v>
      </c>
    </row>
    <row r="63" spans="1:8">
      <c r="A63" s="732" t="s">
        <v>1172</v>
      </c>
      <c r="B63" s="729" t="s">
        <v>1664</v>
      </c>
      <c r="C63" s="979">
        <v>0</v>
      </c>
      <c r="D63" s="729">
        <v>0</v>
      </c>
      <c r="E63" s="729">
        <v>245.997501</v>
      </c>
      <c r="F63" s="980">
        <v>0</v>
      </c>
      <c r="G63" s="980">
        <v>0</v>
      </c>
      <c r="H63" s="731">
        <v>245.997501</v>
      </c>
    </row>
    <row r="64" spans="1:8">
      <c r="A64" s="732" t="s">
        <v>1172</v>
      </c>
      <c r="B64" s="729" t="s">
        <v>1665</v>
      </c>
      <c r="C64" s="979">
        <v>0</v>
      </c>
      <c r="D64" s="729">
        <v>0</v>
      </c>
      <c r="E64" s="729">
        <v>416.27276499999999</v>
      </c>
      <c r="F64" s="980">
        <v>0</v>
      </c>
      <c r="G64" s="980">
        <v>0</v>
      </c>
      <c r="H64" s="731">
        <v>416.27276499999999</v>
      </c>
    </row>
    <row r="65" spans="1:8">
      <c r="A65" s="732" t="s">
        <v>1172</v>
      </c>
      <c r="B65" s="729" t="s">
        <v>1666</v>
      </c>
      <c r="C65" s="979">
        <v>0</v>
      </c>
      <c r="D65" s="729">
        <v>0</v>
      </c>
      <c r="E65" s="729">
        <v>122.14882299999999</v>
      </c>
      <c r="F65" s="980">
        <v>0</v>
      </c>
      <c r="G65" s="980">
        <v>0</v>
      </c>
      <c r="H65" s="731">
        <v>122.14882299999999</v>
      </c>
    </row>
    <row r="66" spans="1:8">
      <c r="A66" s="732" t="s">
        <v>1172</v>
      </c>
      <c r="B66" s="729" t="s">
        <v>1667</v>
      </c>
      <c r="C66" s="979">
        <v>0</v>
      </c>
      <c r="D66" s="729">
        <v>0</v>
      </c>
      <c r="E66" s="729">
        <v>252.13517400000001</v>
      </c>
      <c r="F66" s="980">
        <v>0</v>
      </c>
      <c r="G66" s="980">
        <v>0</v>
      </c>
      <c r="H66" s="731">
        <v>252.13517400000001</v>
      </c>
    </row>
    <row r="67" spans="1:8">
      <c r="A67" s="732" t="s">
        <v>1172</v>
      </c>
      <c r="B67" s="729" t="s">
        <v>1625</v>
      </c>
      <c r="C67" s="979">
        <v>0</v>
      </c>
      <c r="D67" s="729">
        <v>0</v>
      </c>
      <c r="E67" s="729">
        <v>152.48246599999999</v>
      </c>
      <c r="F67" s="980">
        <v>0</v>
      </c>
      <c r="G67" s="980">
        <v>0</v>
      </c>
      <c r="H67" s="731">
        <v>152.48246599999999</v>
      </c>
    </row>
    <row r="68" spans="1:8">
      <c r="A68" s="732" t="s">
        <v>1172</v>
      </c>
      <c r="B68" s="729" t="s">
        <v>1668</v>
      </c>
      <c r="C68" s="979">
        <v>0</v>
      </c>
      <c r="D68" s="729">
        <v>0</v>
      </c>
      <c r="E68" s="729">
        <v>126.558678</v>
      </c>
      <c r="F68" s="980">
        <v>0</v>
      </c>
      <c r="G68" s="980">
        <v>0</v>
      </c>
      <c r="H68" s="731">
        <v>126.558678</v>
      </c>
    </row>
    <row r="69" spans="1:8">
      <c r="A69" s="732" t="s">
        <v>1172</v>
      </c>
      <c r="B69" s="729" t="s">
        <v>1669</v>
      </c>
      <c r="C69" s="979">
        <v>0</v>
      </c>
      <c r="D69" s="729">
        <v>0</v>
      </c>
      <c r="E69" s="729">
        <v>136.983799</v>
      </c>
      <c r="F69" s="980">
        <v>0</v>
      </c>
      <c r="G69" s="980">
        <v>0</v>
      </c>
      <c r="H69" s="731">
        <v>136.983799</v>
      </c>
    </row>
    <row r="70" spans="1:8">
      <c r="A70" s="732" t="s">
        <v>1172</v>
      </c>
      <c r="B70" s="729" t="s">
        <v>1670</v>
      </c>
      <c r="C70" s="979">
        <v>0</v>
      </c>
      <c r="D70" s="729">
        <v>0</v>
      </c>
      <c r="E70" s="729">
        <v>254.721</v>
      </c>
      <c r="F70" s="980">
        <v>0</v>
      </c>
      <c r="G70" s="980">
        <v>0</v>
      </c>
      <c r="H70" s="731">
        <v>254.721</v>
      </c>
    </row>
    <row r="71" spans="1:8">
      <c r="A71" s="732" t="s">
        <v>1172</v>
      </c>
      <c r="B71" s="729" t="s">
        <v>1671</v>
      </c>
      <c r="C71" s="979">
        <v>0</v>
      </c>
      <c r="D71" s="729">
        <v>0</v>
      </c>
      <c r="E71" s="729">
        <v>509.80959799999999</v>
      </c>
      <c r="F71" s="980">
        <v>0</v>
      </c>
      <c r="G71" s="980">
        <v>0</v>
      </c>
      <c r="H71" s="731">
        <v>509.80959799999999</v>
      </c>
    </row>
    <row r="72" spans="1:8">
      <c r="A72" s="732" t="s">
        <v>1172</v>
      </c>
      <c r="B72" s="729" t="s">
        <v>1627</v>
      </c>
      <c r="C72" s="979">
        <v>0</v>
      </c>
      <c r="D72" s="729">
        <v>0</v>
      </c>
      <c r="E72" s="729">
        <v>235.55981299999999</v>
      </c>
      <c r="F72" s="980">
        <v>0</v>
      </c>
      <c r="G72" s="980">
        <v>0</v>
      </c>
      <c r="H72" s="731">
        <v>235.55981299999999</v>
      </c>
    </row>
    <row r="73" spans="1:8">
      <c r="A73" s="732" t="s">
        <v>1172</v>
      </c>
      <c r="B73" s="729" t="s">
        <v>1628</v>
      </c>
      <c r="C73" s="979">
        <v>0</v>
      </c>
      <c r="D73" s="729">
        <v>0</v>
      </c>
      <c r="E73" s="729">
        <v>167.971611</v>
      </c>
      <c r="F73" s="980">
        <v>0</v>
      </c>
      <c r="G73" s="980">
        <v>0</v>
      </c>
      <c r="H73" s="731">
        <v>167.971611</v>
      </c>
    </row>
    <row r="74" spans="1:8">
      <c r="A74" s="732" t="s">
        <v>1172</v>
      </c>
      <c r="B74" s="729" t="s">
        <v>1675</v>
      </c>
      <c r="C74" s="979">
        <v>0</v>
      </c>
      <c r="D74" s="729">
        <v>0</v>
      </c>
      <c r="E74" s="729">
        <v>386.06299200000001</v>
      </c>
      <c r="F74" s="980">
        <v>0</v>
      </c>
      <c r="G74" s="980">
        <v>0</v>
      </c>
      <c r="H74" s="731">
        <v>386.06299200000001</v>
      </c>
    </row>
    <row r="75" spans="1:8">
      <c r="A75" s="732" t="s">
        <v>1172</v>
      </c>
      <c r="B75" s="729" t="s">
        <v>1676</v>
      </c>
      <c r="C75" s="979">
        <v>0</v>
      </c>
      <c r="D75" s="729">
        <v>0</v>
      </c>
      <c r="E75" s="729">
        <v>656.46493899999996</v>
      </c>
      <c r="F75" s="980">
        <v>0</v>
      </c>
      <c r="G75" s="980">
        <v>0</v>
      </c>
      <c r="H75" s="731">
        <v>656.46493899999996</v>
      </c>
    </row>
    <row r="76" spans="1:8">
      <c r="A76" s="732" t="s">
        <v>1172</v>
      </c>
      <c r="B76" s="729" t="s">
        <v>1677</v>
      </c>
      <c r="C76" s="979">
        <v>0</v>
      </c>
      <c r="D76" s="729">
        <v>0</v>
      </c>
      <c r="E76" s="729">
        <v>161.447607</v>
      </c>
      <c r="F76" s="980">
        <v>0</v>
      </c>
      <c r="G76" s="980">
        <v>0</v>
      </c>
      <c r="H76" s="731">
        <v>161.447607</v>
      </c>
    </row>
    <row r="77" spans="1:8">
      <c r="A77" s="732" t="s">
        <v>1172</v>
      </c>
      <c r="B77" s="729" t="s">
        <v>1678</v>
      </c>
      <c r="C77" s="979">
        <v>0</v>
      </c>
      <c r="D77" s="729">
        <v>0</v>
      </c>
      <c r="E77" s="729">
        <v>126.225977</v>
      </c>
      <c r="F77" s="980">
        <v>0</v>
      </c>
      <c r="G77" s="980">
        <v>0</v>
      </c>
      <c r="H77" s="731">
        <v>126.225977</v>
      </c>
    </row>
    <row r="78" spans="1:8">
      <c r="A78" s="732" t="s">
        <v>1172</v>
      </c>
      <c r="B78" s="729" t="s">
        <v>1679</v>
      </c>
      <c r="C78" s="979">
        <v>0</v>
      </c>
      <c r="D78" s="729">
        <v>0</v>
      </c>
      <c r="E78" s="729">
        <v>198.17953600000001</v>
      </c>
      <c r="F78" s="980">
        <v>0</v>
      </c>
      <c r="G78" s="980">
        <v>0</v>
      </c>
      <c r="H78" s="731">
        <v>198.17953600000001</v>
      </c>
    </row>
    <row r="79" spans="1:8">
      <c r="A79" s="732" t="s">
        <v>1172</v>
      </c>
      <c r="B79" s="729" t="s">
        <v>1680</v>
      </c>
      <c r="C79" s="979">
        <v>0</v>
      </c>
      <c r="D79" s="729">
        <v>0</v>
      </c>
      <c r="E79" s="729">
        <v>258.20726400000001</v>
      </c>
      <c r="F79" s="980">
        <v>0</v>
      </c>
      <c r="G79" s="980">
        <v>0</v>
      </c>
      <c r="H79" s="731">
        <v>258.20726400000001</v>
      </c>
    </row>
    <row r="80" spans="1:8">
      <c r="A80" s="732" t="s">
        <v>1172</v>
      </c>
      <c r="B80" s="729" t="s">
        <v>1681</v>
      </c>
      <c r="C80" s="979">
        <v>0</v>
      </c>
      <c r="D80" s="729">
        <v>0</v>
      </c>
      <c r="E80" s="729">
        <v>43.742390999999998</v>
      </c>
      <c r="F80" s="980">
        <v>0</v>
      </c>
      <c r="G80" s="980">
        <v>0</v>
      </c>
      <c r="H80" s="731">
        <v>43.742390999999998</v>
      </c>
    </row>
    <row r="81" spans="1:8">
      <c r="A81" s="732" t="s">
        <v>1172</v>
      </c>
      <c r="B81" s="729" t="s">
        <v>1682</v>
      </c>
      <c r="C81" s="979">
        <v>0</v>
      </c>
      <c r="D81" s="729">
        <v>0</v>
      </c>
      <c r="E81" s="729">
        <v>168.66270800000001</v>
      </c>
      <c r="F81" s="980">
        <v>0</v>
      </c>
      <c r="G81" s="980">
        <v>0</v>
      </c>
      <c r="H81" s="731">
        <v>168.66270800000001</v>
      </c>
    </row>
    <row r="82" spans="1:8">
      <c r="A82" s="732" t="s">
        <v>1172</v>
      </c>
      <c r="B82" s="729" t="s">
        <v>1684</v>
      </c>
      <c r="C82" s="979">
        <v>0</v>
      </c>
      <c r="D82" s="729">
        <v>0</v>
      </c>
      <c r="E82" s="729">
        <v>376.97687300000001</v>
      </c>
      <c r="F82" s="980">
        <v>0</v>
      </c>
      <c r="G82" s="980">
        <v>0</v>
      </c>
      <c r="H82" s="731">
        <v>376.97687300000001</v>
      </c>
    </row>
    <row r="83" spans="1:8">
      <c r="A83" s="732" t="s">
        <v>1172</v>
      </c>
      <c r="B83" s="729" t="s">
        <v>1685</v>
      </c>
      <c r="C83" s="979">
        <v>0</v>
      </c>
      <c r="D83" s="729">
        <v>0</v>
      </c>
      <c r="E83" s="729">
        <v>75.822575000000001</v>
      </c>
      <c r="F83" s="980">
        <v>0</v>
      </c>
      <c r="G83" s="980">
        <v>0</v>
      </c>
      <c r="H83" s="731">
        <v>75.822575000000001</v>
      </c>
    </row>
    <row r="84" spans="1:8">
      <c r="A84" s="732" t="s">
        <v>1172</v>
      </c>
      <c r="B84" s="729" t="s">
        <v>1630</v>
      </c>
      <c r="C84" s="979">
        <v>0</v>
      </c>
      <c r="D84" s="729">
        <v>0</v>
      </c>
      <c r="E84" s="729">
        <v>197.771263</v>
      </c>
      <c r="F84" s="980">
        <v>0</v>
      </c>
      <c r="G84" s="980">
        <v>0</v>
      </c>
      <c r="H84" s="731">
        <v>197.771263</v>
      </c>
    </row>
    <row r="85" spans="1:8">
      <c r="A85" s="732" t="s">
        <v>1172</v>
      </c>
      <c r="B85" s="729" t="s">
        <v>1631</v>
      </c>
      <c r="C85" s="979">
        <v>0</v>
      </c>
      <c r="D85" s="729">
        <v>0</v>
      </c>
      <c r="E85" s="729">
        <v>175.002814</v>
      </c>
      <c r="F85" s="980">
        <v>0</v>
      </c>
      <c r="G85" s="980">
        <v>0</v>
      </c>
      <c r="H85" s="731">
        <v>175.002814</v>
      </c>
    </row>
    <row r="86" spans="1:8">
      <c r="A86" s="732" t="s">
        <v>1172</v>
      </c>
      <c r="B86" s="729" t="s">
        <v>1687</v>
      </c>
      <c r="C86" s="979">
        <v>0</v>
      </c>
      <c r="D86" s="729">
        <v>0</v>
      </c>
      <c r="E86" s="729">
        <v>253.44045199999999</v>
      </c>
      <c r="F86" s="980">
        <v>0</v>
      </c>
      <c r="G86" s="980">
        <v>0</v>
      </c>
      <c r="H86" s="731">
        <v>253.44045199999999</v>
      </c>
    </row>
    <row r="87" spans="1:8">
      <c r="A87" s="732" t="s">
        <v>1172</v>
      </c>
      <c r="B87" s="729" t="s">
        <v>1688</v>
      </c>
      <c r="C87" s="979">
        <v>0</v>
      </c>
      <c r="D87" s="729">
        <v>0</v>
      </c>
      <c r="E87" s="729">
        <v>232.67870400000001</v>
      </c>
      <c r="F87" s="980">
        <v>0</v>
      </c>
      <c r="G87" s="980">
        <v>0</v>
      </c>
      <c r="H87" s="731">
        <v>232.67870400000001</v>
      </c>
    </row>
    <row r="88" spans="1:8">
      <c r="A88" s="732" t="s">
        <v>1172</v>
      </c>
      <c r="B88" s="729" t="s">
        <v>1632</v>
      </c>
      <c r="C88" s="979">
        <v>0</v>
      </c>
      <c r="D88" s="729">
        <v>0</v>
      </c>
      <c r="E88" s="729">
        <v>162.71421599999999</v>
      </c>
      <c r="F88" s="980">
        <v>0</v>
      </c>
      <c r="G88" s="980">
        <v>0</v>
      </c>
      <c r="H88" s="731">
        <v>162.71421599999999</v>
      </c>
    </row>
    <row r="89" spans="1:8">
      <c r="A89" s="732" t="s">
        <v>1172</v>
      </c>
      <c r="B89" s="729" t="s">
        <v>1633</v>
      </c>
      <c r="C89" s="979">
        <v>0</v>
      </c>
      <c r="D89" s="729">
        <v>0</v>
      </c>
      <c r="E89" s="729">
        <v>209.98336800000001</v>
      </c>
      <c r="F89" s="980">
        <v>0</v>
      </c>
      <c r="G89" s="980">
        <v>0</v>
      </c>
      <c r="H89" s="731">
        <v>209.98336800000001</v>
      </c>
    </row>
    <row r="90" spans="1:8">
      <c r="A90" s="732" t="s">
        <v>1172</v>
      </c>
      <c r="B90" s="729" t="s">
        <v>1691</v>
      </c>
      <c r="C90" s="979">
        <v>0</v>
      </c>
      <c r="D90" s="729">
        <v>0</v>
      </c>
      <c r="E90" s="729">
        <v>97.677291999999994</v>
      </c>
      <c r="F90" s="980">
        <v>0</v>
      </c>
      <c r="G90" s="980">
        <v>0</v>
      </c>
      <c r="H90" s="731">
        <v>97.677291999999994</v>
      </c>
    </row>
    <row r="91" spans="1:8">
      <c r="A91" s="732" t="s">
        <v>1172</v>
      </c>
      <c r="B91" s="729" t="s">
        <v>1692</v>
      </c>
      <c r="C91" s="979">
        <v>0</v>
      </c>
      <c r="D91" s="729">
        <v>0</v>
      </c>
      <c r="E91" s="729">
        <v>146.26835399999999</v>
      </c>
      <c r="F91" s="980">
        <v>0</v>
      </c>
      <c r="G91" s="980">
        <v>0</v>
      </c>
      <c r="H91" s="731">
        <v>146.26835399999999</v>
      </c>
    </row>
    <row r="92" spans="1:8">
      <c r="A92" s="732" t="s">
        <v>1172</v>
      </c>
      <c r="B92" s="729" t="s">
        <v>1693</v>
      </c>
      <c r="C92" s="979">
        <v>0</v>
      </c>
      <c r="D92" s="729">
        <v>0</v>
      </c>
      <c r="E92" s="729">
        <v>128.601507</v>
      </c>
      <c r="F92" s="980">
        <v>0</v>
      </c>
      <c r="G92" s="980">
        <v>0</v>
      </c>
      <c r="H92" s="731">
        <v>128.601507</v>
      </c>
    </row>
    <row r="93" spans="1:8">
      <c r="A93" s="732" t="s">
        <v>1172</v>
      </c>
      <c r="B93" s="729" t="s">
        <v>1694</v>
      </c>
      <c r="C93" s="979">
        <v>0</v>
      </c>
      <c r="D93" s="729">
        <v>0</v>
      </c>
      <c r="E93" s="729">
        <v>115.352752</v>
      </c>
      <c r="F93" s="980">
        <v>0</v>
      </c>
      <c r="G93" s="980">
        <v>0</v>
      </c>
      <c r="H93" s="731">
        <v>115.352752</v>
      </c>
    </row>
    <row r="94" spans="1:8">
      <c r="A94" s="732" t="s">
        <v>1172</v>
      </c>
      <c r="B94" s="729" t="s">
        <v>1695</v>
      </c>
      <c r="C94" s="979">
        <v>0</v>
      </c>
      <c r="D94" s="729">
        <v>0</v>
      </c>
      <c r="E94" s="729">
        <v>89.673939000000004</v>
      </c>
      <c r="F94" s="980">
        <v>0</v>
      </c>
      <c r="G94" s="980">
        <v>0</v>
      </c>
      <c r="H94" s="731">
        <v>89.673939000000004</v>
      </c>
    </row>
    <row r="95" spans="1:8">
      <c r="A95" s="732" t="s">
        <v>1172</v>
      </c>
      <c r="B95" s="729" t="s">
        <v>1696</v>
      </c>
      <c r="C95" s="979">
        <v>0</v>
      </c>
      <c r="D95" s="729">
        <v>0</v>
      </c>
      <c r="E95" s="729">
        <v>608.81165099999998</v>
      </c>
      <c r="F95" s="980">
        <v>0</v>
      </c>
      <c r="G95" s="980">
        <v>0</v>
      </c>
      <c r="H95" s="731">
        <v>608.81165099999998</v>
      </c>
    </row>
    <row r="96" spans="1:8">
      <c r="A96" s="732" t="s">
        <v>1172</v>
      </c>
      <c r="B96" s="729" t="s">
        <v>2062</v>
      </c>
      <c r="C96" s="979">
        <v>0</v>
      </c>
      <c r="D96" s="729">
        <v>0</v>
      </c>
      <c r="E96" s="729">
        <v>0.61733000000000005</v>
      </c>
      <c r="F96" s="980">
        <v>0</v>
      </c>
      <c r="G96" s="980">
        <v>0</v>
      </c>
      <c r="H96" s="731">
        <v>0.61733000000000005</v>
      </c>
    </row>
    <row r="97" spans="1:8" ht="16.5" customHeight="1">
      <c r="A97" s="732" t="s">
        <v>1172</v>
      </c>
      <c r="B97" s="729" t="s">
        <v>2063</v>
      </c>
      <c r="C97" s="979">
        <v>0</v>
      </c>
      <c r="D97" s="729">
        <v>0</v>
      </c>
      <c r="E97" s="729">
        <v>51.44388</v>
      </c>
      <c r="F97" s="980">
        <v>0</v>
      </c>
      <c r="G97" s="980">
        <v>0</v>
      </c>
      <c r="H97" s="731">
        <v>51.44388</v>
      </c>
    </row>
    <row r="98" spans="1:8">
      <c r="A98" s="732" t="s">
        <v>1172</v>
      </c>
      <c r="B98" s="729" t="s">
        <v>1697</v>
      </c>
      <c r="C98" s="979">
        <v>0</v>
      </c>
      <c r="D98" s="729">
        <v>0</v>
      </c>
      <c r="E98" s="729">
        <v>102.34558</v>
      </c>
      <c r="F98" s="980">
        <v>0</v>
      </c>
      <c r="G98" s="980">
        <v>0</v>
      </c>
      <c r="H98" s="731">
        <v>102.34558</v>
      </c>
    </row>
    <row r="99" spans="1:8">
      <c r="A99" s="732" t="s">
        <v>1172</v>
      </c>
      <c r="B99" s="729" t="s">
        <v>2064</v>
      </c>
      <c r="C99" s="979">
        <v>0</v>
      </c>
      <c r="D99" s="729">
        <v>0</v>
      </c>
      <c r="E99" s="729">
        <v>22.324200000000001</v>
      </c>
      <c r="F99" s="980">
        <v>0</v>
      </c>
      <c r="G99" s="980">
        <v>0</v>
      </c>
      <c r="H99" s="731">
        <v>22.324200000000001</v>
      </c>
    </row>
    <row r="100" spans="1:8">
      <c r="A100" s="732" t="s">
        <v>1172</v>
      </c>
      <c r="B100" s="729" t="s">
        <v>2065</v>
      </c>
      <c r="C100" s="979">
        <v>0</v>
      </c>
      <c r="D100" s="729">
        <v>0</v>
      </c>
      <c r="E100" s="729">
        <v>4.3853350000000004</v>
      </c>
      <c r="F100" s="980">
        <v>0</v>
      </c>
      <c r="G100" s="980">
        <v>0</v>
      </c>
      <c r="H100" s="731">
        <v>4.3853350000000004</v>
      </c>
    </row>
    <row r="101" spans="1:8">
      <c r="A101" s="732" t="s">
        <v>1172</v>
      </c>
      <c r="B101" s="729" t="s">
        <v>1634</v>
      </c>
      <c r="C101" s="979">
        <v>0</v>
      </c>
      <c r="D101" s="729">
        <v>0</v>
      </c>
      <c r="E101" s="729">
        <v>496.38153299999999</v>
      </c>
      <c r="F101" s="980">
        <v>0</v>
      </c>
      <c r="G101" s="980">
        <v>0</v>
      </c>
      <c r="H101" s="731">
        <v>496.38153299999999</v>
      </c>
    </row>
    <row r="102" spans="1:8">
      <c r="A102" s="732" t="s">
        <v>1172</v>
      </c>
      <c r="B102" s="729" t="s">
        <v>1698</v>
      </c>
      <c r="C102" s="979">
        <v>0</v>
      </c>
      <c r="D102" s="729">
        <v>0</v>
      </c>
      <c r="E102" s="729">
        <v>292.25838399999998</v>
      </c>
      <c r="F102" s="980">
        <v>0</v>
      </c>
      <c r="G102" s="980">
        <v>0</v>
      </c>
      <c r="H102" s="731">
        <v>292.25838399999998</v>
      </c>
    </row>
    <row r="103" spans="1:8">
      <c r="A103" s="732" t="s">
        <v>1172</v>
      </c>
      <c r="B103" s="729" t="s">
        <v>1635</v>
      </c>
      <c r="C103" s="979">
        <v>0</v>
      </c>
      <c r="D103" s="729">
        <v>0</v>
      </c>
      <c r="E103" s="729">
        <v>498.37916300000001</v>
      </c>
      <c r="F103" s="980">
        <v>0</v>
      </c>
      <c r="G103" s="980">
        <v>0</v>
      </c>
      <c r="H103" s="731">
        <v>498.37916300000001</v>
      </c>
    </row>
    <row r="104" spans="1:8">
      <c r="A104" s="732" t="s">
        <v>1172</v>
      </c>
      <c r="B104" s="729" t="s">
        <v>1636</v>
      </c>
      <c r="C104" s="979">
        <v>0</v>
      </c>
      <c r="D104" s="729">
        <v>0</v>
      </c>
      <c r="E104" s="729">
        <v>824.20670900000005</v>
      </c>
      <c r="F104" s="980">
        <v>0</v>
      </c>
      <c r="G104" s="980">
        <v>0</v>
      </c>
      <c r="H104" s="731">
        <v>824.20670900000005</v>
      </c>
    </row>
    <row r="105" spans="1:8">
      <c r="A105" s="732" t="s">
        <v>1172</v>
      </c>
      <c r="B105" s="729" t="s">
        <v>1637</v>
      </c>
      <c r="C105" s="979">
        <v>0</v>
      </c>
      <c r="D105" s="729">
        <v>0</v>
      </c>
      <c r="E105" s="729">
        <v>43.512698999999998</v>
      </c>
      <c r="F105" s="980">
        <v>0</v>
      </c>
      <c r="G105" s="980">
        <v>0</v>
      </c>
      <c r="H105" s="731">
        <v>43.512698999999998</v>
      </c>
    </row>
    <row r="106" spans="1:8">
      <c r="A106" s="732" t="s">
        <v>1172</v>
      </c>
      <c r="B106" s="729" t="s">
        <v>1699</v>
      </c>
      <c r="C106" s="979">
        <v>0</v>
      </c>
      <c r="D106" s="729">
        <v>0</v>
      </c>
      <c r="E106" s="729">
        <v>276.44055800000001</v>
      </c>
      <c r="F106" s="980">
        <v>0</v>
      </c>
      <c r="G106" s="980">
        <v>0</v>
      </c>
      <c r="H106" s="731">
        <v>276.44055800000001</v>
      </c>
    </row>
    <row r="107" spans="1:8">
      <c r="A107" s="732" t="s">
        <v>1172</v>
      </c>
      <c r="B107" s="729" t="s">
        <v>1700</v>
      </c>
      <c r="C107" s="979">
        <v>0</v>
      </c>
      <c r="D107" s="729">
        <v>0</v>
      </c>
      <c r="E107" s="729">
        <v>21.722586</v>
      </c>
      <c r="F107" s="980">
        <v>0</v>
      </c>
      <c r="G107" s="980">
        <v>0</v>
      </c>
      <c r="H107" s="731">
        <v>21.722586</v>
      </c>
    </row>
    <row r="108" spans="1:8">
      <c r="A108" s="732" t="s">
        <v>1172</v>
      </c>
      <c r="B108" s="729" t="s">
        <v>1701</v>
      </c>
      <c r="C108" s="979">
        <v>98.377222000000003</v>
      </c>
      <c r="D108" s="729">
        <v>0</v>
      </c>
      <c r="E108" s="729">
        <v>0</v>
      </c>
      <c r="F108" s="980">
        <v>0</v>
      </c>
      <c r="G108" s="980">
        <v>0</v>
      </c>
      <c r="H108" s="731">
        <v>98.377222000000003</v>
      </c>
    </row>
    <row r="109" spans="1:8">
      <c r="A109" s="732" t="s">
        <v>1172</v>
      </c>
      <c r="B109" s="729" t="s">
        <v>1704</v>
      </c>
      <c r="C109" s="979">
        <v>12.173505</v>
      </c>
      <c r="D109" s="729">
        <v>0</v>
      </c>
      <c r="E109" s="729">
        <v>0</v>
      </c>
      <c r="F109" s="980">
        <v>0</v>
      </c>
      <c r="G109" s="980">
        <v>0</v>
      </c>
      <c r="H109" s="731">
        <v>12.173505</v>
      </c>
    </row>
    <row r="110" spans="1:8">
      <c r="A110" s="732" t="s">
        <v>1172</v>
      </c>
      <c r="B110" s="729" t="s">
        <v>1707</v>
      </c>
      <c r="C110" s="979">
        <v>26.803215999999999</v>
      </c>
      <c r="D110" s="729">
        <v>0</v>
      </c>
      <c r="E110" s="729">
        <v>0</v>
      </c>
      <c r="F110" s="980">
        <v>0</v>
      </c>
      <c r="G110" s="980">
        <v>0</v>
      </c>
      <c r="H110" s="731">
        <v>26.803215999999999</v>
      </c>
    </row>
    <row r="111" spans="1:8">
      <c r="A111" s="732" t="s">
        <v>1172</v>
      </c>
      <c r="B111" s="729" t="s">
        <v>1708</v>
      </c>
      <c r="C111" s="979">
        <v>102.587935</v>
      </c>
      <c r="D111" s="729">
        <v>0</v>
      </c>
      <c r="E111" s="729">
        <v>0</v>
      </c>
      <c r="F111" s="980">
        <v>0</v>
      </c>
      <c r="G111" s="980">
        <v>0</v>
      </c>
      <c r="H111" s="731">
        <v>102.587935</v>
      </c>
    </row>
    <row r="112" spans="1:8">
      <c r="A112" s="732" t="s">
        <v>1172</v>
      </c>
      <c r="B112" s="729" t="s">
        <v>1709</v>
      </c>
      <c r="C112" s="979">
        <v>300.04404299999999</v>
      </c>
      <c r="D112" s="729">
        <v>0</v>
      </c>
      <c r="E112" s="729">
        <v>0</v>
      </c>
      <c r="F112" s="980">
        <v>0</v>
      </c>
      <c r="G112" s="980">
        <v>0</v>
      </c>
      <c r="H112" s="731">
        <v>300.04404299999999</v>
      </c>
    </row>
    <row r="113" spans="1:8">
      <c r="A113" s="732" t="s">
        <v>1172</v>
      </c>
      <c r="B113" s="729" t="s">
        <v>1710</v>
      </c>
      <c r="C113" s="979">
        <v>132.168351</v>
      </c>
      <c r="D113" s="729">
        <v>0</v>
      </c>
      <c r="E113" s="729">
        <v>0</v>
      </c>
      <c r="F113" s="980">
        <v>0</v>
      </c>
      <c r="G113" s="980">
        <v>0</v>
      </c>
      <c r="H113" s="731">
        <v>132.168351</v>
      </c>
    </row>
    <row r="114" spans="1:8">
      <c r="A114" s="732" t="s">
        <v>1172</v>
      </c>
      <c r="B114" s="729" t="s">
        <v>1638</v>
      </c>
      <c r="C114" s="979">
        <v>249.04899900000001</v>
      </c>
      <c r="D114" s="729">
        <v>0</v>
      </c>
      <c r="E114" s="729">
        <v>0</v>
      </c>
      <c r="F114" s="980">
        <v>0</v>
      </c>
      <c r="G114" s="980">
        <v>0</v>
      </c>
      <c r="H114" s="731">
        <v>249.04899900000001</v>
      </c>
    </row>
    <row r="115" spans="1:8">
      <c r="A115" s="732" t="s">
        <v>1172</v>
      </c>
      <c r="B115" s="729" t="s">
        <v>1639</v>
      </c>
      <c r="C115" s="979">
        <v>155.88648599999999</v>
      </c>
      <c r="D115" s="729">
        <v>0</v>
      </c>
      <c r="E115" s="729">
        <v>0</v>
      </c>
      <c r="F115" s="980">
        <v>0</v>
      </c>
      <c r="G115" s="980">
        <v>0</v>
      </c>
      <c r="H115" s="731">
        <v>155.88648599999999</v>
      </c>
    </row>
    <row r="116" spans="1:8">
      <c r="A116" s="732" t="s">
        <v>1172</v>
      </c>
      <c r="B116" s="729" t="s">
        <v>1711</v>
      </c>
      <c r="C116" s="979">
        <v>214.024754</v>
      </c>
      <c r="D116" s="729">
        <v>0</v>
      </c>
      <c r="E116" s="729">
        <v>0</v>
      </c>
      <c r="F116" s="980">
        <v>0</v>
      </c>
      <c r="G116" s="980">
        <v>0</v>
      </c>
      <c r="H116" s="731">
        <v>214.024754</v>
      </c>
    </row>
    <row r="117" spans="1:8">
      <c r="A117" s="732" t="s">
        <v>1172</v>
      </c>
      <c r="B117" s="729" t="s">
        <v>1712</v>
      </c>
      <c r="C117" s="979">
        <v>208.88636099999999</v>
      </c>
      <c r="D117" s="729">
        <v>0</v>
      </c>
      <c r="E117" s="729">
        <v>0</v>
      </c>
      <c r="F117" s="980">
        <v>0</v>
      </c>
      <c r="G117" s="980">
        <v>0</v>
      </c>
      <c r="H117" s="731">
        <v>208.88636099999999</v>
      </c>
    </row>
    <row r="118" spans="1:8">
      <c r="A118" s="732" t="s">
        <v>1172</v>
      </c>
      <c r="B118" s="729" t="s">
        <v>1714</v>
      </c>
      <c r="C118" s="979">
        <v>-1.6365080000000001</v>
      </c>
      <c r="D118" s="729">
        <v>0</v>
      </c>
      <c r="E118" s="729">
        <v>0</v>
      </c>
      <c r="F118" s="980">
        <v>0</v>
      </c>
      <c r="G118" s="980">
        <v>0</v>
      </c>
      <c r="H118" s="731">
        <v>-1.6365080000000001</v>
      </c>
    </row>
    <row r="119" spans="1:8">
      <c r="A119" s="732" t="s">
        <v>1172</v>
      </c>
      <c r="B119" s="729" t="s">
        <v>1715</v>
      </c>
      <c r="C119" s="979">
        <v>110.852699</v>
      </c>
      <c r="D119" s="729">
        <v>0</v>
      </c>
      <c r="E119" s="729">
        <v>0</v>
      </c>
      <c r="F119" s="980">
        <v>0</v>
      </c>
      <c r="G119" s="980">
        <v>0</v>
      </c>
      <c r="H119" s="731">
        <v>110.852699</v>
      </c>
    </row>
    <row r="120" spans="1:8">
      <c r="A120" s="732" t="s">
        <v>1172</v>
      </c>
      <c r="B120" s="729" t="s">
        <v>2066</v>
      </c>
      <c r="C120" s="979">
        <v>287.979737</v>
      </c>
      <c r="D120" s="729">
        <v>0</v>
      </c>
      <c r="E120" s="729">
        <v>0</v>
      </c>
      <c r="F120" s="980">
        <v>0</v>
      </c>
      <c r="G120" s="980">
        <v>0</v>
      </c>
      <c r="H120" s="731">
        <v>287.979737</v>
      </c>
    </row>
    <row r="121" spans="1:8">
      <c r="A121" s="732" t="s">
        <v>1172</v>
      </c>
      <c r="B121" s="729" t="s">
        <v>1717</v>
      </c>
      <c r="C121" s="979">
        <v>142.16076200000001</v>
      </c>
      <c r="D121" s="729">
        <v>0</v>
      </c>
      <c r="E121" s="729">
        <v>0</v>
      </c>
      <c r="F121" s="980">
        <v>0</v>
      </c>
      <c r="G121" s="980">
        <v>0</v>
      </c>
      <c r="H121" s="731">
        <v>142.16076200000001</v>
      </c>
    </row>
    <row r="122" spans="1:8">
      <c r="A122" s="732" t="s">
        <v>1172</v>
      </c>
      <c r="B122" s="729" t="s">
        <v>1640</v>
      </c>
      <c r="C122" s="979">
        <v>456.50685499999997</v>
      </c>
      <c r="D122" s="729">
        <v>0</v>
      </c>
      <c r="E122" s="729">
        <v>0</v>
      </c>
      <c r="F122" s="980">
        <v>0</v>
      </c>
      <c r="G122" s="980">
        <v>0</v>
      </c>
      <c r="H122" s="731">
        <v>456.50685499999997</v>
      </c>
    </row>
    <row r="123" spans="1:8">
      <c r="A123" s="732" t="s">
        <v>1172</v>
      </c>
      <c r="B123" s="729" t="s">
        <v>1718</v>
      </c>
      <c r="C123" s="979">
        <v>118.068072</v>
      </c>
      <c r="D123" s="729">
        <v>0</v>
      </c>
      <c r="E123" s="729">
        <v>0</v>
      </c>
      <c r="F123" s="980">
        <v>0</v>
      </c>
      <c r="G123" s="980">
        <v>0</v>
      </c>
      <c r="H123" s="731">
        <v>118.068072</v>
      </c>
    </row>
    <row r="124" spans="1:8">
      <c r="A124" s="732" t="s">
        <v>1172</v>
      </c>
      <c r="B124" s="729" t="s">
        <v>1719</v>
      </c>
      <c r="C124" s="979">
        <v>223.06043099999999</v>
      </c>
      <c r="D124" s="729">
        <v>0</v>
      </c>
      <c r="E124" s="729">
        <v>0</v>
      </c>
      <c r="F124" s="980">
        <v>0</v>
      </c>
      <c r="G124" s="980">
        <v>0</v>
      </c>
      <c r="H124" s="731">
        <v>223.06043099999999</v>
      </c>
    </row>
    <row r="125" spans="1:8">
      <c r="A125" s="732" t="s">
        <v>1172</v>
      </c>
      <c r="B125" s="729" t="s">
        <v>1720</v>
      </c>
      <c r="C125" s="979">
        <v>40.090068000000002</v>
      </c>
      <c r="D125" s="729">
        <v>0</v>
      </c>
      <c r="E125" s="729">
        <v>0</v>
      </c>
      <c r="F125" s="980">
        <v>0</v>
      </c>
      <c r="G125" s="980">
        <v>0</v>
      </c>
      <c r="H125" s="731">
        <v>40.090068000000002</v>
      </c>
    </row>
    <row r="126" spans="1:8">
      <c r="A126" s="732" t="s">
        <v>1172</v>
      </c>
      <c r="B126" s="729" t="s">
        <v>1641</v>
      </c>
      <c r="C126" s="979">
        <v>101.77142499999999</v>
      </c>
      <c r="D126" s="729">
        <v>0</v>
      </c>
      <c r="E126" s="729">
        <v>0</v>
      </c>
      <c r="F126" s="980">
        <v>0</v>
      </c>
      <c r="G126" s="980">
        <v>0</v>
      </c>
      <c r="H126" s="731">
        <v>101.77142499999999</v>
      </c>
    </row>
    <row r="127" spans="1:8">
      <c r="A127" s="732" t="s">
        <v>1172</v>
      </c>
      <c r="B127" s="729" t="s">
        <v>1722</v>
      </c>
      <c r="C127" s="979">
        <v>116.521401</v>
      </c>
      <c r="D127" s="729">
        <v>0</v>
      </c>
      <c r="E127" s="729">
        <v>0</v>
      </c>
      <c r="F127" s="980">
        <v>0</v>
      </c>
      <c r="G127" s="980">
        <v>0</v>
      </c>
      <c r="H127" s="731">
        <v>116.521401</v>
      </c>
    </row>
    <row r="128" spans="1:8">
      <c r="A128" s="732" t="s">
        <v>1172</v>
      </c>
      <c r="B128" s="729" t="s">
        <v>1723</v>
      </c>
      <c r="C128" s="979">
        <v>139.32876099999999</v>
      </c>
      <c r="D128" s="729">
        <v>0</v>
      </c>
      <c r="E128" s="729">
        <v>0</v>
      </c>
      <c r="F128" s="980">
        <v>0</v>
      </c>
      <c r="G128" s="980">
        <v>0</v>
      </c>
      <c r="H128" s="731">
        <v>139.32876099999999</v>
      </c>
    </row>
    <row r="129" spans="1:8">
      <c r="A129" s="732" t="s">
        <v>1172</v>
      </c>
      <c r="B129" s="729" t="s">
        <v>1724</v>
      </c>
      <c r="C129" s="979">
        <v>120.79680500000001</v>
      </c>
      <c r="D129" s="729">
        <v>0</v>
      </c>
      <c r="E129" s="729">
        <v>0</v>
      </c>
      <c r="F129" s="980">
        <v>0</v>
      </c>
      <c r="G129" s="980">
        <v>0</v>
      </c>
      <c r="H129" s="731">
        <v>120.79680500000001</v>
      </c>
    </row>
    <row r="130" spans="1:8">
      <c r="A130" s="732" t="s">
        <v>1172</v>
      </c>
      <c r="B130" s="729" t="s">
        <v>1725</v>
      </c>
      <c r="C130" s="979">
        <v>49.363726</v>
      </c>
      <c r="D130" s="729">
        <v>0</v>
      </c>
      <c r="E130" s="729">
        <v>0</v>
      </c>
      <c r="F130" s="980">
        <v>0</v>
      </c>
      <c r="G130" s="980">
        <v>0</v>
      </c>
      <c r="H130" s="731">
        <v>49.363726</v>
      </c>
    </row>
    <row r="131" spans="1:8">
      <c r="A131" s="732" t="s">
        <v>1172</v>
      </c>
      <c r="B131" s="729" t="s">
        <v>1644</v>
      </c>
      <c r="C131" s="979">
        <v>328.41862900000001</v>
      </c>
      <c r="D131" s="729">
        <v>0</v>
      </c>
      <c r="E131" s="729">
        <v>0</v>
      </c>
      <c r="F131" s="980">
        <v>0</v>
      </c>
      <c r="G131" s="980">
        <v>0</v>
      </c>
      <c r="H131" s="731">
        <v>328.41862900000001</v>
      </c>
    </row>
    <row r="132" spans="1:8">
      <c r="A132" s="732" t="s">
        <v>1172</v>
      </c>
      <c r="B132" s="729" t="s">
        <v>1727</v>
      </c>
      <c r="C132" s="979">
        <v>459.85031800000002</v>
      </c>
      <c r="D132" s="729">
        <v>0</v>
      </c>
      <c r="E132" s="729">
        <v>0</v>
      </c>
      <c r="F132" s="980">
        <v>0</v>
      </c>
      <c r="G132" s="980">
        <v>0</v>
      </c>
      <c r="H132" s="731">
        <v>459.85031800000002</v>
      </c>
    </row>
    <row r="133" spans="1:8">
      <c r="A133" s="732" t="s">
        <v>1172</v>
      </c>
      <c r="B133" s="729" t="s">
        <v>1728</v>
      </c>
      <c r="C133" s="979">
        <v>66.664297000000005</v>
      </c>
      <c r="D133" s="729">
        <v>0</v>
      </c>
      <c r="E133" s="729">
        <v>0</v>
      </c>
      <c r="F133" s="980">
        <v>0</v>
      </c>
      <c r="G133" s="980">
        <v>0</v>
      </c>
      <c r="H133" s="731">
        <v>66.664297000000005</v>
      </c>
    </row>
    <row r="134" spans="1:8">
      <c r="A134" s="732" t="s">
        <v>1172</v>
      </c>
      <c r="B134" s="729" t="s">
        <v>1729</v>
      </c>
      <c r="C134" s="979">
        <v>24.491976000000001</v>
      </c>
      <c r="D134" s="729">
        <v>0</v>
      </c>
      <c r="E134" s="729">
        <v>0</v>
      </c>
      <c r="F134" s="980">
        <v>0</v>
      </c>
      <c r="G134" s="980">
        <v>0</v>
      </c>
      <c r="H134" s="731">
        <v>24.491976000000001</v>
      </c>
    </row>
    <row r="135" spans="1:8">
      <c r="A135" s="732" t="s">
        <v>1172</v>
      </c>
      <c r="B135" s="729" t="s">
        <v>1730</v>
      </c>
      <c r="C135" s="979">
        <v>18.040925999999999</v>
      </c>
      <c r="D135" s="729">
        <v>0</v>
      </c>
      <c r="E135" s="729">
        <v>0</v>
      </c>
      <c r="F135" s="980">
        <v>0</v>
      </c>
      <c r="G135" s="980">
        <v>0</v>
      </c>
      <c r="H135" s="731">
        <v>18.040925999999999</v>
      </c>
    </row>
    <row r="136" spans="1:8">
      <c r="A136" s="732" t="s">
        <v>1172</v>
      </c>
      <c r="B136" s="729" t="s">
        <v>1731</v>
      </c>
      <c r="C136" s="979">
        <v>203.40763699999999</v>
      </c>
      <c r="D136" s="729">
        <v>0</v>
      </c>
      <c r="E136" s="729">
        <v>0</v>
      </c>
      <c r="F136" s="980">
        <v>0</v>
      </c>
      <c r="G136" s="980">
        <v>0</v>
      </c>
      <c r="H136" s="731">
        <v>203.40763699999999</v>
      </c>
    </row>
    <row r="137" spans="1:8">
      <c r="A137" s="732" t="s">
        <v>1172</v>
      </c>
      <c r="B137" s="729" t="s">
        <v>1732</v>
      </c>
      <c r="C137" s="979">
        <v>137.721949</v>
      </c>
      <c r="D137" s="729">
        <v>0</v>
      </c>
      <c r="E137" s="729">
        <v>0</v>
      </c>
      <c r="F137" s="980">
        <v>0</v>
      </c>
      <c r="G137" s="980">
        <v>0</v>
      </c>
      <c r="H137" s="731">
        <v>137.721949</v>
      </c>
    </row>
    <row r="138" spans="1:8">
      <c r="A138" s="732" t="s">
        <v>1172</v>
      </c>
      <c r="B138" s="729" t="s">
        <v>1733</v>
      </c>
      <c r="C138" s="979">
        <v>117.48228</v>
      </c>
      <c r="D138" s="729">
        <v>0</v>
      </c>
      <c r="E138" s="729">
        <v>0</v>
      </c>
      <c r="F138" s="980">
        <v>0</v>
      </c>
      <c r="G138" s="980">
        <v>0</v>
      </c>
      <c r="H138" s="731">
        <v>117.48228</v>
      </c>
    </row>
    <row r="139" spans="1:8">
      <c r="A139" s="732" t="s">
        <v>1172</v>
      </c>
      <c r="B139" s="729" t="s">
        <v>1645</v>
      </c>
      <c r="C139" s="979">
        <v>198.49600000000001</v>
      </c>
      <c r="D139" s="729">
        <v>0</v>
      </c>
      <c r="E139" s="729">
        <v>0</v>
      </c>
      <c r="F139" s="980">
        <v>0</v>
      </c>
      <c r="G139" s="980">
        <v>0</v>
      </c>
      <c r="H139" s="731">
        <v>198.49600000000001</v>
      </c>
    </row>
    <row r="140" spans="1:8">
      <c r="A140" s="732" t="s">
        <v>1172</v>
      </c>
      <c r="B140" s="729" t="s">
        <v>1646</v>
      </c>
      <c r="C140" s="979">
        <v>100.603076</v>
      </c>
      <c r="D140" s="729">
        <v>0</v>
      </c>
      <c r="E140" s="729">
        <v>0</v>
      </c>
      <c r="F140" s="980">
        <v>0</v>
      </c>
      <c r="G140" s="980">
        <v>0</v>
      </c>
      <c r="H140" s="731">
        <v>100.603076</v>
      </c>
    </row>
    <row r="141" spans="1:8">
      <c r="A141" s="732" t="s">
        <v>1172</v>
      </c>
      <c r="B141" s="729" t="s">
        <v>1735</v>
      </c>
      <c r="C141" s="979">
        <v>115.71781799999999</v>
      </c>
      <c r="D141" s="729">
        <v>0</v>
      </c>
      <c r="E141" s="729">
        <v>0</v>
      </c>
      <c r="F141" s="980">
        <v>0</v>
      </c>
      <c r="G141" s="980">
        <v>0</v>
      </c>
      <c r="H141" s="731">
        <v>115.71781799999999</v>
      </c>
    </row>
    <row r="142" spans="1:8">
      <c r="A142" s="732" t="s">
        <v>1172</v>
      </c>
      <c r="B142" s="729" t="s">
        <v>1741</v>
      </c>
      <c r="C142" s="979">
        <v>416.47251</v>
      </c>
      <c r="D142" s="729">
        <v>0</v>
      </c>
      <c r="E142" s="729">
        <v>0</v>
      </c>
      <c r="F142" s="980">
        <v>0</v>
      </c>
      <c r="G142" s="980">
        <v>0</v>
      </c>
      <c r="H142" s="731">
        <v>416.47251</v>
      </c>
    </row>
    <row r="143" spans="1:8">
      <c r="A143" s="732" t="s">
        <v>1172</v>
      </c>
      <c r="B143" s="729" t="s">
        <v>1736</v>
      </c>
      <c r="C143" s="979">
        <v>182.78051400000001</v>
      </c>
      <c r="D143" s="729">
        <v>0</v>
      </c>
      <c r="E143" s="729">
        <v>0</v>
      </c>
      <c r="F143" s="980">
        <v>0</v>
      </c>
      <c r="G143" s="980">
        <v>0</v>
      </c>
      <c r="H143" s="731">
        <v>182.78051400000001</v>
      </c>
    </row>
    <row r="144" spans="1:8">
      <c r="A144" s="732" t="s">
        <v>1172</v>
      </c>
      <c r="B144" s="729" t="s">
        <v>1737</v>
      </c>
      <c r="C144" s="979">
        <v>31.235263</v>
      </c>
      <c r="D144" s="729">
        <v>0</v>
      </c>
      <c r="E144" s="729">
        <v>0</v>
      </c>
      <c r="F144" s="980">
        <v>0</v>
      </c>
      <c r="G144" s="980">
        <v>0</v>
      </c>
      <c r="H144" s="731">
        <v>31.235263</v>
      </c>
    </row>
    <row r="145" spans="1:8">
      <c r="A145" s="732" t="s">
        <v>1172</v>
      </c>
      <c r="B145" s="729" t="s">
        <v>1647</v>
      </c>
      <c r="C145" s="979">
        <v>134.15373700000001</v>
      </c>
      <c r="D145" s="729">
        <v>0</v>
      </c>
      <c r="E145" s="729">
        <v>0</v>
      </c>
      <c r="F145" s="980">
        <v>0</v>
      </c>
      <c r="G145" s="980">
        <v>0</v>
      </c>
      <c r="H145" s="731">
        <v>134.15373700000001</v>
      </c>
    </row>
    <row r="146" spans="1:8">
      <c r="A146" s="732" t="s">
        <v>1172</v>
      </c>
      <c r="B146" s="729" t="s">
        <v>1738</v>
      </c>
      <c r="C146" s="979">
        <v>115.061846</v>
      </c>
      <c r="D146" s="729">
        <v>0</v>
      </c>
      <c r="E146" s="729">
        <v>0</v>
      </c>
      <c r="F146" s="980">
        <v>0</v>
      </c>
      <c r="G146" s="980">
        <v>0</v>
      </c>
      <c r="H146" s="731">
        <v>115.061846</v>
      </c>
    </row>
    <row r="147" spans="1:8">
      <c r="A147" s="732" t="s">
        <v>1172</v>
      </c>
      <c r="B147" s="729" t="s">
        <v>1739</v>
      </c>
      <c r="C147" s="979">
        <v>63.536442000000001</v>
      </c>
      <c r="D147" s="729">
        <v>0</v>
      </c>
      <c r="E147" s="729">
        <v>0</v>
      </c>
      <c r="F147" s="980">
        <v>0</v>
      </c>
      <c r="G147" s="980">
        <v>0</v>
      </c>
      <c r="H147" s="731">
        <v>63.536442000000001</v>
      </c>
    </row>
    <row r="148" spans="1:8">
      <c r="A148" s="732" t="s">
        <v>1172</v>
      </c>
      <c r="B148" s="729" t="s">
        <v>1740</v>
      </c>
      <c r="C148" s="979">
        <v>316.93993399999999</v>
      </c>
      <c r="D148" s="729">
        <v>0</v>
      </c>
      <c r="E148" s="729">
        <v>0</v>
      </c>
      <c r="F148" s="980">
        <v>0</v>
      </c>
      <c r="G148" s="980">
        <v>0</v>
      </c>
      <c r="H148" s="731">
        <v>316.93993399999999</v>
      </c>
    </row>
    <row r="149" spans="1:8">
      <c r="A149" s="732" t="s">
        <v>1172</v>
      </c>
      <c r="B149" s="729" t="s">
        <v>1648</v>
      </c>
      <c r="C149" s="979">
        <v>433.27847600000001</v>
      </c>
      <c r="D149" s="729">
        <v>0</v>
      </c>
      <c r="E149" s="729">
        <v>0</v>
      </c>
      <c r="F149" s="980">
        <v>0</v>
      </c>
      <c r="G149" s="980">
        <v>0</v>
      </c>
      <c r="H149" s="731">
        <v>433.27847600000001</v>
      </c>
    </row>
    <row r="150" spans="1:8">
      <c r="A150" s="732" t="s">
        <v>1172</v>
      </c>
      <c r="B150" s="729" t="s">
        <v>1742</v>
      </c>
      <c r="C150" s="979">
        <v>77.811656999999997</v>
      </c>
      <c r="D150" s="729">
        <v>0</v>
      </c>
      <c r="E150" s="729">
        <v>0</v>
      </c>
      <c r="F150" s="980">
        <v>0</v>
      </c>
      <c r="G150" s="980">
        <v>0</v>
      </c>
      <c r="H150" s="731">
        <v>77.811656999999997</v>
      </c>
    </row>
    <row r="151" spans="1:8" ht="17.25" customHeight="1">
      <c r="A151" s="732" t="s">
        <v>1172</v>
      </c>
      <c r="B151" s="729" t="s">
        <v>1743</v>
      </c>
      <c r="C151" s="979">
        <v>166.49161100000001</v>
      </c>
      <c r="D151" s="729">
        <v>0</v>
      </c>
      <c r="E151" s="729">
        <v>0</v>
      </c>
      <c r="F151" s="980">
        <v>0</v>
      </c>
      <c r="G151" s="980">
        <v>0</v>
      </c>
      <c r="H151" s="731">
        <v>166.49161100000001</v>
      </c>
    </row>
    <row r="152" spans="1:8">
      <c r="A152" s="732" t="s">
        <v>1172</v>
      </c>
      <c r="B152" s="729" t="s">
        <v>1745</v>
      </c>
      <c r="C152" s="979">
        <v>36.228298000000002</v>
      </c>
      <c r="D152" s="729">
        <v>0</v>
      </c>
      <c r="E152" s="729">
        <v>0</v>
      </c>
      <c r="F152" s="980">
        <v>0</v>
      </c>
      <c r="G152" s="980">
        <v>0</v>
      </c>
      <c r="H152" s="731">
        <v>36.228298000000002</v>
      </c>
    </row>
    <row r="153" spans="1:8">
      <c r="A153" s="732" t="s">
        <v>1172</v>
      </c>
      <c r="B153" s="729" t="s">
        <v>1746</v>
      </c>
      <c r="C153" s="979">
        <v>152.449771</v>
      </c>
      <c r="D153" s="729">
        <v>0</v>
      </c>
      <c r="E153" s="729">
        <v>0</v>
      </c>
      <c r="F153" s="980">
        <v>0</v>
      </c>
      <c r="G153" s="980">
        <v>0</v>
      </c>
      <c r="H153" s="731">
        <v>152.449771</v>
      </c>
    </row>
    <row r="154" spans="1:8">
      <c r="A154" s="732" t="s">
        <v>1172</v>
      </c>
      <c r="B154" s="729" t="s">
        <v>1649</v>
      </c>
      <c r="C154" s="979">
        <v>270.26007600000003</v>
      </c>
      <c r="D154" s="729">
        <v>0</v>
      </c>
      <c r="E154" s="729">
        <v>0</v>
      </c>
      <c r="F154" s="980">
        <v>0</v>
      </c>
      <c r="G154" s="980">
        <v>0</v>
      </c>
      <c r="H154" s="731">
        <v>270.26007600000003</v>
      </c>
    </row>
    <row r="155" spans="1:8">
      <c r="A155" s="732" t="s">
        <v>1172</v>
      </c>
      <c r="B155" s="729" t="s">
        <v>2058</v>
      </c>
      <c r="C155" s="979">
        <v>170.395984</v>
      </c>
      <c r="D155" s="729">
        <v>0</v>
      </c>
      <c r="E155" s="729">
        <v>0</v>
      </c>
      <c r="F155" s="980">
        <v>0</v>
      </c>
      <c r="G155" s="980">
        <v>0</v>
      </c>
      <c r="H155" s="731">
        <v>170.395984</v>
      </c>
    </row>
    <row r="156" spans="1:8">
      <c r="A156" s="732" t="s">
        <v>1172</v>
      </c>
      <c r="B156" s="729" t="s">
        <v>2059</v>
      </c>
      <c r="C156" s="979">
        <v>230.49401700000001</v>
      </c>
      <c r="D156" s="729">
        <v>0</v>
      </c>
      <c r="E156" s="729">
        <v>0</v>
      </c>
      <c r="F156" s="980">
        <v>0</v>
      </c>
      <c r="G156" s="980">
        <v>0</v>
      </c>
      <c r="H156" s="731">
        <v>230.49401700000001</v>
      </c>
    </row>
    <row r="157" spans="1:8">
      <c r="A157" s="732" t="s">
        <v>1172</v>
      </c>
      <c r="B157" s="729" t="s">
        <v>1650</v>
      </c>
      <c r="C157" s="979">
        <v>377.79164700000001</v>
      </c>
      <c r="D157" s="729">
        <v>0</v>
      </c>
      <c r="E157" s="729">
        <v>0</v>
      </c>
      <c r="F157" s="980">
        <v>0</v>
      </c>
      <c r="G157" s="980">
        <v>0</v>
      </c>
      <c r="H157" s="731">
        <v>377.79164700000001</v>
      </c>
    </row>
    <row r="158" spans="1:8">
      <c r="A158" s="732" t="s">
        <v>1172</v>
      </c>
      <c r="B158" s="729" t="s">
        <v>1747</v>
      </c>
      <c r="C158" s="979">
        <v>131.06925899999999</v>
      </c>
      <c r="D158" s="729">
        <v>0</v>
      </c>
      <c r="E158" s="729">
        <v>0</v>
      </c>
      <c r="F158" s="980">
        <v>0</v>
      </c>
      <c r="G158" s="980">
        <v>0</v>
      </c>
      <c r="H158" s="731">
        <v>131.06925899999999</v>
      </c>
    </row>
    <row r="159" spans="1:8">
      <c r="A159" s="732" t="s">
        <v>1172</v>
      </c>
      <c r="B159" s="729" t="s">
        <v>2060</v>
      </c>
      <c r="C159" s="979">
        <v>19.303999999999998</v>
      </c>
      <c r="D159" s="729">
        <v>0</v>
      </c>
      <c r="E159" s="729">
        <v>0</v>
      </c>
      <c r="F159" s="980">
        <v>0</v>
      </c>
      <c r="G159" s="980">
        <v>0</v>
      </c>
      <c r="H159" s="731">
        <v>19.303999999999998</v>
      </c>
    </row>
    <row r="160" spans="1:8">
      <c r="A160" s="732" t="s">
        <v>1172</v>
      </c>
      <c r="B160" s="729" t="s">
        <v>1748</v>
      </c>
      <c r="C160" s="979">
        <v>53.556654999999999</v>
      </c>
      <c r="D160" s="729">
        <v>0</v>
      </c>
      <c r="E160" s="729">
        <v>0</v>
      </c>
      <c r="F160" s="980">
        <v>0</v>
      </c>
      <c r="G160" s="980">
        <v>0</v>
      </c>
      <c r="H160" s="731">
        <v>53.556654999999999</v>
      </c>
    </row>
    <row r="161" spans="1:8">
      <c r="A161" s="732" t="s">
        <v>1172</v>
      </c>
      <c r="B161" s="729" t="s">
        <v>2067</v>
      </c>
      <c r="C161" s="979">
        <v>206.05245199999999</v>
      </c>
      <c r="D161" s="729">
        <v>0</v>
      </c>
      <c r="E161" s="729">
        <v>0</v>
      </c>
      <c r="F161" s="980">
        <v>0</v>
      </c>
      <c r="G161" s="980">
        <v>0</v>
      </c>
      <c r="H161" s="731">
        <v>206.05245199999999</v>
      </c>
    </row>
    <row r="162" spans="1:8">
      <c r="A162" s="732" t="s">
        <v>1172</v>
      </c>
      <c r="B162" s="729" t="s">
        <v>2068</v>
      </c>
      <c r="C162" s="979">
        <v>6.6570000000000004E-2</v>
      </c>
      <c r="D162" s="729">
        <v>0</v>
      </c>
      <c r="E162" s="729">
        <v>0</v>
      </c>
      <c r="F162" s="980">
        <v>0</v>
      </c>
      <c r="G162" s="980">
        <v>0</v>
      </c>
      <c r="H162" s="731">
        <v>6.6570000000000004E-2</v>
      </c>
    </row>
    <row r="163" spans="1:8">
      <c r="A163" s="732" t="s">
        <v>1172</v>
      </c>
      <c r="B163" s="729" t="s">
        <v>1651</v>
      </c>
      <c r="C163" s="979">
        <v>425.88329900000002</v>
      </c>
      <c r="D163" s="729">
        <v>0</v>
      </c>
      <c r="E163" s="729">
        <v>0</v>
      </c>
      <c r="F163" s="980">
        <v>0</v>
      </c>
      <c r="G163" s="980">
        <v>0</v>
      </c>
      <c r="H163" s="731">
        <v>425.88329900000002</v>
      </c>
    </row>
    <row r="164" spans="1:8">
      <c r="A164" s="732" t="s">
        <v>1172</v>
      </c>
      <c r="B164" s="729" t="s">
        <v>2069</v>
      </c>
      <c r="C164" s="979">
        <v>0.38635000000000003</v>
      </c>
      <c r="D164" s="729">
        <v>0</v>
      </c>
      <c r="E164" s="729">
        <v>0</v>
      </c>
      <c r="F164" s="980">
        <v>0</v>
      </c>
      <c r="G164" s="980">
        <v>0</v>
      </c>
      <c r="H164" s="731">
        <v>0.38635000000000003</v>
      </c>
    </row>
    <row r="165" spans="1:8">
      <c r="A165" s="732" t="s">
        <v>1172</v>
      </c>
      <c r="B165" s="729" t="s">
        <v>1751</v>
      </c>
      <c r="C165" s="979">
        <v>32.009025000000001</v>
      </c>
      <c r="D165" s="729">
        <v>0</v>
      </c>
      <c r="E165" s="729">
        <v>0</v>
      </c>
      <c r="F165" s="980">
        <v>0</v>
      </c>
      <c r="G165" s="980">
        <v>0</v>
      </c>
      <c r="H165" s="731">
        <v>32.009025000000001</v>
      </c>
    </row>
    <row r="166" spans="1:8">
      <c r="A166" s="732" t="s">
        <v>1172</v>
      </c>
      <c r="B166" s="729" t="s">
        <v>1652</v>
      </c>
      <c r="C166" s="979">
        <v>178.55965699999999</v>
      </c>
      <c r="D166" s="729">
        <v>0</v>
      </c>
      <c r="E166" s="729">
        <v>0</v>
      </c>
      <c r="F166" s="980">
        <v>0</v>
      </c>
      <c r="G166" s="980">
        <v>0</v>
      </c>
      <c r="H166" s="731">
        <v>178.55965699999999</v>
      </c>
    </row>
    <row r="167" spans="1:8">
      <c r="A167" s="732" t="s">
        <v>1172</v>
      </c>
      <c r="B167" s="729" t="s">
        <v>1653</v>
      </c>
      <c r="C167" s="979">
        <v>129.06366600000001</v>
      </c>
      <c r="D167" s="729">
        <v>0</v>
      </c>
      <c r="E167" s="729">
        <v>0</v>
      </c>
      <c r="F167" s="980">
        <v>0</v>
      </c>
      <c r="G167" s="980">
        <v>0</v>
      </c>
      <c r="H167" s="731">
        <v>129.06366600000001</v>
      </c>
    </row>
    <row r="168" spans="1:8">
      <c r="A168" s="732" t="s">
        <v>1172</v>
      </c>
      <c r="B168" s="729" t="s">
        <v>1752</v>
      </c>
      <c r="C168" s="979">
        <v>184.39831100000001</v>
      </c>
      <c r="D168" s="729">
        <v>0</v>
      </c>
      <c r="E168" s="729">
        <v>0</v>
      </c>
      <c r="F168" s="980">
        <v>0</v>
      </c>
      <c r="G168" s="980">
        <v>0</v>
      </c>
      <c r="H168" s="731">
        <v>184.39831100000001</v>
      </c>
    </row>
    <row r="169" spans="1:8">
      <c r="A169" s="732" t="s">
        <v>1172</v>
      </c>
      <c r="B169" s="729" t="s">
        <v>1753</v>
      </c>
      <c r="C169" s="979">
        <v>54.019489</v>
      </c>
      <c r="D169" s="729">
        <v>0</v>
      </c>
      <c r="E169" s="729">
        <v>0</v>
      </c>
      <c r="F169" s="980">
        <v>0</v>
      </c>
      <c r="G169" s="980">
        <v>0</v>
      </c>
      <c r="H169" s="731">
        <v>54.019489</v>
      </c>
    </row>
    <row r="170" spans="1:8">
      <c r="A170" s="732" t="s">
        <v>1172</v>
      </c>
      <c r="B170" s="729" t="s">
        <v>1702</v>
      </c>
      <c r="C170" s="979">
        <v>117.078193</v>
      </c>
      <c r="D170" s="729">
        <v>0</v>
      </c>
      <c r="E170" s="729">
        <v>0</v>
      </c>
      <c r="F170" s="980">
        <v>0</v>
      </c>
      <c r="G170" s="980">
        <v>0</v>
      </c>
      <c r="H170" s="731">
        <v>117.078193</v>
      </c>
    </row>
    <row r="171" spans="1:8">
      <c r="A171" s="732" t="s">
        <v>1172</v>
      </c>
      <c r="B171" s="729" t="s">
        <v>1703</v>
      </c>
      <c r="C171" s="979">
        <v>24.125465999999999</v>
      </c>
      <c r="D171" s="729">
        <v>0</v>
      </c>
      <c r="E171" s="729">
        <v>0</v>
      </c>
      <c r="F171" s="980">
        <v>0</v>
      </c>
      <c r="G171" s="980">
        <v>0</v>
      </c>
      <c r="H171" s="731">
        <v>24.125465999999999</v>
      </c>
    </row>
    <row r="172" spans="1:8">
      <c r="A172" s="732" t="s">
        <v>1172</v>
      </c>
      <c r="B172" s="729" t="s">
        <v>1656</v>
      </c>
      <c r="C172" s="979">
        <v>0</v>
      </c>
      <c r="D172" s="729">
        <v>0</v>
      </c>
      <c r="E172" s="729">
        <v>246.56166899999999</v>
      </c>
      <c r="F172" s="980">
        <v>0</v>
      </c>
      <c r="G172" s="980">
        <v>0</v>
      </c>
      <c r="H172" s="731">
        <v>246.56166899999999</v>
      </c>
    </row>
    <row r="173" spans="1:8">
      <c r="A173" s="732" t="s">
        <v>1172</v>
      </c>
      <c r="B173" s="729" t="s">
        <v>1657</v>
      </c>
      <c r="C173" s="979">
        <v>0</v>
      </c>
      <c r="D173" s="729">
        <v>0</v>
      </c>
      <c r="E173" s="729">
        <v>47.639898000000002</v>
      </c>
      <c r="F173" s="980">
        <v>0</v>
      </c>
      <c r="G173" s="980">
        <v>0</v>
      </c>
      <c r="H173" s="731">
        <v>47.639898000000002</v>
      </c>
    </row>
    <row r="174" spans="1:8">
      <c r="A174" s="732" t="s">
        <v>1172</v>
      </c>
      <c r="B174" s="729" t="s">
        <v>1705</v>
      </c>
      <c r="C174" s="979">
        <v>93.026238000000006</v>
      </c>
      <c r="D174" s="729">
        <v>0</v>
      </c>
      <c r="E174" s="729">
        <v>0</v>
      </c>
      <c r="F174" s="980">
        <v>0</v>
      </c>
      <c r="G174" s="980">
        <v>0</v>
      </c>
      <c r="H174" s="731">
        <v>93.026238000000006</v>
      </c>
    </row>
    <row r="175" spans="1:8">
      <c r="A175" s="732" t="s">
        <v>1172</v>
      </c>
      <c r="B175" s="729" t="s">
        <v>1706</v>
      </c>
      <c r="C175" s="979">
        <v>116.486771</v>
      </c>
      <c r="D175" s="729">
        <v>0</v>
      </c>
      <c r="E175" s="729">
        <v>0</v>
      </c>
      <c r="F175" s="980">
        <v>0</v>
      </c>
      <c r="G175" s="980">
        <v>0</v>
      </c>
      <c r="H175" s="731">
        <v>116.486771</v>
      </c>
    </row>
    <row r="176" spans="1:8">
      <c r="A176" s="732" t="s">
        <v>1172</v>
      </c>
      <c r="B176" s="729" t="s">
        <v>2070</v>
      </c>
      <c r="C176" s="979">
        <v>0</v>
      </c>
      <c r="D176" s="729">
        <v>0</v>
      </c>
      <c r="E176" s="729">
        <v>1.476</v>
      </c>
      <c r="F176" s="980">
        <v>0</v>
      </c>
      <c r="G176" s="980">
        <v>0</v>
      </c>
      <c r="H176" s="731">
        <v>1.476</v>
      </c>
    </row>
    <row r="177" spans="1:8">
      <c r="A177" s="732" t="s">
        <v>1172</v>
      </c>
      <c r="B177" s="729" t="s">
        <v>1713</v>
      </c>
      <c r="C177" s="979">
        <v>55.313333999999998</v>
      </c>
      <c r="D177" s="729">
        <v>0</v>
      </c>
      <c r="E177" s="729">
        <v>0</v>
      </c>
      <c r="F177" s="980">
        <v>0</v>
      </c>
      <c r="G177" s="980">
        <v>0</v>
      </c>
      <c r="H177" s="731">
        <v>55.313333999999998</v>
      </c>
    </row>
    <row r="178" spans="1:8">
      <c r="A178" s="732" t="s">
        <v>1172</v>
      </c>
      <c r="B178" s="729" t="s">
        <v>1716</v>
      </c>
      <c r="C178" s="979">
        <v>257.405281</v>
      </c>
      <c r="D178" s="729">
        <v>0</v>
      </c>
      <c r="E178" s="729">
        <v>0</v>
      </c>
      <c r="F178" s="980">
        <v>0</v>
      </c>
      <c r="G178" s="980">
        <v>0</v>
      </c>
      <c r="H178" s="731">
        <v>257.405281</v>
      </c>
    </row>
    <row r="179" spans="1:8">
      <c r="A179" s="732" t="s">
        <v>1172</v>
      </c>
      <c r="B179" s="729" t="s">
        <v>1672</v>
      </c>
      <c r="C179" s="979">
        <v>0</v>
      </c>
      <c r="D179" s="729">
        <v>0</v>
      </c>
      <c r="E179" s="729">
        <v>285.705468</v>
      </c>
      <c r="F179" s="980">
        <v>0</v>
      </c>
      <c r="G179" s="980">
        <v>0</v>
      </c>
      <c r="H179" s="731">
        <v>285.705468</v>
      </c>
    </row>
    <row r="180" spans="1:8">
      <c r="A180" s="732" t="s">
        <v>1172</v>
      </c>
      <c r="B180" s="729" t="s">
        <v>1626</v>
      </c>
      <c r="C180" s="979">
        <v>0</v>
      </c>
      <c r="D180" s="729">
        <v>0</v>
      </c>
      <c r="E180" s="729">
        <v>327.98336699999999</v>
      </c>
      <c r="F180" s="980">
        <v>0</v>
      </c>
      <c r="G180" s="980">
        <v>0</v>
      </c>
      <c r="H180" s="731">
        <v>327.98336699999999</v>
      </c>
    </row>
    <row r="181" spans="1:8">
      <c r="A181" s="732" t="s">
        <v>1172</v>
      </c>
      <c r="B181" s="729" t="s">
        <v>1673</v>
      </c>
      <c r="C181" s="979">
        <v>0</v>
      </c>
      <c r="D181" s="729">
        <v>0</v>
      </c>
      <c r="E181" s="729">
        <v>82.196077000000002</v>
      </c>
      <c r="F181" s="980">
        <v>0</v>
      </c>
      <c r="G181" s="980">
        <v>0</v>
      </c>
      <c r="H181" s="731">
        <v>82.196077000000002</v>
      </c>
    </row>
    <row r="182" spans="1:8">
      <c r="A182" s="732" t="s">
        <v>1172</v>
      </c>
      <c r="B182" s="729" t="s">
        <v>1674</v>
      </c>
      <c r="C182" s="979">
        <v>0</v>
      </c>
      <c r="D182" s="729">
        <v>0</v>
      </c>
      <c r="E182" s="729">
        <v>249.85285500000001</v>
      </c>
      <c r="F182" s="980">
        <v>0</v>
      </c>
      <c r="G182" s="980">
        <v>0</v>
      </c>
      <c r="H182" s="731">
        <v>249.85285500000001</v>
      </c>
    </row>
    <row r="183" spans="1:8">
      <c r="A183" s="732" t="s">
        <v>1172</v>
      </c>
      <c r="B183" s="729" t="s">
        <v>1642</v>
      </c>
      <c r="C183" s="979">
        <v>245.02458899999999</v>
      </c>
      <c r="D183" s="729">
        <v>0</v>
      </c>
      <c r="E183" s="729">
        <v>0</v>
      </c>
      <c r="F183" s="980">
        <v>0</v>
      </c>
      <c r="G183" s="980">
        <v>0</v>
      </c>
      <c r="H183" s="731">
        <v>245.02458899999999</v>
      </c>
    </row>
    <row r="184" spans="1:8">
      <c r="A184" s="732" t="s">
        <v>1172</v>
      </c>
      <c r="B184" s="729" t="s">
        <v>1721</v>
      </c>
      <c r="C184" s="979">
        <v>169.73315500000001</v>
      </c>
      <c r="D184" s="729">
        <v>0</v>
      </c>
      <c r="E184" s="729">
        <v>0</v>
      </c>
      <c r="F184" s="980">
        <v>0</v>
      </c>
      <c r="G184" s="980">
        <v>0</v>
      </c>
      <c r="H184" s="731">
        <v>169.73315500000001</v>
      </c>
    </row>
    <row r="185" spans="1:8">
      <c r="A185" s="732" t="s">
        <v>1172</v>
      </c>
      <c r="B185" s="729" t="s">
        <v>1629</v>
      </c>
      <c r="C185" s="979">
        <v>0</v>
      </c>
      <c r="D185" s="729">
        <v>0</v>
      </c>
      <c r="E185" s="729">
        <v>301.05901999999998</v>
      </c>
      <c r="F185" s="980">
        <v>0</v>
      </c>
      <c r="G185" s="980">
        <v>0</v>
      </c>
      <c r="H185" s="731">
        <v>301.05901999999998</v>
      </c>
    </row>
    <row r="186" spans="1:8">
      <c r="A186" s="732" t="s">
        <v>1172</v>
      </c>
      <c r="B186" s="729" t="s">
        <v>1683</v>
      </c>
      <c r="C186" s="979">
        <v>0</v>
      </c>
      <c r="D186" s="729">
        <v>0</v>
      </c>
      <c r="E186" s="729">
        <v>166.05265499999999</v>
      </c>
      <c r="F186" s="980">
        <v>0</v>
      </c>
      <c r="G186" s="980">
        <v>0</v>
      </c>
      <c r="H186" s="731">
        <v>166.05265499999999</v>
      </c>
    </row>
    <row r="187" spans="1:8">
      <c r="A187" s="732" t="s">
        <v>1172</v>
      </c>
      <c r="B187" s="729" t="s">
        <v>1734</v>
      </c>
      <c r="C187" s="979">
        <v>458.11414100000002</v>
      </c>
      <c r="D187" s="729">
        <v>0</v>
      </c>
      <c r="E187" s="729">
        <v>0</v>
      </c>
      <c r="F187" s="980">
        <v>0</v>
      </c>
      <c r="G187" s="980">
        <v>0</v>
      </c>
      <c r="H187" s="731">
        <v>458.11414100000002</v>
      </c>
    </row>
    <row r="188" spans="1:8">
      <c r="A188" s="732" t="s">
        <v>1172</v>
      </c>
      <c r="B188" s="729" t="s">
        <v>1686</v>
      </c>
      <c r="C188" s="979">
        <v>0</v>
      </c>
      <c r="D188" s="729">
        <v>0</v>
      </c>
      <c r="E188" s="729">
        <v>436.345327</v>
      </c>
      <c r="F188" s="980">
        <v>0</v>
      </c>
      <c r="G188" s="980">
        <v>0</v>
      </c>
      <c r="H188" s="731">
        <v>436.345327</v>
      </c>
    </row>
    <row r="189" spans="1:8" ht="15" customHeight="1">
      <c r="A189" s="732" t="s">
        <v>1172</v>
      </c>
      <c r="B189" s="729" t="s">
        <v>1689</v>
      </c>
      <c r="C189" s="979">
        <v>0</v>
      </c>
      <c r="D189" s="729">
        <v>0</v>
      </c>
      <c r="E189" s="729">
        <v>230.05195399999999</v>
      </c>
      <c r="F189" s="980">
        <v>0</v>
      </c>
      <c r="G189" s="980">
        <v>0</v>
      </c>
      <c r="H189" s="731">
        <v>230.05195399999999</v>
      </c>
    </row>
    <row r="190" spans="1:8">
      <c r="A190" s="732" t="s">
        <v>1172</v>
      </c>
      <c r="B190" s="729" t="s">
        <v>1690</v>
      </c>
      <c r="C190" s="979">
        <v>0</v>
      </c>
      <c r="D190" s="729">
        <v>0</v>
      </c>
      <c r="E190" s="729">
        <v>98.763952000000003</v>
      </c>
      <c r="F190" s="980">
        <v>0</v>
      </c>
      <c r="G190" s="980">
        <v>0</v>
      </c>
      <c r="H190" s="731">
        <v>98.763952000000003</v>
      </c>
    </row>
    <row r="191" spans="1:8" ht="15.75" customHeight="1">
      <c r="A191" s="732" t="s">
        <v>1172</v>
      </c>
      <c r="B191" s="729" t="s">
        <v>2071</v>
      </c>
      <c r="C191" s="979">
        <v>39.856554000000003</v>
      </c>
      <c r="D191" s="729">
        <v>0</v>
      </c>
      <c r="E191" s="729">
        <v>0</v>
      </c>
      <c r="F191" s="980">
        <v>0</v>
      </c>
      <c r="G191" s="980">
        <v>0</v>
      </c>
      <c r="H191" s="731">
        <v>39.856554000000003</v>
      </c>
    </row>
    <row r="192" spans="1:8">
      <c r="A192" s="732" t="s">
        <v>1172</v>
      </c>
      <c r="B192" s="729" t="s">
        <v>2072</v>
      </c>
      <c r="C192" s="979">
        <v>0</v>
      </c>
      <c r="D192" s="729">
        <v>0</v>
      </c>
      <c r="E192" s="729">
        <f>45.0282+0.0205</f>
        <v>45.048699999999997</v>
      </c>
      <c r="F192" s="980">
        <v>0</v>
      </c>
      <c r="G192" s="980">
        <v>0</v>
      </c>
      <c r="H192" s="731">
        <v>45.048699999999997</v>
      </c>
    </row>
    <row r="193" spans="1:8">
      <c r="A193" s="732" t="s">
        <v>1172</v>
      </c>
      <c r="B193" s="729" t="s">
        <v>2073</v>
      </c>
      <c r="C193" s="979">
        <v>0</v>
      </c>
      <c r="D193" s="729">
        <v>0</v>
      </c>
      <c r="E193" s="729">
        <v>5.5908899999999999</v>
      </c>
      <c r="F193" s="980">
        <v>0</v>
      </c>
      <c r="G193" s="980">
        <v>0</v>
      </c>
      <c r="H193" s="731">
        <v>5.5908899999999999</v>
      </c>
    </row>
    <row r="194" spans="1:8">
      <c r="A194" s="732" t="s">
        <v>1172</v>
      </c>
      <c r="B194" s="729" t="s">
        <v>1750</v>
      </c>
      <c r="C194" s="979">
        <v>83.499048999999999</v>
      </c>
      <c r="D194" s="729">
        <v>0</v>
      </c>
      <c r="E194" s="729">
        <v>0</v>
      </c>
      <c r="F194" s="980">
        <v>0</v>
      </c>
      <c r="G194" s="980">
        <v>0</v>
      </c>
      <c r="H194" s="731">
        <v>83.499048999999999</v>
      </c>
    </row>
    <row r="195" spans="1:8">
      <c r="A195" s="732" t="s">
        <v>1172</v>
      </c>
      <c r="B195" s="729" t="s">
        <v>1643</v>
      </c>
      <c r="C195" s="979">
        <v>250.697318</v>
      </c>
      <c r="D195" s="729">
        <v>0</v>
      </c>
      <c r="E195" s="729">
        <v>0</v>
      </c>
      <c r="F195" s="980">
        <v>0</v>
      </c>
      <c r="G195" s="980">
        <v>0</v>
      </c>
      <c r="H195" s="731">
        <v>250.697318</v>
      </c>
    </row>
    <row r="196" spans="1:8">
      <c r="A196" s="732" t="s">
        <v>1172</v>
      </c>
      <c r="B196" s="729" t="s">
        <v>1726</v>
      </c>
      <c r="C196" s="979">
        <v>144.486233</v>
      </c>
      <c r="D196" s="729">
        <v>0</v>
      </c>
      <c r="E196" s="729">
        <v>0</v>
      </c>
      <c r="F196" s="980">
        <v>0</v>
      </c>
      <c r="G196" s="980">
        <v>0</v>
      </c>
      <c r="H196" s="731">
        <v>144.486233</v>
      </c>
    </row>
    <row r="197" spans="1:8">
      <c r="A197" s="732" t="s">
        <v>1172</v>
      </c>
      <c r="B197" s="729" t="s">
        <v>1744</v>
      </c>
      <c r="C197" s="979">
        <v>3.7979400000000001</v>
      </c>
      <c r="D197" s="729">
        <v>0</v>
      </c>
      <c r="E197" s="729">
        <v>0</v>
      </c>
      <c r="F197" s="980">
        <v>0</v>
      </c>
      <c r="G197" s="980">
        <v>0</v>
      </c>
      <c r="H197" s="731">
        <v>3.7979400000000001</v>
      </c>
    </row>
    <row r="198" spans="1:8">
      <c r="A198" s="732" t="s">
        <v>1172</v>
      </c>
      <c r="B198" s="729" t="s">
        <v>2074</v>
      </c>
      <c r="C198" s="979">
        <v>118.554895</v>
      </c>
      <c r="D198" s="729">
        <v>0</v>
      </c>
      <c r="E198" s="729">
        <v>0</v>
      </c>
      <c r="F198" s="980">
        <v>0</v>
      </c>
      <c r="G198" s="980">
        <v>0</v>
      </c>
      <c r="H198" s="731">
        <v>118.554895</v>
      </c>
    </row>
    <row r="199" spans="1:8" ht="15.75" thickBot="1">
      <c r="A199" s="732" t="s">
        <v>1172</v>
      </c>
      <c r="B199" s="729" t="s">
        <v>1749</v>
      </c>
      <c r="C199" s="979">
        <v>365.48098700000003</v>
      </c>
      <c r="D199" s="729">
        <v>0</v>
      </c>
      <c r="E199" s="729">
        <v>0</v>
      </c>
      <c r="F199" s="980">
        <v>0</v>
      </c>
      <c r="G199" s="980">
        <v>0</v>
      </c>
      <c r="H199" s="731">
        <v>365.48098700000003</v>
      </c>
    </row>
    <row r="200" spans="1:8" ht="15.75" thickBot="1">
      <c r="A200" s="735" t="s">
        <v>1754</v>
      </c>
      <c r="B200" s="736" t="s">
        <v>1755</v>
      </c>
      <c r="C200" s="983">
        <v>12874.4501</v>
      </c>
      <c r="D200" s="736">
        <v>160.68029899999999</v>
      </c>
      <c r="E200" s="736">
        <v>16644.733039999999</v>
      </c>
      <c r="F200" s="984">
        <v>93.507732000000004</v>
      </c>
      <c r="G200" s="984">
        <v>609.98429499999997</v>
      </c>
      <c r="H200" s="735">
        <v>30383.355466000001</v>
      </c>
    </row>
    <row r="201" spans="1:8" ht="15.75" thickBot="1">
      <c r="A201" s="1872" t="s">
        <v>2075</v>
      </c>
      <c r="B201" s="1873"/>
      <c r="C201" s="1873"/>
      <c r="D201" s="1873"/>
      <c r="E201" s="1873"/>
      <c r="F201" s="1873"/>
      <c r="G201" s="1873"/>
      <c r="H201" s="735">
        <v>3.1226850000000002</v>
      </c>
    </row>
    <row r="202" spans="1:8" ht="15.75" thickBot="1">
      <c r="A202" s="983" t="s">
        <v>1073</v>
      </c>
      <c r="B202" s="734"/>
      <c r="C202" s="734"/>
      <c r="D202" s="734"/>
      <c r="E202" s="734"/>
      <c r="F202" s="734"/>
      <c r="G202" s="734"/>
      <c r="H202" s="985">
        <v>30386.478150999999</v>
      </c>
    </row>
    <row r="203" spans="1:8" ht="91.5" customHeight="1" thickBot="1">
      <c r="A203" s="1874" t="s">
        <v>2076</v>
      </c>
      <c r="B203" s="1875"/>
      <c r="C203" s="1875"/>
      <c r="D203" s="1875"/>
      <c r="E203" s="1875"/>
      <c r="F203" s="1875"/>
      <c r="G203" s="1875"/>
      <c r="H203" s="1876"/>
    </row>
  </sheetData>
  <mergeCells count="13">
    <mergeCell ref="A1:H1"/>
    <mergeCell ref="A2:H2"/>
    <mergeCell ref="A3:H3"/>
    <mergeCell ref="A4:H4"/>
    <mergeCell ref="H5:H7"/>
    <mergeCell ref="A201:G201"/>
    <mergeCell ref="A203:H203"/>
    <mergeCell ref="A5:A7"/>
    <mergeCell ref="B5:B7"/>
    <mergeCell ref="C5:F5"/>
    <mergeCell ref="G5:G7"/>
    <mergeCell ref="C6:D6"/>
    <mergeCell ref="E6:F6"/>
  </mergeCells>
  <pageMargins left="0.70866141732283472" right="0.70866141732283472" top="0.74803149606299213" bottom="0.74803149606299213" header="0.31496062992125984" footer="0.31496062992125984"/>
  <pageSetup paperSize="9" scale="5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5"/>
  <sheetViews>
    <sheetView showGridLines="0" view="pageBreakPreview" topLeftCell="A177" zoomScale="55" zoomScaleNormal="55" zoomScaleSheetLayoutView="55" workbookViewId="0">
      <selection activeCell="G67" sqref="G67"/>
    </sheetView>
  </sheetViews>
  <sheetFormatPr defaultRowHeight="15"/>
  <cols>
    <col min="1" max="1" width="13.85546875" customWidth="1"/>
    <col min="2" max="2" width="33" customWidth="1"/>
    <col min="3" max="3" width="15.85546875" customWidth="1"/>
    <col min="4" max="4" width="13" customWidth="1"/>
    <col min="5" max="5" width="15.85546875" customWidth="1"/>
    <col min="6" max="6" width="13" customWidth="1"/>
    <col min="7" max="7" width="19.7109375" customWidth="1"/>
    <col min="8" max="8" width="21.28515625" customWidth="1"/>
    <col min="248" max="248" width="10.85546875" customWidth="1"/>
    <col min="249" max="249" width="31.42578125" customWidth="1"/>
    <col min="250" max="250" width="13.140625" customWidth="1"/>
    <col min="251" max="251" width="13.28515625" customWidth="1"/>
    <col min="252" max="252" width="14" customWidth="1"/>
    <col min="253" max="253" width="12.42578125" customWidth="1"/>
    <col min="254" max="254" width="17" customWidth="1"/>
    <col min="504" max="504" width="10.85546875" customWidth="1"/>
    <col min="505" max="505" width="31.42578125" customWidth="1"/>
    <col min="506" max="506" width="13.140625" customWidth="1"/>
    <col min="507" max="507" width="13.28515625" customWidth="1"/>
    <col min="508" max="508" width="14" customWidth="1"/>
    <col min="509" max="509" width="12.42578125" customWidth="1"/>
    <col min="510" max="510" width="17" customWidth="1"/>
    <col min="760" max="760" width="10.85546875" customWidth="1"/>
    <col min="761" max="761" width="31.42578125" customWidth="1"/>
    <col min="762" max="762" width="13.140625" customWidth="1"/>
    <col min="763" max="763" width="13.28515625" customWidth="1"/>
    <col min="764" max="764" width="14" customWidth="1"/>
    <col min="765" max="765" width="12.42578125" customWidth="1"/>
    <col min="766" max="766" width="17" customWidth="1"/>
    <col min="1016" max="1016" width="10.85546875" customWidth="1"/>
    <col min="1017" max="1017" width="31.42578125" customWidth="1"/>
    <col min="1018" max="1018" width="13.140625" customWidth="1"/>
    <col min="1019" max="1019" width="13.28515625" customWidth="1"/>
    <col min="1020" max="1020" width="14" customWidth="1"/>
    <col min="1021" max="1021" width="12.42578125" customWidth="1"/>
    <col min="1022" max="1022" width="17" customWidth="1"/>
    <col min="1272" max="1272" width="10.85546875" customWidth="1"/>
    <col min="1273" max="1273" width="31.42578125" customWidth="1"/>
    <col min="1274" max="1274" width="13.140625" customWidth="1"/>
    <col min="1275" max="1275" width="13.28515625" customWidth="1"/>
    <col min="1276" max="1276" width="14" customWidth="1"/>
    <col min="1277" max="1277" width="12.42578125" customWidth="1"/>
    <col min="1278" max="1278" width="17" customWidth="1"/>
    <col min="1528" max="1528" width="10.85546875" customWidth="1"/>
    <col min="1529" max="1529" width="31.42578125" customWidth="1"/>
    <col min="1530" max="1530" width="13.140625" customWidth="1"/>
    <col min="1531" max="1531" width="13.28515625" customWidth="1"/>
    <col min="1532" max="1532" width="14" customWidth="1"/>
    <col min="1533" max="1533" width="12.42578125" customWidth="1"/>
    <col min="1534" max="1534" width="17" customWidth="1"/>
    <col min="1784" max="1784" width="10.85546875" customWidth="1"/>
    <col min="1785" max="1785" width="31.42578125" customWidth="1"/>
    <col min="1786" max="1786" width="13.140625" customWidth="1"/>
    <col min="1787" max="1787" width="13.28515625" customWidth="1"/>
    <col min="1788" max="1788" width="14" customWidth="1"/>
    <col min="1789" max="1789" width="12.42578125" customWidth="1"/>
    <col min="1790" max="1790" width="17" customWidth="1"/>
    <col min="2040" max="2040" width="10.85546875" customWidth="1"/>
    <col min="2041" max="2041" width="31.42578125" customWidth="1"/>
    <col min="2042" max="2042" width="13.140625" customWidth="1"/>
    <col min="2043" max="2043" width="13.28515625" customWidth="1"/>
    <col min="2044" max="2044" width="14" customWidth="1"/>
    <col min="2045" max="2045" width="12.42578125" customWidth="1"/>
    <col min="2046" max="2046" width="17" customWidth="1"/>
    <col min="2296" max="2296" width="10.85546875" customWidth="1"/>
    <col min="2297" max="2297" width="31.42578125" customWidth="1"/>
    <col min="2298" max="2298" width="13.140625" customWidth="1"/>
    <col min="2299" max="2299" width="13.28515625" customWidth="1"/>
    <col min="2300" max="2300" width="14" customWidth="1"/>
    <col min="2301" max="2301" width="12.42578125" customWidth="1"/>
    <col min="2302" max="2302" width="17" customWidth="1"/>
    <col min="2552" max="2552" width="10.85546875" customWidth="1"/>
    <col min="2553" max="2553" width="31.42578125" customWidth="1"/>
    <col min="2554" max="2554" width="13.140625" customWidth="1"/>
    <col min="2555" max="2555" width="13.28515625" customWidth="1"/>
    <col min="2556" max="2556" width="14" customWidth="1"/>
    <col min="2557" max="2557" width="12.42578125" customWidth="1"/>
    <col min="2558" max="2558" width="17" customWidth="1"/>
    <col min="2808" max="2808" width="10.85546875" customWidth="1"/>
    <col min="2809" max="2809" width="31.42578125" customWidth="1"/>
    <col min="2810" max="2810" width="13.140625" customWidth="1"/>
    <col min="2811" max="2811" width="13.28515625" customWidth="1"/>
    <col min="2812" max="2812" width="14" customWidth="1"/>
    <col min="2813" max="2813" width="12.42578125" customWidth="1"/>
    <col min="2814" max="2814" width="17" customWidth="1"/>
    <col min="3064" max="3064" width="10.85546875" customWidth="1"/>
    <col min="3065" max="3065" width="31.42578125" customWidth="1"/>
    <col min="3066" max="3066" width="13.140625" customWidth="1"/>
    <col min="3067" max="3067" width="13.28515625" customWidth="1"/>
    <col min="3068" max="3068" width="14" customWidth="1"/>
    <col min="3069" max="3069" width="12.42578125" customWidth="1"/>
    <col min="3070" max="3070" width="17" customWidth="1"/>
    <col min="3320" max="3320" width="10.85546875" customWidth="1"/>
    <col min="3321" max="3321" width="31.42578125" customWidth="1"/>
    <col min="3322" max="3322" width="13.140625" customWidth="1"/>
    <col min="3323" max="3323" width="13.28515625" customWidth="1"/>
    <col min="3324" max="3324" width="14" customWidth="1"/>
    <col min="3325" max="3325" width="12.42578125" customWidth="1"/>
    <col min="3326" max="3326" width="17" customWidth="1"/>
    <col min="3576" max="3576" width="10.85546875" customWidth="1"/>
    <col min="3577" max="3577" width="31.42578125" customWidth="1"/>
    <col min="3578" max="3578" width="13.140625" customWidth="1"/>
    <col min="3579" max="3579" width="13.28515625" customWidth="1"/>
    <col min="3580" max="3580" width="14" customWidth="1"/>
    <col min="3581" max="3581" width="12.42578125" customWidth="1"/>
    <col min="3582" max="3582" width="17" customWidth="1"/>
    <col min="3832" max="3832" width="10.85546875" customWidth="1"/>
    <col min="3833" max="3833" width="31.42578125" customWidth="1"/>
    <col min="3834" max="3834" width="13.140625" customWidth="1"/>
    <col min="3835" max="3835" width="13.28515625" customWidth="1"/>
    <col min="3836" max="3836" width="14" customWidth="1"/>
    <col min="3837" max="3837" width="12.42578125" customWidth="1"/>
    <col min="3838" max="3838" width="17" customWidth="1"/>
    <col min="4088" max="4088" width="10.85546875" customWidth="1"/>
    <col min="4089" max="4089" width="31.42578125" customWidth="1"/>
    <col min="4090" max="4090" width="13.140625" customWidth="1"/>
    <col min="4091" max="4091" width="13.28515625" customWidth="1"/>
    <col min="4092" max="4092" width="14" customWidth="1"/>
    <col min="4093" max="4093" width="12.42578125" customWidth="1"/>
    <col min="4094" max="4094" width="17" customWidth="1"/>
    <col min="4344" max="4344" width="10.85546875" customWidth="1"/>
    <col min="4345" max="4345" width="31.42578125" customWidth="1"/>
    <col min="4346" max="4346" width="13.140625" customWidth="1"/>
    <col min="4347" max="4347" width="13.28515625" customWidth="1"/>
    <col min="4348" max="4348" width="14" customWidth="1"/>
    <col min="4349" max="4349" width="12.42578125" customWidth="1"/>
    <col min="4350" max="4350" width="17" customWidth="1"/>
    <col min="4600" max="4600" width="10.85546875" customWidth="1"/>
    <col min="4601" max="4601" width="31.42578125" customWidth="1"/>
    <col min="4602" max="4602" width="13.140625" customWidth="1"/>
    <col min="4603" max="4603" width="13.28515625" customWidth="1"/>
    <col min="4604" max="4604" width="14" customWidth="1"/>
    <col min="4605" max="4605" width="12.42578125" customWidth="1"/>
    <col min="4606" max="4606" width="17" customWidth="1"/>
    <col min="4856" max="4856" width="10.85546875" customWidth="1"/>
    <col min="4857" max="4857" width="31.42578125" customWidth="1"/>
    <col min="4858" max="4858" width="13.140625" customWidth="1"/>
    <col min="4859" max="4859" width="13.28515625" customWidth="1"/>
    <col min="4860" max="4860" width="14" customWidth="1"/>
    <col min="4861" max="4861" width="12.42578125" customWidth="1"/>
    <col min="4862" max="4862" width="17" customWidth="1"/>
    <col min="5112" max="5112" width="10.85546875" customWidth="1"/>
    <col min="5113" max="5113" width="31.42578125" customWidth="1"/>
    <col min="5114" max="5114" width="13.140625" customWidth="1"/>
    <col min="5115" max="5115" width="13.28515625" customWidth="1"/>
    <col min="5116" max="5116" width="14" customWidth="1"/>
    <col min="5117" max="5117" width="12.42578125" customWidth="1"/>
    <col min="5118" max="5118" width="17" customWidth="1"/>
    <col min="5368" max="5368" width="10.85546875" customWidth="1"/>
    <col min="5369" max="5369" width="31.42578125" customWidth="1"/>
    <col min="5370" max="5370" width="13.140625" customWidth="1"/>
    <col min="5371" max="5371" width="13.28515625" customWidth="1"/>
    <col min="5372" max="5372" width="14" customWidth="1"/>
    <col min="5373" max="5373" width="12.42578125" customWidth="1"/>
    <col min="5374" max="5374" width="17" customWidth="1"/>
    <col min="5624" max="5624" width="10.85546875" customWidth="1"/>
    <col min="5625" max="5625" width="31.42578125" customWidth="1"/>
    <col min="5626" max="5626" width="13.140625" customWidth="1"/>
    <col min="5627" max="5627" width="13.28515625" customWidth="1"/>
    <col min="5628" max="5628" width="14" customWidth="1"/>
    <col min="5629" max="5629" width="12.42578125" customWidth="1"/>
    <col min="5630" max="5630" width="17" customWidth="1"/>
    <col min="5880" max="5880" width="10.85546875" customWidth="1"/>
    <col min="5881" max="5881" width="31.42578125" customWidth="1"/>
    <col min="5882" max="5882" width="13.140625" customWidth="1"/>
    <col min="5883" max="5883" width="13.28515625" customWidth="1"/>
    <col min="5884" max="5884" width="14" customWidth="1"/>
    <col min="5885" max="5885" width="12.42578125" customWidth="1"/>
    <col min="5886" max="5886" width="17" customWidth="1"/>
    <col min="6136" max="6136" width="10.85546875" customWidth="1"/>
    <col min="6137" max="6137" width="31.42578125" customWidth="1"/>
    <col min="6138" max="6138" width="13.140625" customWidth="1"/>
    <col min="6139" max="6139" width="13.28515625" customWidth="1"/>
    <col min="6140" max="6140" width="14" customWidth="1"/>
    <col min="6141" max="6141" width="12.42578125" customWidth="1"/>
    <col min="6142" max="6142" width="17" customWidth="1"/>
    <col min="6392" max="6392" width="10.85546875" customWidth="1"/>
    <col min="6393" max="6393" width="31.42578125" customWidth="1"/>
    <col min="6394" max="6394" width="13.140625" customWidth="1"/>
    <col min="6395" max="6395" width="13.28515625" customWidth="1"/>
    <col min="6396" max="6396" width="14" customWidth="1"/>
    <col min="6397" max="6397" width="12.42578125" customWidth="1"/>
    <col min="6398" max="6398" width="17" customWidth="1"/>
    <col min="6648" max="6648" width="10.85546875" customWidth="1"/>
    <col min="6649" max="6649" width="31.42578125" customWidth="1"/>
    <col min="6650" max="6650" width="13.140625" customWidth="1"/>
    <col min="6651" max="6651" width="13.28515625" customWidth="1"/>
    <col min="6652" max="6652" width="14" customWidth="1"/>
    <col min="6653" max="6653" width="12.42578125" customWidth="1"/>
    <col min="6654" max="6654" width="17" customWidth="1"/>
    <col min="6904" max="6904" width="10.85546875" customWidth="1"/>
    <col min="6905" max="6905" width="31.42578125" customWidth="1"/>
    <col min="6906" max="6906" width="13.140625" customWidth="1"/>
    <col min="6907" max="6907" width="13.28515625" customWidth="1"/>
    <col min="6908" max="6908" width="14" customWidth="1"/>
    <col min="6909" max="6909" width="12.42578125" customWidth="1"/>
    <col min="6910" max="6910" width="17" customWidth="1"/>
    <col min="7160" max="7160" width="10.85546875" customWidth="1"/>
    <col min="7161" max="7161" width="31.42578125" customWidth="1"/>
    <col min="7162" max="7162" width="13.140625" customWidth="1"/>
    <col min="7163" max="7163" width="13.28515625" customWidth="1"/>
    <col min="7164" max="7164" width="14" customWidth="1"/>
    <col min="7165" max="7165" width="12.42578125" customWidth="1"/>
    <col min="7166" max="7166" width="17" customWidth="1"/>
    <col min="7416" max="7416" width="10.85546875" customWidth="1"/>
    <col min="7417" max="7417" width="31.42578125" customWidth="1"/>
    <col min="7418" max="7418" width="13.140625" customWidth="1"/>
    <col min="7419" max="7419" width="13.28515625" customWidth="1"/>
    <col min="7420" max="7420" width="14" customWidth="1"/>
    <col min="7421" max="7421" width="12.42578125" customWidth="1"/>
    <col min="7422" max="7422" width="17" customWidth="1"/>
    <col min="7672" max="7672" width="10.85546875" customWidth="1"/>
    <col min="7673" max="7673" width="31.42578125" customWidth="1"/>
    <col min="7674" max="7674" width="13.140625" customWidth="1"/>
    <col min="7675" max="7675" width="13.28515625" customWidth="1"/>
    <col min="7676" max="7676" width="14" customWidth="1"/>
    <col min="7677" max="7677" width="12.42578125" customWidth="1"/>
    <col min="7678" max="7678" width="17" customWidth="1"/>
    <col min="7928" max="7928" width="10.85546875" customWidth="1"/>
    <col min="7929" max="7929" width="31.42578125" customWidth="1"/>
    <col min="7930" max="7930" width="13.140625" customWidth="1"/>
    <col min="7931" max="7931" width="13.28515625" customWidth="1"/>
    <col min="7932" max="7932" width="14" customWidth="1"/>
    <col min="7933" max="7933" width="12.42578125" customWidth="1"/>
    <col min="7934" max="7934" width="17" customWidth="1"/>
    <col min="8184" max="8184" width="10.85546875" customWidth="1"/>
    <col min="8185" max="8185" width="31.42578125" customWidth="1"/>
    <col min="8186" max="8186" width="13.140625" customWidth="1"/>
    <col min="8187" max="8187" width="13.28515625" customWidth="1"/>
    <col min="8188" max="8188" width="14" customWidth="1"/>
    <col min="8189" max="8189" width="12.42578125" customWidth="1"/>
    <col min="8190" max="8190" width="17" customWidth="1"/>
    <col min="8440" max="8440" width="10.85546875" customWidth="1"/>
    <col min="8441" max="8441" width="31.42578125" customWidth="1"/>
    <col min="8442" max="8442" width="13.140625" customWidth="1"/>
    <col min="8443" max="8443" width="13.28515625" customWidth="1"/>
    <col min="8444" max="8444" width="14" customWidth="1"/>
    <col min="8445" max="8445" width="12.42578125" customWidth="1"/>
    <col min="8446" max="8446" width="17" customWidth="1"/>
    <col min="8696" max="8696" width="10.85546875" customWidth="1"/>
    <col min="8697" max="8697" width="31.42578125" customWidth="1"/>
    <col min="8698" max="8698" width="13.140625" customWidth="1"/>
    <col min="8699" max="8699" width="13.28515625" customWidth="1"/>
    <col min="8700" max="8700" width="14" customWidth="1"/>
    <col min="8701" max="8701" width="12.42578125" customWidth="1"/>
    <col min="8702" max="8702" width="17" customWidth="1"/>
    <col min="8952" max="8952" width="10.85546875" customWidth="1"/>
    <col min="8953" max="8953" width="31.42578125" customWidth="1"/>
    <col min="8954" max="8954" width="13.140625" customWidth="1"/>
    <col min="8955" max="8955" width="13.28515625" customWidth="1"/>
    <col min="8956" max="8956" width="14" customWidth="1"/>
    <col min="8957" max="8957" width="12.42578125" customWidth="1"/>
    <col min="8958" max="8958" width="17" customWidth="1"/>
    <col min="9208" max="9208" width="10.85546875" customWidth="1"/>
    <col min="9209" max="9209" width="31.42578125" customWidth="1"/>
    <col min="9210" max="9210" width="13.140625" customWidth="1"/>
    <col min="9211" max="9211" width="13.28515625" customWidth="1"/>
    <col min="9212" max="9212" width="14" customWidth="1"/>
    <col min="9213" max="9213" width="12.42578125" customWidth="1"/>
    <col min="9214" max="9214" width="17" customWidth="1"/>
    <col min="9464" max="9464" width="10.85546875" customWidth="1"/>
    <col min="9465" max="9465" width="31.42578125" customWidth="1"/>
    <col min="9466" max="9466" width="13.140625" customWidth="1"/>
    <col min="9467" max="9467" width="13.28515625" customWidth="1"/>
    <col min="9468" max="9468" width="14" customWidth="1"/>
    <col min="9469" max="9469" width="12.42578125" customWidth="1"/>
    <col min="9470" max="9470" width="17" customWidth="1"/>
    <col min="9720" max="9720" width="10.85546875" customWidth="1"/>
    <col min="9721" max="9721" width="31.42578125" customWidth="1"/>
    <col min="9722" max="9722" width="13.140625" customWidth="1"/>
    <col min="9723" max="9723" width="13.28515625" customWidth="1"/>
    <col min="9724" max="9724" width="14" customWidth="1"/>
    <col min="9725" max="9725" width="12.42578125" customWidth="1"/>
    <col min="9726" max="9726" width="17" customWidth="1"/>
    <col min="9976" max="9976" width="10.85546875" customWidth="1"/>
    <col min="9977" max="9977" width="31.42578125" customWidth="1"/>
    <col min="9978" max="9978" width="13.140625" customWidth="1"/>
    <col min="9979" max="9979" width="13.28515625" customWidth="1"/>
    <col min="9980" max="9980" width="14" customWidth="1"/>
    <col min="9981" max="9981" width="12.42578125" customWidth="1"/>
    <col min="9982" max="9982" width="17" customWidth="1"/>
    <col min="10232" max="10232" width="10.85546875" customWidth="1"/>
    <col min="10233" max="10233" width="31.42578125" customWidth="1"/>
    <col min="10234" max="10234" width="13.140625" customWidth="1"/>
    <col min="10235" max="10235" width="13.28515625" customWidth="1"/>
    <col min="10236" max="10236" width="14" customWidth="1"/>
    <col min="10237" max="10237" width="12.42578125" customWidth="1"/>
    <col min="10238" max="10238" width="17" customWidth="1"/>
    <col min="10488" max="10488" width="10.85546875" customWidth="1"/>
    <col min="10489" max="10489" width="31.42578125" customWidth="1"/>
    <col min="10490" max="10490" width="13.140625" customWidth="1"/>
    <col min="10491" max="10491" width="13.28515625" customWidth="1"/>
    <col min="10492" max="10492" width="14" customWidth="1"/>
    <col min="10493" max="10493" width="12.42578125" customWidth="1"/>
    <col min="10494" max="10494" width="17" customWidth="1"/>
    <col min="10744" max="10744" width="10.85546875" customWidth="1"/>
    <col min="10745" max="10745" width="31.42578125" customWidth="1"/>
    <col min="10746" max="10746" width="13.140625" customWidth="1"/>
    <col min="10747" max="10747" width="13.28515625" customWidth="1"/>
    <col min="10748" max="10748" width="14" customWidth="1"/>
    <col min="10749" max="10749" width="12.42578125" customWidth="1"/>
    <col min="10750" max="10750" width="17" customWidth="1"/>
    <col min="11000" max="11000" width="10.85546875" customWidth="1"/>
    <col min="11001" max="11001" width="31.42578125" customWidth="1"/>
    <col min="11002" max="11002" width="13.140625" customWidth="1"/>
    <col min="11003" max="11003" width="13.28515625" customWidth="1"/>
    <col min="11004" max="11004" width="14" customWidth="1"/>
    <col min="11005" max="11005" width="12.42578125" customWidth="1"/>
    <col min="11006" max="11006" width="17" customWidth="1"/>
    <col min="11256" max="11256" width="10.85546875" customWidth="1"/>
    <col min="11257" max="11257" width="31.42578125" customWidth="1"/>
    <col min="11258" max="11258" width="13.140625" customWidth="1"/>
    <col min="11259" max="11259" width="13.28515625" customWidth="1"/>
    <col min="11260" max="11260" width="14" customWidth="1"/>
    <col min="11261" max="11261" width="12.42578125" customWidth="1"/>
    <col min="11262" max="11262" width="17" customWidth="1"/>
    <col min="11512" max="11512" width="10.85546875" customWidth="1"/>
    <col min="11513" max="11513" width="31.42578125" customWidth="1"/>
    <col min="11514" max="11514" width="13.140625" customWidth="1"/>
    <col min="11515" max="11515" width="13.28515625" customWidth="1"/>
    <col min="11516" max="11516" width="14" customWidth="1"/>
    <col min="11517" max="11517" width="12.42578125" customWidth="1"/>
    <col min="11518" max="11518" width="17" customWidth="1"/>
    <col min="11768" max="11768" width="10.85546875" customWidth="1"/>
    <col min="11769" max="11769" width="31.42578125" customWidth="1"/>
    <col min="11770" max="11770" width="13.140625" customWidth="1"/>
    <col min="11771" max="11771" width="13.28515625" customWidth="1"/>
    <col min="11772" max="11772" width="14" customWidth="1"/>
    <col min="11773" max="11773" width="12.42578125" customWidth="1"/>
    <col min="11774" max="11774" width="17" customWidth="1"/>
    <col min="12024" max="12024" width="10.85546875" customWidth="1"/>
    <col min="12025" max="12025" width="31.42578125" customWidth="1"/>
    <col min="12026" max="12026" width="13.140625" customWidth="1"/>
    <col min="12027" max="12027" width="13.28515625" customWidth="1"/>
    <col min="12028" max="12028" width="14" customWidth="1"/>
    <col min="12029" max="12029" width="12.42578125" customWidth="1"/>
    <col min="12030" max="12030" width="17" customWidth="1"/>
    <col min="12280" max="12280" width="10.85546875" customWidth="1"/>
    <col min="12281" max="12281" width="31.42578125" customWidth="1"/>
    <col min="12282" max="12282" width="13.140625" customWidth="1"/>
    <col min="12283" max="12283" width="13.28515625" customWidth="1"/>
    <col min="12284" max="12284" width="14" customWidth="1"/>
    <col min="12285" max="12285" width="12.42578125" customWidth="1"/>
    <col min="12286" max="12286" width="17" customWidth="1"/>
    <col min="12536" max="12536" width="10.85546875" customWidth="1"/>
    <col min="12537" max="12537" width="31.42578125" customWidth="1"/>
    <col min="12538" max="12538" width="13.140625" customWidth="1"/>
    <col min="12539" max="12539" width="13.28515625" customWidth="1"/>
    <col min="12540" max="12540" width="14" customWidth="1"/>
    <col min="12541" max="12541" width="12.42578125" customWidth="1"/>
    <col min="12542" max="12542" width="17" customWidth="1"/>
    <col min="12792" max="12792" width="10.85546875" customWidth="1"/>
    <col min="12793" max="12793" width="31.42578125" customWidth="1"/>
    <col min="12794" max="12794" width="13.140625" customWidth="1"/>
    <col min="12795" max="12795" width="13.28515625" customWidth="1"/>
    <col min="12796" max="12796" width="14" customWidth="1"/>
    <col min="12797" max="12797" width="12.42578125" customWidth="1"/>
    <col min="12798" max="12798" width="17" customWidth="1"/>
    <col min="13048" max="13048" width="10.85546875" customWidth="1"/>
    <col min="13049" max="13049" width="31.42578125" customWidth="1"/>
    <col min="13050" max="13050" width="13.140625" customWidth="1"/>
    <col min="13051" max="13051" width="13.28515625" customWidth="1"/>
    <col min="13052" max="13052" width="14" customWidth="1"/>
    <col min="13053" max="13053" width="12.42578125" customWidth="1"/>
    <col min="13054" max="13054" width="17" customWidth="1"/>
    <col min="13304" max="13304" width="10.85546875" customWidth="1"/>
    <col min="13305" max="13305" width="31.42578125" customWidth="1"/>
    <col min="13306" max="13306" width="13.140625" customWidth="1"/>
    <col min="13307" max="13307" width="13.28515625" customWidth="1"/>
    <col min="13308" max="13308" width="14" customWidth="1"/>
    <col min="13309" max="13309" width="12.42578125" customWidth="1"/>
    <col min="13310" max="13310" width="17" customWidth="1"/>
    <col min="13560" max="13560" width="10.85546875" customWidth="1"/>
    <col min="13561" max="13561" width="31.42578125" customWidth="1"/>
    <col min="13562" max="13562" width="13.140625" customWidth="1"/>
    <col min="13563" max="13563" width="13.28515625" customWidth="1"/>
    <col min="13564" max="13564" width="14" customWidth="1"/>
    <col min="13565" max="13565" width="12.42578125" customWidth="1"/>
    <col min="13566" max="13566" width="17" customWidth="1"/>
    <col min="13816" max="13816" width="10.85546875" customWidth="1"/>
    <col min="13817" max="13817" width="31.42578125" customWidth="1"/>
    <col min="13818" max="13818" width="13.140625" customWidth="1"/>
    <col min="13819" max="13819" width="13.28515625" customWidth="1"/>
    <col min="13820" max="13820" width="14" customWidth="1"/>
    <col min="13821" max="13821" width="12.42578125" customWidth="1"/>
    <col min="13822" max="13822" width="17" customWidth="1"/>
    <col min="14072" max="14072" width="10.85546875" customWidth="1"/>
    <col min="14073" max="14073" width="31.42578125" customWidth="1"/>
    <col min="14074" max="14074" width="13.140625" customWidth="1"/>
    <col min="14075" max="14075" width="13.28515625" customWidth="1"/>
    <col min="14076" max="14076" width="14" customWidth="1"/>
    <col min="14077" max="14077" width="12.42578125" customWidth="1"/>
    <col min="14078" max="14078" width="17" customWidth="1"/>
    <col min="14328" max="14328" width="10.85546875" customWidth="1"/>
    <col min="14329" max="14329" width="31.42578125" customWidth="1"/>
    <col min="14330" max="14330" width="13.140625" customWidth="1"/>
    <col min="14331" max="14331" width="13.28515625" customWidth="1"/>
    <col min="14332" max="14332" width="14" customWidth="1"/>
    <col min="14333" max="14333" width="12.42578125" customWidth="1"/>
    <col min="14334" max="14334" width="17" customWidth="1"/>
    <col min="14584" max="14584" width="10.85546875" customWidth="1"/>
    <col min="14585" max="14585" width="31.42578125" customWidth="1"/>
    <col min="14586" max="14586" width="13.140625" customWidth="1"/>
    <col min="14587" max="14587" width="13.28515625" customWidth="1"/>
    <col min="14588" max="14588" width="14" customWidth="1"/>
    <col min="14589" max="14589" width="12.42578125" customWidth="1"/>
    <col min="14590" max="14590" width="17" customWidth="1"/>
    <col min="14840" max="14840" width="10.85546875" customWidth="1"/>
    <col min="14841" max="14841" width="31.42578125" customWidth="1"/>
    <col min="14842" max="14842" width="13.140625" customWidth="1"/>
    <col min="14843" max="14843" width="13.28515625" customWidth="1"/>
    <col min="14844" max="14844" width="14" customWidth="1"/>
    <col min="14845" max="14845" width="12.42578125" customWidth="1"/>
    <col min="14846" max="14846" width="17" customWidth="1"/>
    <col min="15096" max="15096" width="10.85546875" customWidth="1"/>
    <col min="15097" max="15097" width="31.42578125" customWidth="1"/>
    <col min="15098" max="15098" width="13.140625" customWidth="1"/>
    <col min="15099" max="15099" width="13.28515625" customWidth="1"/>
    <col min="15100" max="15100" width="14" customWidth="1"/>
    <col min="15101" max="15101" width="12.42578125" customWidth="1"/>
    <col min="15102" max="15102" width="17" customWidth="1"/>
    <col min="15352" max="15352" width="10.85546875" customWidth="1"/>
    <col min="15353" max="15353" width="31.42578125" customWidth="1"/>
    <col min="15354" max="15354" width="13.140625" customWidth="1"/>
    <col min="15355" max="15355" width="13.28515625" customWidth="1"/>
    <col min="15356" max="15356" width="14" customWidth="1"/>
    <col min="15357" max="15357" width="12.42578125" customWidth="1"/>
    <col min="15358" max="15358" width="17" customWidth="1"/>
    <col min="15608" max="15608" width="10.85546875" customWidth="1"/>
    <col min="15609" max="15609" width="31.42578125" customWidth="1"/>
    <col min="15610" max="15610" width="13.140625" customWidth="1"/>
    <col min="15611" max="15611" width="13.28515625" customWidth="1"/>
    <col min="15612" max="15612" width="14" customWidth="1"/>
    <col min="15613" max="15613" width="12.42578125" customWidth="1"/>
    <col min="15614" max="15614" width="17" customWidth="1"/>
    <col min="15864" max="15864" width="10.85546875" customWidth="1"/>
    <col min="15865" max="15865" width="31.42578125" customWidth="1"/>
    <col min="15866" max="15866" width="13.140625" customWidth="1"/>
    <col min="15867" max="15867" width="13.28515625" customWidth="1"/>
    <col min="15868" max="15868" width="14" customWidth="1"/>
    <col min="15869" max="15869" width="12.42578125" customWidth="1"/>
    <col min="15870" max="15870" width="17" customWidth="1"/>
    <col min="16120" max="16120" width="10.85546875" customWidth="1"/>
    <col min="16121" max="16121" width="31.42578125" customWidth="1"/>
    <col min="16122" max="16122" width="13.140625" customWidth="1"/>
    <col min="16123" max="16123" width="13.28515625" customWidth="1"/>
    <col min="16124" max="16124" width="14" customWidth="1"/>
    <col min="16125" max="16125" width="12.42578125" customWidth="1"/>
    <col min="16126" max="16126" width="17" customWidth="1"/>
  </cols>
  <sheetData>
    <row r="1" spans="1:8" ht="21.75" customHeight="1" thickBot="1">
      <c r="A1" s="1888" t="s">
        <v>2077</v>
      </c>
      <c r="B1" s="1889"/>
      <c r="C1" s="1889"/>
      <c r="D1" s="1889"/>
      <c r="E1" s="1889"/>
      <c r="F1" s="1889"/>
      <c r="G1" s="1889"/>
      <c r="H1" s="1890"/>
    </row>
    <row r="2" spans="1:8" ht="16.5" customHeight="1" thickBot="1">
      <c r="A2" s="1891" t="s">
        <v>2056</v>
      </c>
      <c r="B2" s="1892"/>
      <c r="C2" s="1892"/>
      <c r="D2" s="1892"/>
      <c r="E2" s="1892"/>
      <c r="F2" s="1892"/>
      <c r="G2" s="1892"/>
      <c r="H2" s="1893"/>
    </row>
    <row r="3" spans="1:8" ht="15" customHeight="1">
      <c r="A3" s="1894" t="s">
        <v>1164</v>
      </c>
      <c r="B3" s="1895"/>
      <c r="C3" s="1895"/>
      <c r="D3" s="1895"/>
      <c r="E3" s="1895"/>
      <c r="F3" s="1895"/>
      <c r="G3" s="1895"/>
      <c r="H3" s="1896"/>
    </row>
    <row r="4" spans="1:8" ht="15.75" customHeight="1" thickBot="1">
      <c r="A4" s="1897" t="s">
        <v>1165</v>
      </c>
      <c r="B4" s="1898"/>
      <c r="C4" s="1898"/>
      <c r="D4" s="1898"/>
      <c r="E4" s="1898"/>
      <c r="F4" s="1898"/>
      <c r="G4" s="1898"/>
      <c r="H4" s="1899"/>
    </row>
    <row r="5" spans="1:8" ht="15.75" customHeight="1" thickBot="1">
      <c r="A5" s="1877" t="s">
        <v>483</v>
      </c>
      <c r="B5" s="1879" t="s">
        <v>461</v>
      </c>
      <c r="C5" s="1881" t="s">
        <v>462</v>
      </c>
      <c r="D5" s="1882"/>
      <c r="E5" s="1882"/>
      <c r="F5" s="1883"/>
      <c r="G5" s="1877" t="s">
        <v>2057</v>
      </c>
      <c r="H5" s="1877" t="s">
        <v>1166</v>
      </c>
    </row>
    <row r="6" spans="1:8" ht="15" customHeight="1" thickBot="1">
      <c r="A6" s="1878"/>
      <c r="B6" s="1880"/>
      <c r="C6" s="1885" t="s">
        <v>1167</v>
      </c>
      <c r="D6" s="1886"/>
      <c r="E6" s="1885" t="s">
        <v>1168</v>
      </c>
      <c r="F6" s="1887"/>
      <c r="G6" s="1878"/>
      <c r="H6" s="1878"/>
    </row>
    <row r="7" spans="1:8" ht="15.75" customHeight="1" thickBot="1">
      <c r="A7" s="1878"/>
      <c r="B7" s="1880"/>
      <c r="C7" s="362" t="s">
        <v>1169</v>
      </c>
      <c r="D7" s="362" t="s">
        <v>1170</v>
      </c>
      <c r="E7" s="362" t="s">
        <v>1171</v>
      </c>
      <c r="F7" s="970" t="s">
        <v>1170</v>
      </c>
      <c r="G7" s="1884"/>
      <c r="H7" s="1878"/>
    </row>
    <row r="8" spans="1:8" ht="15.75" thickBot="1">
      <c r="A8" s="730" t="s">
        <v>389</v>
      </c>
      <c r="B8" s="971" t="s">
        <v>1015</v>
      </c>
      <c r="C8" s="972" t="s">
        <v>1015</v>
      </c>
      <c r="D8" s="363" t="s">
        <v>1015</v>
      </c>
      <c r="E8" s="363" t="s">
        <v>1015</v>
      </c>
      <c r="F8" s="973" t="s">
        <v>1015</v>
      </c>
      <c r="G8" s="974"/>
      <c r="H8" s="364" t="s">
        <v>1015</v>
      </c>
    </row>
    <row r="9" spans="1:8" ht="15.75" thickBot="1">
      <c r="A9" s="367"/>
      <c r="B9" s="975"/>
      <c r="C9" s="976"/>
      <c r="D9" s="365"/>
      <c r="E9" s="365"/>
      <c r="F9" s="977"/>
      <c r="G9" s="978"/>
      <c r="H9" s="366"/>
    </row>
    <row r="10" spans="1:8">
      <c r="A10" s="731" t="s">
        <v>1004</v>
      </c>
      <c r="B10" s="729" t="s">
        <v>1621</v>
      </c>
      <c r="C10" s="979">
        <v>0</v>
      </c>
      <c r="D10" s="729">
        <v>0</v>
      </c>
      <c r="E10" s="729">
        <v>0</v>
      </c>
      <c r="F10" s="980">
        <v>0</v>
      </c>
      <c r="G10" s="980">
        <v>3.9416600000000002</v>
      </c>
      <c r="H10" s="731">
        <v>3.9416600000000002</v>
      </c>
    </row>
    <row r="11" spans="1:8">
      <c r="A11" s="732" t="s">
        <v>1004</v>
      </c>
      <c r="B11" s="729" t="s">
        <v>1620</v>
      </c>
      <c r="C11" s="979">
        <v>0</v>
      </c>
      <c r="D11" s="729">
        <v>0</v>
      </c>
      <c r="E11" s="729">
        <v>28.318542999999998</v>
      </c>
      <c r="F11" s="980">
        <v>0</v>
      </c>
      <c r="G11" s="980">
        <v>0</v>
      </c>
      <c r="H11" s="731">
        <v>28.318542999999998</v>
      </c>
    </row>
    <row r="12" spans="1:8">
      <c r="A12" s="732" t="s">
        <v>1004</v>
      </c>
      <c r="B12" s="729" t="s">
        <v>1622</v>
      </c>
      <c r="C12" s="979">
        <v>0</v>
      </c>
      <c r="D12" s="729">
        <v>0</v>
      </c>
      <c r="E12" s="729">
        <v>2.0240640000000001</v>
      </c>
      <c r="F12" s="980">
        <v>0</v>
      </c>
      <c r="G12" s="980">
        <v>0</v>
      </c>
      <c r="H12" s="731">
        <v>2.0240640000000001</v>
      </c>
    </row>
    <row r="13" spans="1:8">
      <c r="A13" s="732" t="s">
        <v>1004</v>
      </c>
      <c r="B13" s="729" t="s">
        <v>1623</v>
      </c>
      <c r="C13" s="979">
        <v>0</v>
      </c>
      <c r="D13" s="729">
        <v>0</v>
      </c>
      <c r="E13" s="729">
        <v>0</v>
      </c>
      <c r="F13" s="980">
        <v>0</v>
      </c>
      <c r="G13" s="980">
        <v>6.3949299999999996</v>
      </c>
      <c r="H13" s="731">
        <v>6.3949299999999996</v>
      </c>
    </row>
    <row r="14" spans="1:8">
      <c r="A14" s="732" t="s">
        <v>1004</v>
      </c>
      <c r="B14" s="729" t="s">
        <v>1624</v>
      </c>
      <c r="C14" s="979">
        <v>0</v>
      </c>
      <c r="D14" s="729">
        <v>0</v>
      </c>
      <c r="E14" s="729">
        <v>0</v>
      </c>
      <c r="F14" s="980">
        <v>0</v>
      </c>
      <c r="G14" s="980">
        <v>3.9257900000000001</v>
      </c>
      <c r="H14" s="731">
        <v>3.9257900000000001</v>
      </c>
    </row>
    <row r="15" spans="1:8">
      <c r="A15" s="732" t="s">
        <v>1004</v>
      </c>
      <c r="B15" s="729" t="s">
        <v>1625</v>
      </c>
      <c r="C15" s="979">
        <v>0</v>
      </c>
      <c r="D15" s="729">
        <v>0</v>
      </c>
      <c r="E15" s="729">
        <v>0</v>
      </c>
      <c r="F15" s="980">
        <v>0</v>
      </c>
      <c r="G15" s="980">
        <v>3.2708599999999999</v>
      </c>
      <c r="H15" s="731">
        <v>3.2708599999999999</v>
      </c>
    </row>
    <row r="16" spans="1:8">
      <c r="A16" s="732" t="s">
        <v>1004</v>
      </c>
      <c r="B16" s="729" t="s">
        <v>1627</v>
      </c>
      <c r="C16" s="979">
        <v>0</v>
      </c>
      <c r="D16" s="729">
        <v>0</v>
      </c>
      <c r="E16" s="729">
        <v>0</v>
      </c>
      <c r="F16" s="980">
        <v>0</v>
      </c>
      <c r="G16" s="980">
        <v>1.12541</v>
      </c>
      <c r="H16" s="731">
        <v>1.12541</v>
      </c>
    </row>
    <row r="17" spans="1:8">
      <c r="A17" s="732" t="s">
        <v>1004</v>
      </c>
      <c r="B17" s="729" t="s">
        <v>1628</v>
      </c>
      <c r="C17" s="979">
        <v>0</v>
      </c>
      <c r="D17" s="729">
        <v>0</v>
      </c>
      <c r="E17" s="729">
        <v>0</v>
      </c>
      <c r="F17" s="980">
        <v>0</v>
      </c>
      <c r="G17" s="980">
        <v>4.1582299999999996</v>
      </c>
      <c r="H17" s="731">
        <v>4.1582299999999996</v>
      </c>
    </row>
    <row r="18" spans="1:8">
      <c r="A18" s="732" t="s">
        <v>1004</v>
      </c>
      <c r="B18" s="729" t="s">
        <v>1678</v>
      </c>
      <c r="C18" s="979">
        <v>0</v>
      </c>
      <c r="D18" s="729">
        <v>0</v>
      </c>
      <c r="E18" s="729">
        <v>0</v>
      </c>
      <c r="F18" s="980">
        <v>0</v>
      </c>
      <c r="G18" s="980">
        <v>10.566839999999999</v>
      </c>
      <c r="H18" s="731">
        <v>10.566839999999999</v>
      </c>
    </row>
    <row r="19" spans="1:8">
      <c r="A19" s="732" t="s">
        <v>1004</v>
      </c>
      <c r="B19" s="729" t="s">
        <v>1630</v>
      </c>
      <c r="C19" s="979">
        <v>0</v>
      </c>
      <c r="D19" s="729">
        <v>0</v>
      </c>
      <c r="E19" s="729">
        <v>6.7683999999999994E-2</v>
      </c>
      <c r="F19" s="980">
        <v>0</v>
      </c>
      <c r="G19" s="980">
        <v>4.2187400000000004</v>
      </c>
      <c r="H19" s="731">
        <v>4.2864240000000002</v>
      </c>
    </row>
    <row r="20" spans="1:8">
      <c r="A20" s="732" t="s">
        <v>1004</v>
      </c>
      <c r="B20" s="729" t="s">
        <v>1631</v>
      </c>
      <c r="C20" s="979">
        <v>0</v>
      </c>
      <c r="D20" s="729">
        <v>0</v>
      </c>
      <c r="E20" s="729">
        <v>0.52659999999999996</v>
      </c>
      <c r="F20" s="980">
        <v>0</v>
      </c>
      <c r="G20" s="980">
        <v>0</v>
      </c>
      <c r="H20" s="731">
        <v>0.52659999999999996</v>
      </c>
    </row>
    <row r="21" spans="1:8">
      <c r="A21" s="732" t="s">
        <v>1004</v>
      </c>
      <c r="B21" s="729" t="s">
        <v>1632</v>
      </c>
      <c r="C21" s="979">
        <v>0</v>
      </c>
      <c r="D21" s="729">
        <v>0</v>
      </c>
      <c r="E21" s="729">
        <v>6.2725000000000003E-2</v>
      </c>
      <c r="F21" s="980">
        <v>0</v>
      </c>
      <c r="G21" s="980">
        <v>0</v>
      </c>
      <c r="H21" s="731">
        <v>6.2725000000000003E-2</v>
      </c>
    </row>
    <row r="22" spans="1:8">
      <c r="A22" s="732" t="s">
        <v>1004</v>
      </c>
      <c r="B22" s="729" t="s">
        <v>1633</v>
      </c>
      <c r="C22" s="979">
        <v>0</v>
      </c>
      <c r="D22" s="729">
        <v>0</v>
      </c>
      <c r="E22" s="729">
        <v>0</v>
      </c>
      <c r="F22" s="980">
        <v>0</v>
      </c>
      <c r="G22" s="980">
        <v>11.875109</v>
      </c>
      <c r="H22" s="731">
        <v>11.875109</v>
      </c>
    </row>
    <row r="23" spans="1:8">
      <c r="A23" s="732" t="s">
        <v>1004</v>
      </c>
      <c r="B23" s="729" t="s">
        <v>1634</v>
      </c>
      <c r="C23" s="979">
        <v>0</v>
      </c>
      <c r="D23" s="729">
        <v>0</v>
      </c>
      <c r="E23" s="729">
        <v>0</v>
      </c>
      <c r="F23" s="980">
        <v>4.4899100000000001</v>
      </c>
      <c r="G23" s="980">
        <v>0</v>
      </c>
      <c r="H23" s="731">
        <v>4.4899100000000001</v>
      </c>
    </row>
    <row r="24" spans="1:8">
      <c r="A24" s="732" t="s">
        <v>1004</v>
      </c>
      <c r="B24" s="729" t="s">
        <v>1635</v>
      </c>
      <c r="C24" s="979">
        <v>0</v>
      </c>
      <c r="D24" s="729">
        <v>0</v>
      </c>
      <c r="E24" s="729">
        <v>0</v>
      </c>
      <c r="F24" s="980">
        <v>0</v>
      </c>
      <c r="G24" s="980">
        <v>5.3916250000000003</v>
      </c>
      <c r="H24" s="731">
        <v>5.3916250000000003</v>
      </c>
    </row>
    <row r="25" spans="1:8">
      <c r="A25" s="732" t="s">
        <v>1004</v>
      </c>
      <c r="B25" s="729" t="s">
        <v>1636</v>
      </c>
      <c r="C25" s="979">
        <v>0</v>
      </c>
      <c r="D25" s="729">
        <v>0</v>
      </c>
      <c r="E25" s="729">
        <v>0</v>
      </c>
      <c r="F25" s="980">
        <v>0</v>
      </c>
      <c r="G25" s="980">
        <v>4.1992900000000004</v>
      </c>
      <c r="H25" s="731">
        <v>4.1992900000000004</v>
      </c>
    </row>
    <row r="26" spans="1:8">
      <c r="A26" s="732" t="s">
        <v>1004</v>
      </c>
      <c r="B26" s="729" t="s">
        <v>1709</v>
      </c>
      <c r="C26" s="979">
        <v>0</v>
      </c>
      <c r="D26" s="729">
        <v>3.4904959999999998</v>
      </c>
      <c r="E26" s="729">
        <v>0</v>
      </c>
      <c r="F26" s="980">
        <v>0</v>
      </c>
      <c r="G26" s="980">
        <v>0</v>
      </c>
      <c r="H26" s="731">
        <v>3.4904959999999998</v>
      </c>
    </row>
    <row r="27" spans="1:8">
      <c r="A27" s="732" t="s">
        <v>1004</v>
      </c>
      <c r="B27" s="729" t="s">
        <v>1638</v>
      </c>
      <c r="C27" s="979">
        <v>0</v>
      </c>
      <c r="D27" s="729">
        <v>0</v>
      </c>
      <c r="E27" s="729">
        <v>0</v>
      </c>
      <c r="F27" s="980">
        <v>0</v>
      </c>
      <c r="G27" s="980">
        <v>4.25413</v>
      </c>
      <c r="H27" s="731">
        <v>4.25413</v>
      </c>
    </row>
    <row r="28" spans="1:8">
      <c r="A28" s="732" t="s">
        <v>1004</v>
      </c>
      <c r="B28" s="729" t="s">
        <v>1639</v>
      </c>
      <c r="C28" s="979">
        <v>0</v>
      </c>
      <c r="D28" s="729">
        <v>0</v>
      </c>
      <c r="E28" s="729">
        <v>0</v>
      </c>
      <c r="F28" s="980">
        <v>0</v>
      </c>
      <c r="G28" s="980">
        <v>5.4553599999999998</v>
      </c>
      <c r="H28" s="731">
        <v>5.4553599999999998</v>
      </c>
    </row>
    <row r="29" spans="1:8">
      <c r="A29" s="732" t="s">
        <v>1004</v>
      </c>
      <c r="B29" s="729" t="s">
        <v>1640</v>
      </c>
      <c r="C29" s="979">
        <v>0</v>
      </c>
      <c r="D29" s="729">
        <v>0</v>
      </c>
      <c r="E29" s="729">
        <v>0</v>
      </c>
      <c r="F29" s="980">
        <v>0</v>
      </c>
      <c r="G29" s="980">
        <v>5.4522300000000001</v>
      </c>
      <c r="H29" s="731">
        <v>5.4522300000000001</v>
      </c>
    </row>
    <row r="30" spans="1:8">
      <c r="A30" s="732" t="s">
        <v>1004</v>
      </c>
      <c r="B30" s="729" t="s">
        <v>1641</v>
      </c>
      <c r="C30" s="979">
        <v>20.566455999999999</v>
      </c>
      <c r="D30" s="729">
        <v>0</v>
      </c>
      <c r="E30" s="729">
        <v>0</v>
      </c>
      <c r="F30" s="980">
        <v>0</v>
      </c>
      <c r="G30" s="980">
        <v>0</v>
      </c>
      <c r="H30" s="731">
        <v>20.566455999999999</v>
      </c>
    </row>
    <row r="31" spans="1:8">
      <c r="A31" s="732" t="s">
        <v>1004</v>
      </c>
      <c r="B31" s="729" t="s">
        <v>1644</v>
      </c>
      <c r="C31" s="979">
        <v>0.298039</v>
      </c>
      <c r="D31" s="729">
        <v>0</v>
      </c>
      <c r="E31" s="729">
        <v>0</v>
      </c>
      <c r="F31" s="980">
        <v>0</v>
      </c>
      <c r="G31" s="980">
        <v>0</v>
      </c>
      <c r="H31" s="731">
        <v>0.298039</v>
      </c>
    </row>
    <row r="32" spans="1:8">
      <c r="A32" s="732" t="s">
        <v>1004</v>
      </c>
      <c r="B32" s="729" t="s">
        <v>1731</v>
      </c>
      <c r="C32" s="979">
        <v>2.1663999999999999E-2</v>
      </c>
      <c r="D32" s="729">
        <v>0</v>
      </c>
      <c r="E32" s="729">
        <v>0</v>
      </c>
      <c r="F32" s="980">
        <v>0</v>
      </c>
      <c r="G32" s="980">
        <v>0</v>
      </c>
      <c r="H32" s="731">
        <v>2.1663999999999999E-2</v>
      </c>
    </row>
    <row r="33" spans="1:8">
      <c r="A33" s="732" t="s">
        <v>1004</v>
      </c>
      <c r="B33" s="729" t="s">
        <v>1645</v>
      </c>
      <c r="C33" s="979">
        <v>0.108012</v>
      </c>
      <c r="D33" s="729">
        <v>0</v>
      </c>
      <c r="E33" s="729">
        <v>0</v>
      </c>
      <c r="F33" s="980">
        <v>0</v>
      </c>
      <c r="G33" s="980">
        <v>0</v>
      </c>
      <c r="H33" s="731">
        <v>0.108012</v>
      </c>
    </row>
    <row r="34" spans="1:8">
      <c r="A34" s="732" t="s">
        <v>1004</v>
      </c>
      <c r="B34" s="729" t="s">
        <v>1646</v>
      </c>
      <c r="C34" s="979">
        <v>0.27913300000000002</v>
      </c>
      <c r="D34" s="729">
        <v>0</v>
      </c>
      <c r="E34" s="729">
        <v>0</v>
      </c>
      <c r="F34" s="980">
        <v>0</v>
      </c>
      <c r="G34" s="980">
        <v>0</v>
      </c>
      <c r="H34" s="731">
        <v>0.27913300000000002</v>
      </c>
    </row>
    <row r="35" spans="1:8">
      <c r="A35" s="732" t="s">
        <v>1004</v>
      </c>
      <c r="B35" s="729" t="s">
        <v>1647</v>
      </c>
      <c r="C35" s="979">
        <v>0</v>
      </c>
      <c r="D35" s="729">
        <v>0.86239100000000002</v>
      </c>
      <c r="E35" s="729">
        <v>0</v>
      </c>
      <c r="F35" s="980">
        <v>0</v>
      </c>
      <c r="G35" s="980">
        <v>0</v>
      </c>
      <c r="H35" s="731">
        <v>0.86239100000000002</v>
      </c>
    </row>
    <row r="36" spans="1:8">
      <c r="A36" s="732" t="s">
        <v>1004</v>
      </c>
      <c r="B36" s="729" t="s">
        <v>1648</v>
      </c>
      <c r="C36" s="979">
        <v>0</v>
      </c>
      <c r="D36" s="729">
        <v>0</v>
      </c>
      <c r="E36" s="729">
        <v>0</v>
      </c>
      <c r="F36" s="980">
        <v>0</v>
      </c>
      <c r="G36" s="980">
        <v>2.9523980000000001</v>
      </c>
      <c r="H36" s="731">
        <v>2.9523980000000001</v>
      </c>
    </row>
    <row r="37" spans="1:8">
      <c r="A37" s="732" t="s">
        <v>1004</v>
      </c>
      <c r="B37" s="729" t="s">
        <v>1649</v>
      </c>
      <c r="C37" s="979">
        <v>0</v>
      </c>
      <c r="D37" s="729">
        <v>9.5852070000000005</v>
      </c>
      <c r="E37" s="729">
        <v>0</v>
      </c>
      <c r="F37" s="980">
        <v>0</v>
      </c>
      <c r="G37" s="980">
        <v>0</v>
      </c>
      <c r="H37" s="731">
        <v>9.5852070000000005</v>
      </c>
    </row>
    <row r="38" spans="1:8">
      <c r="A38" s="732" t="s">
        <v>1004</v>
      </c>
      <c r="B38" s="729" t="s">
        <v>2058</v>
      </c>
      <c r="C38" s="979">
        <v>0.32886900000000002</v>
      </c>
      <c r="D38" s="729">
        <v>0</v>
      </c>
      <c r="E38" s="729">
        <v>0</v>
      </c>
      <c r="F38" s="980">
        <v>0</v>
      </c>
      <c r="G38" s="980">
        <v>0</v>
      </c>
      <c r="H38" s="731">
        <v>0.32886900000000002</v>
      </c>
    </row>
    <row r="39" spans="1:8">
      <c r="A39" s="732" t="s">
        <v>1004</v>
      </c>
      <c r="B39" s="729" t="s">
        <v>2059</v>
      </c>
      <c r="C39" s="979">
        <v>1.4449700000000001</v>
      </c>
      <c r="D39" s="729">
        <v>0</v>
      </c>
      <c r="E39" s="729">
        <v>0</v>
      </c>
      <c r="F39" s="980">
        <v>0</v>
      </c>
      <c r="G39" s="980">
        <v>0</v>
      </c>
      <c r="H39" s="731">
        <v>1.4449700000000001</v>
      </c>
    </row>
    <row r="40" spans="1:8">
      <c r="A40" s="732" t="s">
        <v>1004</v>
      </c>
      <c r="B40" s="729" t="s">
        <v>1650</v>
      </c>
      <c r="C40" s="979">
        <v>0</v>
      </c>
      <c r="D40" s="729">
        <v>0</v>
      </c>
      <c r="E40" s="729">
        <v>0</v>
      </c>
      <c r="F40" s="980">
        <v>0</v>
      </c>
      <c r="G40" s="980">
        <v>6.7579750000000001</v>
      </c>
      <c r="H40" s="731">
        <v>6.7579750000000001</v>
      </c>
    </row>
    <row r="41" spans="1:8">
      <c r="A41" s="732" t="s">
        <v>1004</v>
      </c>
      <c r="B41" s="729" t="s">
        <v>2060</v>
      </c>
      <c r="C41" s="979">
        <v>0.467976</v>
      </c>
      <c r="D41" s="729">
        <v>0</v>
      </c>
      <c r="E41" s="729">
        <v>0</v>
      </c>
      <c r="F41" s="980">
        <v>0</v>
      </c>
      <c r="G41" s="980">
        <v>0</v>
      </c>
      <c r="H41" s="731">
        <v>0.467976</v>
      </c>
    </row>
    <row r="42" spans="1:8">
      <c r="A42" s="732" t="s">
        <v>1004</v>
      </c>
      <c r="B42" s="729" t="s">
        <v>1651</v>
      </c>
      <c r="C42" s="979">
        <v>0.36499999999999999</v>
      </c>
      <c r="D42" s="729">
        <v>0</v>
      </c>
      <c r="E42" s="729">
        <v>0</v>
      </c>
      <c r="F42" s="980">
        <v>0</v>
      </c>
      <c r="G42" s="980">
        <v>0</v>
      </c>
      <c r="H42" s="731">
        <v>0.36499999999999999</v>
      </c>
    </row>
    <row r="43" spans="1:8">
      <c r="A43" s="732" t="s">
        <v>1004</v>
      </c>
      <c r="B43" s="729" t="s">
        <v>1652</v>
      </c>
      <c r="C43" s="979">
        <v>0</v>
      </c>
      <c r="D43" s="729">
        <v>0</v>
      </c>
      <c r="E43" s="729">
        <v>0</v>
      </c>
      <c r="F43" s="980">
        <v>0</v>
      </c>
      <c r="G43" s="980">
        <v>1.463773</v>
      </c>
      <c r="H43" s="731">
        <v>1.463773</v>
      </c>
    </row>
    <row r="44" spans="1:8">
      <c r="A44" s="732" t="s">
        <v>1004</v>
      </c>
      <c r="B44" s="729" t="s">
        <v>1653</v>
      </c>
      <c r="C44" s="979">
        <v>0</v>
      </c>
      <c r="D44" s="729">
        <v>0</v>
      </c>
      <c r="E44" s="729">
        <v>0</v>
      </c>
      <c r="F44" s="980">
        <v>0</v>
      </c>
      <c r="G44" s="980">
        <v>2.1009660000000001</v>
      </c>
      <c r="H44" s="731">
        <v>2.1009660000000001</v>
      </c>
    </row>
    <row r="45" spans="1:8">
      <c r="A45" s="732" t="s">
        <v>1004</v>
      </c>
      <c r="B45" s="729" t="s">
        <v>1626</v>
      </c>
      <c r="C45" s="979">
        <v>0</v>
      </c>
      <c r="D45" s="729">
        <v>0</v>
      </c>
      <c r="E45" s="729">
        <v>0</v>
      </c>
      <c r="F45" s="980">
        <v>0</v>
      </c>
      <c r="G45" s="980">
        <v>2.7957000000000001</v>
      </c>
      <c r="H45" s="731">
        <v>2.7957000000000001</v>
      </c>
    </row>
    <row r="46" spans="1:8">
      <c r="A46" s="732" t="s">
        <v>1004</v>
      </c>
      <c r="B46" s="729" t="s">
        <v>1642</v>
      </c>
      <c r="C46" s="979">
        <v>0</v>
      </c>
      <c r="D46" s="729">
        <v>0</v>
      </c>
      <c r="E46" s="729">
        <v>0</v>
      </c>
      <c r="F46" s="980">
        <v>0</v>
      </c>
      <c r="G46" s="980">
        <v>5.552079</v>
      </c>
      <c r="H46" s="731">
        <v>5.552079</v>
      </c>
    </row>
    <row r="47" spans="1:8">
      <c r="A47" s="732" t="s">
        <v>1004</v>
      </c>
      <c r="B47" s="729" t="s">
        <v>1629</v>
      </c>
      <c r="C47" s="979">
        <v>0</v>
      </c>
      <c r="D47" s="729">
        <v>0</v>
      </c>
      <c r="E47" s="729">
        <v>0</v>
      </c>
      <c r="F47" s="980">
        <v>0</v>
      </c>
      <c r="G47" s="980">
        <v>3.431</v>
      </c>
      <c r="H47" s="731">
        <v>3.431</v>
      </c>
    </row>
    <row r="48" spans="1:8">
      <c r="A48" s="986" t="s">
        <v>1004</v>
      </c>
      <c r="B48" s="729" t="s">
        <v>1643</v>
      </c>
      <c r="C48" s="979">
        <v>0</v>
      </c>
      <c r="D48" s="729">
        <v>0</v>
      </c>
      <c r="E48" s="729">
        <v>0</v>
      </c>
      <c r="F48" s="980">
        <v>0</v>
      </c>
      <c r="G48" s="980">
        <v>5.5526999999999997</v>
      </c>
      <c r="H48" s="731">
        <v>5.5526999999999997</v>
      </c>
    </row>
    <row r="49" spans="1:8" ht="15.75" thickBot="1">
      <c r="A49" s="986" t="s">
        <v>1004</v>
      </c>
      <c r="B49" s="987" t="s">
        <v>2061</v>
      </c>
      <c r="C49" s="979">
        <v>5.2351910000000004</v>
      </c>
      <c r="D49" s="729">
        <v>0</v>
      </c>
      <c r="E49" s="729">
        <v>0</v>
      </c>
      <c r="F49" s="980">
        <v>0</v>
      </c>
      <c r="G49" s="980"/>
      <c r="H49" s="731">
        <v>5.2351910000000004</v>
      </c>
    </row>
    <row r="50" spans="1:8" ht="15.75" thickBot="1">
      <c r="A50" s="988"/>
      <c r="B50" s="734"/>
      <c r="C50" s="981"/>
      <c r="D50" s="734"/>
      <c r="E50" s="734"/>
      <c r="F50" s="982"/>
      <c r="G50" s="982"/>
      <c r="H50" s="735"/>
    </row>
    <row r="51" spans="1:8">
      <c r="A51" s="731" t="s">
        <v>1172</v>
      </c>
      <c r="B51" s="729" t="s">
        <v>1654</v>
      </c>
      <c r="C51" s="979">
        <v>0</v>
      </c>
      <c r="D51" s="729">
        <v>0</v>
      </c>
      <c r="E51" s="729">
        <v>43.675274999999999</v>
      </c>
      <c r="F51" s="980">
        <v>0</v>
      </c>
      <c r="G51" s="980">
        <v>0</v>
      </c>
      <c r="H51" s="731">
        <v>43.675274999999999</v>
      </c>
    </row>
    <row r="52" spans="1:8">
      <c r="A52" s="732" t="s">
        <v>1172</v>
      </c>
      <c r="B52" s="729" t="s">
        <v>1621</v>
      </c>
      <c r="C52" s="979">
        <v>0</v>
      </c>
      <c r="D52" s="729">
        <v>0</v>
      </c>
      <c r="E52" s="729">
        <v>111.964128</v>
      </c>
      <c r="F52" s="980">
        <v>0</v>
      </c>
      <c r="G52" s="980">
        <v>0</v>
      </c>
      <c r="H52" s="731">
        <v>111.964128</v>
      </c>
    </row>
    <row r="53" spans="1:8">
      <c r="A53" s="732" t="s">
        <v>1172</v>
      </c>
      <c r="B53" s="729" t="s">
        <v>1655</v>
      </c>
      <c r="C53" s="979">
        <v>0</v>
      </c>
      <c r="D53" s="729">
        <v>0</v>
      </c>
      <c r="E53" s="729">
        <v>69.400575000000003</v>
      </c>
      <c r="F53" s="980">
        <v>0</v>
      </c>
      <c r="G53" s="980">
        <v>0</v>
      </c>
      <c r="H53" s="731">
        <v>69.400575000000003</v>
      </c>
    </row>
    <row r="54" spans="1:8">
      <c r="A54" s="732" t="s">
        <v>1172</v>
      </c>
      <c r="B54" s="729" t="s">
        <v>1620</v>
      </c>
      <c r="C54" s="979">
        <v>0</v>
      </c>
      <c r="D54" s="729">
        <v>0</v>
      </c>
      <c r="E54" s="729">
        <v>84.564485000000005</v>
      </c>
      <c r="F54" s="980">
        <v>0</v>
      </c>
      <c r="G54" s="980">
        <v>0</v>
      </c>
      <c r="H54" s="731">
        <v>84.564485000000005</v>
      </c>
    </row>
    <row r="55" spans="1:8">
      <c r="A55" s="732" t="s">
        <v>1172</v>
      </c>
      <c r="B55" s="729" t="s">
        <v>1622</v>
      </c>
      <c r="C55" s="979">
        <v>0</v>
      </c>
      <c r="D55" s="729">
        <v>0</v>
      </c>
      <c r="E55" s="729">
        <v>28.067952999999999</v>
      </c>
      <c r="F55" s="980">
        <v>0</v>
      </c>
      <c r="G55" s="980">
        <v>0</v>
      </c>
      <c r="H55" s="731">
        <v>28.067952999999999</v>
      </c>
    </row>
    <row r="56" spans="1:8">
      <c r="A56" s="732" t="s">
        <v>1172</v>
      </c>
      <c r="B56" s="729" t="s">
        <v>1658</v>
      </c>
      <c r="C56" s="979">
        <v>0</v>
      </c>
      <c r="D56" s="729">
        <v>0</v>
      </c>
      <c r="E56" s="729">
        <v>43.656165999999999</v>
      </c>
      <c r="F56" s="980">
        <v>0</v>
      </c>
      <c r="G56" s="980">
        <v>0</v>
      </c>
      <c r="H56" s="731">
        <v>43.656165999999999</v>
      </c>
    </row>
    <row r="57" spans="1:8">
      <c r="A57" s="732" t="s">
        <v>1172</v>
      </c>
      <c r="B57" s="729" t="s">
        <v>1659</v>
      </c>
      <c r="C57" s="979">
        <v>0</v>
      </c>
      <c r="D57" s="729">
        <v>0</v>
      </c>
      <c r="E57" s="729">
        <v>114.791946</v>
      </c>
      <c r="F57" s="980">
        <v>0</v>
      </c>
      <c r="G57" s="980">
        <v>0</v>
      </c>
      <c r="H57" s="731">
        <v>114.791946</v>
      </c>
    </row>
    <row r="58" spans="1:8">
      <c r="A58" s="732" t="s">
        <v>1172</v>
      </c>
      <c r="B58" s="729" t="s">
        <v>1660</v>
      </c>
      <c r="C58" s="979">
        <v>0</v>
      </c>
      <c r="D58" s="729">
        <v>0</v>
      </c>
      <c r="E58" s="729">
        <v>34.671393000000002</v>
      </c>
      <c r="F58" s="980">
        <v>0</v>
      </c>
      <c r="G58" s="980">
        <v>0</v>
      </c>
      <c r="H58" s="731">
        <v>34.671393000000002</v>
      </c>
    </row>
    <row r="59" spans="1:8">
      <c r="A59" s="732" t="s">
        <v>1172</v>
      </c>
      <c r="B59" s="729" t="s">
        <v>1661</v>
      </c>
      <c r="C59" s="979">
        <v>0</v>
      </c>
      <c r="D59" s="729">
        <v>0</v>
      </c>
      <c r="E59" s="729">
        <v>88.064126000000002</v>
      </c>
      <c r="F59" s="980">
        <v>0</v>
      </c>
      <c r="G59" s="980">
        <v>0</v>
      </c>
      <c r="H59" s="731">
        <v>88.064126000000002</v>
      </c>
    </row>
    <row r="60" spans="1:8">
      <c r="A60" s="732" t="s">
        <v>1172</v>
      </c>
      <c r="B60" s="729" t="s">
        <v>1662</v>
      </c>
      <c r="C60" s="979">
        <v>0</v>
      </c>
      <c r="D60" s="729">
        <v>0</v>
      </c>
      <c r="E60" s="729">
        <v>61.622318999999997</v>
      </c>
      <c r="F60" s="980">
        <v>0</v>
      </c>
      <c r="G60" s="980">
        <v>0</v>
      </c>
      <c r="H60" s="731">
        <v>61.622318999999997</v>
      </c>
    </row>
    <row r="61" spans="1:8">
      <c r="A61" s="732" t="s">
        <v>1172</v>
      </c>
      <c r="B61" s="729" t="s">
        <v>1623</v>
      </c>
      <c r="C61" s="979">
        <v>0</v>
      </c>
      <c r="D61" s="729">
        <v>0</v>
      </c>
      <c r="E61" s="729">
        <v>103.65616799999999</v>
      </c>
      <c r="F61" s="980">
        <v>0</v>
      </c>
      <c r="G61" s="980">
        <v>0</v>
      </c>
      <c r="H61" s="731">
        <v>103.65616799999999</v>
      </c>
    </row>
    <row r="62" spans="1:8">
      <c r="A62" s="732" t="s">
        <v>1172</v>
      </c>
      <c r="B62" s="729" t="s">
        <v>1663</v>
      </c>
      <c r="C62" s="979">
        <v>0</v>
      </c>
      <c r="D62" s="729">
        <v>0</v>
      </c>
      <c r="E62" s="729">
        <v>105.254347</v>
      </c>
      <c r="F62" s="980">
        <v>0</v>
      </c>
      <c r="G62" s="980">
        <v>0</v>
      </c>
      <c r="H62" s="731">
        <v>105.254347</v>
      </c>
    </row>
    <row r="63" spans="1:8">
      <c r="A63" s="732" t="s">
        <v>1172</v>
      </c>
      <c r="B63" s="729" t="s">
        <v>1624</v>
      </c>
      <c r="C63" s="979">
        <v>0</v>
      </c>
      <c r="D63" s="729">
        <v>0</v>
      </c>
      <c r="E63" s="729">
        <v>82.120994999999994</v>
      </c>
      <c r="F63" s="980">
        <v>0</v>
      </c>
      <c r="G63" s="980">
        <v>0</v>
      </c>
      <c r="H63" s="731">
        <v>82.120994999999994</v>
      </c>
    </row>
    <row r="64" spans="1:8">
      <c r="A64" s="732" t="s">
        <v>1172</v>
      </c>
      <c r="B64" s="729" t="s">
        <v>1664</v>
      </c>
      <c r="C64" s="979">
        <v>0</v>
      </c>
      <c r="D64" s="729">
        <v>0</v>
      </c>
      <c r="E64" s="729">
        <v>61.213523000000002</v>
      </c>
      <c r="F64" s="980">
        <v>0</v>
      </c>
      <c r="G64" s="980">
        <v>0</v>
      </c>
      <c r="H64" s="731">
        <v>61.213523000000002</v>
      </c>
    </row>
    <row r="65" spans="1:8">
      <c r="A65" s="732" t="s">
        <v>1172</v>
      </c>
      <c r="B65" s="729" t="s">
        <v>1665</v>
      </c>
      <c r="C65" s="979">
        <v>0</v>
      </c>
      <c r="D65" s="729">
        <v>0</v>
      </c>
      <c r="E65" s="729">
        <v>100.63155999999999</v>
      </c>
      <c r="F65" s="980">
        <v>0</v>
      </c>
      <c r="G65" s="980">
        <v>0</v>
      </c>
      <c r="H65" s="731">
        <v>100.63155999999999</v>
      </c>
    </row>
    <row r="66" spans="1:8">
      <c r="A66" s="732" t="s">
        <v>1172</v>
      </c>
      <c r="B66" s="729" t="s">
        <v>1666</v>
      </c>
      <c r="C66" s="979">
        <v>0</v>
      </c>
      <c r="D66" s="729">
        <v>0</v>
      </c>
      <c r="E66" s="729">
        <v>35.537472999999999</v>
      </c>
      <c r="F66" s="980">
        <v>0</v>
      </c>
      <c r="G66" s="980">
        <v>0</v>
      </c>
      <c r="H66" s="731">
        <v>35.537472999999999</v>
      </c>
    </row>
    <row r="67" spans="1:8">
      <c r="A67" s="732" t="s">
        <v>1172</v>
      </c>
      <c r="B67" s="729" t="s">
        <v>1667</v>
      </c>
      <c r="C67" s="979">
        <v>0</v>
      </c>
      <c r="D67" s="729">
        <v>0</v>
      </c>
      <c r="E67" s="729">
        <v>67.527320000000003</v>
      </c>
      <c r="F67" s="980">
        <v>0</v>
      </c>
      <c r="G67" s="980">
        <v>0</v>
      </c>
      <c r="H67" s="731">
        <v>67.527320000000003</v>
      </c>
    </row>
    <row r="68" spans="1:8">
      <c r="A68" s="732" t="s">
        <v>1172</v>
      </c>
      <c r="B68" s="729" t="s">
        <v>1625</v>
      </c>
      <c r="C68" s="979">
        <v>0</v>
      </c>
      <c r="D68" s="729">
        <v>0</v>
      </c>
      <c r="E68" s="729">
        <v>42.567140999999999</v>
      </c>
      <c r="F68" s="980">
        <v>0</v>
      </c>
      <c r="G68" s="980">
        <v>0</v>
      </c>
      <c r="H68" s="731">
        <v>42.567140999999999</v>
      </c>
    </row>
    <row r="69" spans="1:8">
      <c r="A69" s="732" t="s">
        <v>1172</v>
      </c>
      <c r="B69" s="729" t="s">
        <v>1668</v>
      </c>
      <c r="C69" s="979">
        <v>0</v>
      </c>
      <c r="D69" s="729">
        <v>0</v>
      </c>
      <c r="E69" s="729">
        <v>28.436040999999999</v>
      </c>
      <c r="F69" s="980">
        <v>0</v>
      </c>
      <c r="G69" s="980">
        <v>0</v>
      </c>
      <c r="H69" s="731">
        <v>28.436040999999999</v>
      </c>
    </row>
    <row r="70" spans="1:8">
      <c r="A70" s="732" t="s">
        <v>1172</v>
      </c>
      <c r="B70" s="729" t="s">
        <v>1669</v>
      </c>
      <c r="C70" s="979">
        <v>0</v>
      </c>
      <c r="D70" s="729">
        <v>0</v>
      </c>
      <c r="E70" s="729">
        <v>36.330922000000001</v>
      </c>
      <c r="F70" s="980">
        <v>0</v>
      </c>
      <c r="G70" s="980">
        <v>0</v>
      </c>
      <c r="H70" s="731">
        <v>36.330922000000001</v>
      </c>
    </row>
    <row r="71" spans="1:8">
      <c r="A71" s="732" t="s">
        <v>1172</v>
      </c>
      <c r="B71" s="729" t="s">
        <v>1670</v>
      </c>
      <c r="C71" s="979">
        <v>0</v>
      </c>
      <c r="D71" s="729">
        <v>0</v>
      </c>
      <c r="E71" s="729">
        <v>68.066854000000006</v>
      </c>
      <c r="F71" s="980">
        <v>0</v>
      </c>
      <c r="G71" s="980">
        <v>0</v>
      </c>
      <c r="H71" s="731">
        <v>68.066854000000006</v>
      </c>
    </row>
    <row r="72" spans="1:8">
      <c r="A72" s="732" t="s">
        <v>1172</v>
      </c>
      <c r="B72" s="729" t="s">
        <v>1671</v>
      </c>
      <c r="C72" s="979">
        <v>0</v>
      </c>
      <c r="D72" s="729">
        <v>0</v>
      </c>
      <c r="E72" s="729">
        <v>113.052603</v>
      </c>
      <c r="F72" s="980">
        <v>0</v>
      </c>
      <c r="G72" s="980">
        <v>0</v>
      </c>
      <c r="H72" s="731">
        <v>113.052603</v>
      </c>
    </row>
    <row r="73" spans="1:8">
      <c r="A73" s="732" t="s">
        <v>1172</v>
      </c>
      <c r="B73" s="729" t="s">
        <v>1627</v>
      </c>
      <c r="C73" s="979">
        <v>0</v>
      </c>
      <c r="D73" s="729">
        <v>0</v>
      </c>
      <c r="E73" s="729">
        <v>62.592188</v>
      </c>
      <c r="F73" s="980">
        <v>0</v>
      </c>
      <c r="G73" s="980">
        <v>0</v>
      </c>
      <c r="H73" s="731">
        <v>62.592188</v>
      </c>
    </row>
    <row r="74" spans="1:8">
      <c r="A74" s="732" t="s">
        <v>1172</v>
      </c>
      <c r="B74" s="729" t="s">
        <v>1628</v>
      </c>
      <c r="C74" s="979">
        <v>0</v>
      </c>
      <c r="D74" s="729">
        <v>0</v>
      </c>
      <c r="E74" s="729">
        <v>37.294471000000001</v>
      </c>
      <c r="F74" s="980">
        <v>0</v>
      </c>
      <c r="G74" s="980">
        <v>0</v>
      </c>
      <c r="H74" s="731">
        <v>37.294471000000001</v>
      </c>
    </row>
    <row r="75" spans="1:8">
      <c r="A75" s="732" t="s">
        <v>1172</v>
      </c>
      <c r="B75" s="729" t="s">
        <v>1675</v>
      </c>
      <c r="C75" s="979">
        <v>0</v>
      </c>
      <c r="D75" s="729">
        <v>0</v>
      </c>
      <c r="E75" s="729">
        <v>84.456117000000006</v>
      </c>
      <c r="F75" s="980">
        <v>0</v>
      </c>
      <c r="G75" s="980">
        <v>0</v>
      </c>
      <c r="H75" s="731">
        <v>84.456117000000006</v>
      </c>
    </row>
    <row r="76" spans="1:8">
      <c r="A76" s="732" t="s">
        <v>1172</v>
      </c>
      <c r="B76" s="729" t="s">
        <v>1676</v>
      </c>
      <c r="C76" s="979">
        <v>0</v>
      </c>
      <c r="D76" s="729">
        <v>0</v>
      </c>
      <c r="E76" s="729">
        <v>114.290228</v>
      </c>
      <c r="F76" s="980">
        <v>0</v>
      </c>
      <c r="G76" s="980">
        <v>0</v>
      </c>
      <c r="H76" s="731">
        <v>114.290228</v>
      </c>
    </row>
    <row r="77" spans="1:8">
      <c r="A77" s="732" t="s">
        <v>1172</v>
      </c>
      <c r="B77" s="729" t="s">
        <v>2078</v>
      </c>
      <c r="C77" s="979">
        <v>0</v>
      </c>
      <c r="D77" s="729">
        <v>0</v>
      </c>
      <c r="E77" s="729">
        <v>2.544</v>
      </c>
      <c r="F77" s="980">
        <v>0</v>
      </c>
      <c r="G77" s="980">
        <v>0</v>
      </c>
      <c r="H77" s="731">
        <v>2.544</v>
      </c>
    </row>
    <row r="78" spans="1:8">
      <c r="A78" s="732" t="s">
        <v>1172</v>
      </c>
      <c r="B78" s="729" t="s">
        <v>1677</v>
      </c>
      <c r="C78" s="979">
        <v>0</v>
      </c>
      <c r="D78" s="729">
        <v>0</v>
      </c>
      <c r="E78" s="729">
        <v>54.944513999999998</v>
      </c>
      <c r="F78" s="980">
        <v>0</v>
      </c>
      <c r="G78" s="980">
        <v>0</v>
      </c>
      <c r="H78" s="731">
        <v>54.944513999999998</v>
      </c>
    </row>
    <row r="79" spans="1:8">
      <c r="A79" s="732" t="s">
        <v>1172</v>
      </c>
      <c r="B79" s="729" t="s">
        <v>1678</v>
      </c>
      <c r="C79" s="979">
        <v>0</v>
      </c>
      <c r="D79" s="729">
        <v>0</v>
      </c>
      <c r="E79" s="729">
        <v>23.130996</v>
      </c>
      <c r="F79" s="980">
        <v>0</v>
      </c>
      <c r="G79" s="980">
        <v>0</v>
      </c>
      <c r="H79" s="731">
        <v>23.130996</v>
      </c>
    </row>
    <row r="80" spans="1:8">
      <c r="A80" s="732" t="s">
        <v>1172</v>
      </c>
      <c r="B80" s="729" t="s">
        <v>1679</v>
      </c>
      <c r="C80" s="979">
        <v>0</v>
      </c>
      <c r="D80" s="729">
        <v>0</v>
      </c>
      <c r="E80" s="729">
        <v>58.355549000000003</v>
      </c>
      <c r="F80" s="980">
        <v>0</v>
      </c>
      <c r="G80" s="980">
        <v>0</v>
      </c>
      <c r="H80" s="731">
        <v>58.355549000000003</v>
      </c>
    </row>
    <row r="81" spans="1:8">
      <c r="A81" s="732" t="s">
        <v>1172</v>
      </c>
      <c r="B81" s="729" t="s">
        <v>1680</v>
      </c>
      <c r="C81" s="979">
        <v>0</v>
      </c>
      <c r="D81" s="729">
        <v>0</v>
      </c>
      <c r="E81" s="729">
        <v>57.404845999999999</v>
      </c>
      <c r="F81" s="980">
        <v>0</v>
      </c>
      <c r="G81" s="980">
        <v>0</v>
      </c>
      <c r="H81" s="731">
        <v>57.404845999999999</v>
      </c>
    </row>
    <row r="82" spans="1:8">
      <c r="A82" s="732" t="s">
        <v>1172</v>
      </c>
      <c r="B82" s="729" t="s">
        <v>1681</v>
      </c>
      <c r="C82" s="979">
        <v>0</v>
      </c>
      <c r="D82" s="729">
        <v>0</v>
      </c>
      <c r="E82" s="729">
        <v>21.235156</v>
      </c>
      <c r="F82" s="980">
        <v>0</v>
      </c>
      <c r="G82" s="980">
        <v>0</v>
      </c>
      <c r="H82" s="731">
        <v>21.235156</v>
      </c>
    </row>
    <row r="83" spans="1:8">
      <c r="A83" s="732" t="s">
        <v>1172</v>
      </c>
      <c r="B83" s="729" t="s">
        <v>1682</v>
      </c>
      <c r="C83" s="979">
        <v>0</v>
      </c>
      <c r="D83" s="729">
        <v>0</v>
      </c>
      <c r="E83" s="729">
        <v>39.912351999999998</v>
      </c>
      <c r="F83" s="980">
        <v>0</v>
      </c>
      <c r="G83" s="980">
        <v>0</v>
      </c>
      <c r="H83" s="731">
        <v>39.912351999999998</v>
      </c>
    </row>
    <row r="84" spans="1:8">
      <c r="A84" s="732" t="s">
        <v>1172</v>
      </c>
      <c r="B84" s="729" t="s">
        <v>1684</v>
      </c>
      <c r="C84" s="979">
        <v>0</v>
      </c>
      <c r="D84" s="729">
        <v>0</v>
      </c>
      <c r="E84" s="729">
        <v>95.491667000000007</v>
      </c>
      <c r="F84" s="980">
        <v>0</v>
      </c>
      <c r="G84" s="980">
        <v>0</v>
      </c>
      <c r="H84" s="731">
        <v>95.491667000000007</v>
      </c>
    </row>
    <row r="85" spans="1:8">
      <c r="A85" s="732" t="s">
        <v>1172</v>
      </c>
      <c r="B85" s="729" t="s">
        <v>1685</v>
      </c>
      <c r="C85" s="979">
        <v>0</v>
      </c>
      <c r="D85" s="729">
        <v>0</v>
      </c>
      <c r="E85" s="729">
        <v>22.020206999999999</v>
      </c>
      <c r="F85" s="980">
        <v>0</v>
      </c>
      <c r="G85" s="980">
        <v>0</v>
      </c>
      <c r="H85" s="731">
        <v>22.020206999999999</v>
      </c>
    </row>
    <row r="86" spans="1:8">
      <c r="A86" s="732" t="s">
        <v>1172</v>
      </c>
      <c r="B86" s="729" t="s">
        <v>1630</v>
      </c>
      <c r="C86" s="979">
        <v>0</v>
      </c>
      <c r="D86" s="729">
        <v>0</v>
      </c>
      <c r="E86" s="729">
        <v>59.118429999999996</v>
      </c>
      <c r="F86" s="980">
        <v>0</v>
      </c>
      <c r="G86" s="980">
        <v>0</v>
      </c>
      <c r="H86" s="731">
        <v>59.118429999999996</v>
      </c>
    </row>
    <row r="87" spans="1:8">
      <c r="A87" s="732" t="s">
        <v>1172</v>
      </c>
      <c r="B87" s="729" t="s">
        <v>1631</v>
      </c>
      <c r="C87" s="979">
        <v>0</v>
      </c>
      <c r="D87" s="729">
        <v>0</v>
      </c>
      <c r="E87" s="729">
        <v>37.977943000000003</v>
      </c>
      <c r="F87" s="980">
        <v>0</v>
      </c>
      <c r="G87" s="980">
        <v>0</v>
      </c>
      <c r="H87" s="731">
        <v>37.977943000000003</v>
      </c>
    </row>
    <row r="88" spans="1:8">
      <c r="A88" s="732" t="s">
        <v>1172</v>
      </c>
      <c r="B88" s="729" t="s">
        <v>1687</v>
      </c>
      <c r="C88" s="979">
        <v>0</v>
      </c>
      <c r="D88" s="729">
        <v>0</v>
      </c>
      <c r="E88" s="729">
        <v>69.809404999999998</v>
      </c>
      <c r="F88" s="980">
        <v>0</v>
      </c>
      <c r="G88" s="980">
        <v>0</v>
      </c>
      <c r="H88" s="731">
        <v>69.809404999999998</v>
      </c>
    </row>
    <row r="89" spans="1:8">
      <c r="A89" s="732" t="s">
        <v>1172</v>
      </c>
      <c r="B89" s="729" t="s">
        <v>1688</v>
      </c>
      <c r="C89" s="979">
        <v>0</v>
      </c>
      <c r="D89" s="729">
        <v>0</v>
      </c>
      <c r="E89" s="729">
        <v>53.162219999999998</v>
      </c>
      <c r="F89" s="980">
        <v>0</v>
      </c>
      <c r="G89" s="980">
        <v>0</v>
      </c>
      <c r="H89" s="731">
        <v>53.162219999999998</v>
      </c>
    </row>
    <row r="90" spans="1:8">
      <c r="A90" s="732" t="s">
        <v>1172</v>
      </c>
      <c r="B90" s="729" t="s">
        <v>1632</v>
      </c>
      <c r="C90" s="979">
        <v>0</v>
      </c>
      <c r="D90" s="729">
        <v>0</v>
      </c>
      <c r="E90" s="729">
        <v>45.922583000000003</v>
      </c>
      <c r="F90" s="980">
        <v>0</v>
      </c>
      <c r="G90" s="980">
        <v>0</v>
      </c>
      <c r="H90" s="731">
        <v>45.922583000000003</v>
      </c>
    </row>
    <row r="91" spans="1:8">
      <c r="A91" s="732" t="s">
        <v>1172</v>
      </c>
      <c r="B91" s="729" t="s">
        <v>1633</v>
      </c>
      <c r="C91" s="979">
        <v>0</v>
      </c>
      <c r="D91" s="729">
        <v>0</v>
      </c>
      <c r="E91" s="729">
        <v>46.267325999999997</v>
      </c>
      <c r="F91" s="980">
        <v>0</v>
      </c>
      <c r="G91" s="980">
        <v>0</v>
      </c>
      <c r="H91" s="731">
        <v>46.267325999999997</v>
      </c>
    </row>
    <row r="92" spans="1:8">
      <c r="A92" s="732" t="s">
        <v>1172</v>
      </c>
      <c r="B92" s="729" t="s">
        <v>1691</v>
      </c>
      <c r="C92" s="979">
        <v>0</v>
      </c>
      <c r="D92" s="729">
        <v>0</v>
      </c>
      <c r="E92" s="729">
        <v>27.792795999999999</v>
      </c>
      <c r="F92" s="980">
        <v>0</v>
      </c>
      <c r="G92" s="980">
        <v>0</v>
      </c>
      <c r="H92" s="731">
        <v>27.792795999999999</v>
      </c>
    </row>
    <row r="93" spans="1:8">
      <c r="A93" s="732" t="s">
        <v>1172</v>
      </c>
      <c r="B93" s="729" t="s">
        <v>1692</v>
      </c>
      <c r="C93" s="979">
        <v>0</v>
      </c>
      <c r="D93" s="729">
        <v>0</v>
      </c>
      <c r="E93" s="729">
        <v>36.400264999999997</v>
      </c>
      <c r="F93" s="980">
        <v>0</v>
      </c>
      <c r="G93" s="980">
        <v>0</v>
      </c>
      <c r="H93" s="731">
        <v>36.400264999999997</v>
      </c>
    </row>
    <row r="94" spans="1:8">
      <c r="A94" s="732" t="s">
        <v>1172</v>
      </c>
      <c r="B94" s="729" t="s">
        <v>1693</v>
      </c>
      <c r="C94" s="979">
        <v>0</v>
      </c>
      <c r="D94" s="729">
        <v>0</v>
      </c>
      <c r="E94" s="729">
        <v>48.799067999999998</v>
      </c>
      <c r="F94" s="980">
        <v>0</v>
      </c>
      <c r="G94" s="980">
        <v>0</v>
      </c>
      <c r="H94" s="731">
        <v>48.799067999999998</v>
      </c>
    </row>
    <row r="95" spans="1:8">
      <c r="A95" s="732" t="s">
        <v>1172</v>
      </c>
      <c r="B95" s="729" t="s">
        <v>1694</v>
      </c>
      <c r="C95" s="979">
        <v>0</v>
      </c>
      <c r="D95" s="729">
        <v>0</v>
      </c>
      <c r="E95" s="729">
        <v>38.524140000000003</v>
      </c>
      <c r="F95" s="980">
        <v>0</v>
      </c>
      <c r="G95" s="980">
        <v>0</v>
      </c>
      <c r="H95" s="731">
        <v>38.524140000000003</v>
      </c>
    </row>
    <row r="96" spans="1:8">
      <c r="A96" s="732" t="s">
        <v>1172</v>
      </c>
      <c r="B96" s="729" t="s">
        <v>1695</v>
      </c>
      <c r="C96" s="979">
        <v>0</v>
      </c>
      <c r="D96" s="729">
        <v>0</v>
      </c>
      <c r="E96" s="729">
        <v>21.240528999999999</v>
      </c>
      <c r="F96" s="980">
        <v>0</v>
      </c>
      <c r="G96" s="980">
        <v>0</v>
      </c>
      <c r="H96" s="731">
        <v>21.240528999999999</v>
      </c>
    </row>
    <row r="97" spans="1:8">
      <c r="A97" s="732" t="s">
        <v>1172</v>
      </c>
      <c r="B97" s="729" t="s">
        <v>1696</v>
      </c>
      <c r="C97" s="979">
        <v>0</v>
      </c>
      <c r="D97" s="729">
        <v>0</v>
      </c>
      <c r="E97" s="729">
        <v>126.829404</v>
      </c>
      <c r="F97" s="980">
        <v>0</v>
      </c>
      <c r="G97" s="980">
        <v>0</v>
      </c>
      <c r="H97" s="731">
        <v>126.829404</v>
      </c>
    </row>
    <row r="98" spans="1:8">
      <c r="A98" s="732" t="s">
        <v>1172</v>
      </c>
      <c r="B98" s="729" t="s">
        <v>2062</v>
      </c>
      <c r="C98" s="979">
        <v>0</v>
      </c>
      <c r="D98" s="729">
        <v>0</v>
      </c>
      <c r="E98" s="729">
        <v>4.3725209999999999</v>
      </c>
      <c r="F98" s="980">
        <v>0</v>
      </c>
      <c r="G98" s="980">
        <v>0</v>
      </c>
      <c r="H98" s="731">
        <v>4.3725209999999999</v>
      </c>
    </row>
    <row r="99" spans="1:8">
      <c r="A99" s="732" t="s">
        <v>1172</v>
      </c>
      <c r="B99" s="729" t="s">
        <v>2063</v>
      </c>
      <c r="C99" s="979">
        <v>0</v>
      </c>
      <c r="D99" s="729">
        <v>0</v>
      </c>
      <c r="E99" s="729">
        <v>29.713280000000001</v>
      </c>
      <c r="F99" s="980">
        <v>0</v>
      </c>
      <c r="G99" s="980">
        <v>0</v>
      </c>
      <c r="H99" s="731">
        <v>29.713280000000001</v>
      </c>
    </row>
    <row r="100" spans="1:8">
      <c r="A100" s="732" t="s">
        <v>1172</v>
      </c>
      <c r="B100" s="729" t="s">
        <v>1697</v>
      </c>
      <c r="C100" s="979">
        <v>0</v>
      </c>
      <c r="D100" s="729">
        <v>0</v>
      </c>
      <c r="E100" s="729">
        <v>27.62518</v>
      </c>
      <c r="F100" s="980">
        <v>0</v>
      </c>
      <c r="G100" s="980">
        <v>0</v>
      </c>
      <c r="H100" s="731">
        <v>27.62518</v>
      </c>
    </row>
    <row r="101" spans="1:8">
      <c r="A101" s="732" t="s">
        <v>1172</v>
      </c>
      <c r="B101" s="729" t="s">
        <v>2064</v>
      </c>
      <c r="C101" s="979">
        <v>0</v>
      </c>
      <c r="D101" s="729">
        <v>0</v>
      </c>
      <c r="E101" s="729">
        <v>14.0899</v>
      </c>
      <c r="F101" s="980">
        <v>0</v>
      </c>
      <c r="G101" s="980">
        <v>0</v>
      </c>
      <c r="H101" s="731">
        <v>14.0899</v>
      </c>
    </row>
    <row r="102" spans="1:8">
      <c r="A102" s="732" t="s">
        <v>1172</v>
      </c>
      <c r="B102" s="729" t="s">
        <v>2065</v>
      </c>
      <c r="C102" s="979">
        <v>0</v>
      </c>
      <c r="D102" s="729">
        <v>0</v>
      </c>
      <c r="E102" s="729">
        <v>2.6571929999999999</v>
      </c>
      <c r="F102" s="980">
        <v>0</v>
      </c>
      <c r="G102" s="980">
        <v>0</v>
      </c>
      <c r="H102" s="731">
        <v>2.6571929999999999</v>
      </c>
    </row>
    <row r="103" spans="1:8">
      <c r="A103" s="732" t="s">
        <v>1172</v>
      </c>
      <c r="B103" s="729" t="s">
        <v>1634</v>
      </c>
      <c r="C103" s="979">
        <v>0</v>
      </c>
      <c r="D103" s="729">
        <v>0</v>
      </c>
      <c r="E103" s="729">
        <v>123.804321</v>
      </c>
      <c r="F103" s="980">
        <v>0</v>
      </c>
      <c r="G103" s="980">
        <v>0</v>
      </c>
      <c r="H103" s="731">
        <v>123.804321</v>
      </c>
    </row>
    <row r="104" spans="1:8">
      <c r="A104" s="732" t="s">
        <v>1172</v>
      </c>
      <c r="B104" s="729" t="s">
        <v>1698</v>
      </c>
      <c r="C104" s="979">
        <v>0</v>
      </c>
      <c r="D104" s="729">
        <v>0</v>
      </c>
      <c r="E104" s="729">
        <v>80.715152000000003</v>
      </c>
      <c r="F104" s="980">
        <v>0</v>
      </c>
      <c r="G104" s="980">
        <v>0</v>
      </c>
      <c r="H104" s="731">
        <v>80.715152000000003</v>
      </c>
    </row>
    <row r="105" spans="1:8">
      <c r="A105" s="732" t="s">
        <v>1172</v>
      </c>
      <c r="B105" s="729" t="s">
        <v>1635</v>
      </c>
      <c r="C105" s="979">
        <v>0</v>
      </c>
      <c r="D105" s="729">
        <v>0</v>
      </c>
      <c r="E105" s="729">
        <v>100.032327</v>
      </c>
      <c r="F105" s="980">
        <v>0</v>
      </c>
      <c r="G105" s="980">
        <v>0</v>
      </c>
      <c r="H105" s="731">
        <v>100.032327</v>
      </c>
    </row>
    <row r="106" spans="1:8">
      <c r="A106" s="732" t="s">
        <v>1172</v>
      </c>
      <c r="B106" s="729" t="s">
        <v>1636</v>
      </c>
      <c r="C106" s="979">
        <v>0</v>
      </c>
      <c r="D106" s="729">
        <v>0</v>
      </c>
      <c r="E106" s="729">
        <v>203.67214100000001</v>
      </c>
      <c r="F106" s="980">
        <v>0</v>
      </c>
      <c r="G106" s="980">
        <v>0</v>
      </c>
      <c r="H106" s="731">
        <v>203.67214100000001</v>
      </c>
    </row>
    <row r="107" spans="1:8">
      <c r="A107" s="732" t="s">
        <v>1172</v>
      </c>
      <c r="B107" s="729" t="s">
        <v>1637</v>
      </c>
      <c r="C107" s="979">
        <v>0</v>
      </c>
      <c r="D107" s="729">
        <v>0</v>
      </c>
      <c r="E107" s="729">
        <v>12.167064</v>
      </c>
      <c r="F107" s="980">
        <v>0</v>
      </c>
      <c r="G107" s="980">
        <v>0</v>
      </c>
      <c r="H107" s="731">
        <v>12.167064</v>
      </c>
    </row>
    <row r="108" spans="1:8">
      <c r="A108" s="732" t="s">
        <v>1172</v>
      </c>
      <c r="B108" s="729" t="s">
        <v>1699</v>
      </c>
      <c r="C108" s="979">
        <v>0</v>
      </c>
      <c r="D108" s="729">
        <v>0</v>
      </c>
      <c r="E108" s="729">
        <v>61.115538999999998</v>
      </c>
      <c r="F108" s="980">
        <v>0</v>
      </c>
      <c r="G108" s="980">
        <v>0</v>
      </c>
      <c r="H108" s="731">
        <v>61.115538999999998</v>
      </c>
    </row>
    <row r="109" spans="1:8">
      <c r="A109" s="732" t="s">
        <v>1172</v>
      </c>
      <c r="B109" s="729" t="s">
        <v>1700</v>
      </c>
      <c r="C109" s="979">
        <v>0</v>
      </c>
      <c r="D109" s="729">
        <v>0</v>
      </c>
      <c r="E109" s="729">
        <v>10.271806</v>
      </c>
      <c r="F109" s="980">
        <v>0</v>
      </c>
      <c r="G109" s="980">
        <v>0</v>
      </c>
      <c r="H109" s="731">
        <v>10.271806</v>
      </c>
    </row>
    <row r="110" spans="1:8">
      <c r="A110" s="732" t="s">
        <v>1172</v>
      </c>
      <c r="B110" s="729" t="s">
        <v>1701</v>
      </c>
      <c r="C110" s="979">
        <v>30.320511</v>
      </c>
      <c r="D110" s="729">
        <v>0</v>
      </c>
      <c r="E110" s="729">
        <v>0</v>
      </c>
      <c r="F110" s="980">
        <v>0</v>
      </c>
      <c r="G110" s="980">
        <v>0</v>
      </c>
      <c r="H110" s="731">
        <v>30.320511</v>
      </c>
    </row>
    <row r="111" spans="1:8">
      <c r="A111" s="732" t="s">
        <v>1172</v>
      </c>
      <c r="B111" s="729" t="s">
        <v>1704</v>
      </c>
      <c r="C111" s="979">
        <v>11.233715</v>
      </c>
      <c r="D111" s="729">
        <v>0</v>
      </c>
      <c r="E111" s="729">
        <v>0</v>
      </c>
      <c r="F111" s="980">
        <v>0</v>
      </c>
      <c r="G111" s="980">
        <v>0</v>
      </c>
      <c r="H111" s="731">
        <v>11.233715</v>
      </c>
    </row>
    <row r="112" spans="1:8">
      <c r="A112" s="732" t="s">
        <v>1172</v>
      </c>
      <c r="B112" s="729" t="s">
        <v>1707</v>
      </c>
      <c r="C112" s="979">
        <v>9.1884219999999992</v>
      </c>
      <c r="D112" s="729">
        <v>0</v>
      </c>
      <c r="E112" s="729">
        <v>0</v>
      </c>
      <c r="F112" s="980">
        <v>0</v>
      </c>
      <c r="G112" s="980">
        <v>0</v>
      </c>
      <c r="H112" s="731">
        <v>9.1884219999999992</v>
      </c>
    </row>
    <row r="113" spans="1:8">
      <c r="A113" s="732" t="s">
        <v>1172</v>
      </c>
      <c r="B113" s="729" t="s">
        <v>1708</v>
      </c>
      <c r="C113" s="979">
        <v>28.610451000000001</v>
      </c>
      <c r="D113" s="729">
        <v>0</v>
      </c>
      <c r="E113" s="729">
        <v>0</v>
      </c>
      <c r="F113" s="980">
        <v>0</v>
      </c>
      <c r="G113" s="980">
        <v>0</v>
      </c>
      <c r="H113" s="731">
        <v>28.610451000000001</v>
      </c>
    </row>
    <row r="114" spans="1:8">
      <c r="A114" s="732" t="s">
        <v>1172</v>
      </c>
      <c r="B114" s="729" t="s">
        <v>2079</v>
      </c>
      <c r="C114" s="979">
        <v>3.9123999999999999</v>
      </c>
      <c r="D114" s="729">
        <v>0</v>
      </c>
      <c r="E114" s="729">
        <v>0</v>
      </c>
      <c r="F114" s="980">
        <v>0</v>
      </c>
      <c r="G114" s="980">
        <v>0</v>
      </c>
      <c r="H114" s="731">
        <v>3.9123999999999999</v>
      </c>
    </row>
    <row r="115" spans="1:8">
      <c r="A115" s="732" t="s">
        <v>1172</v>
      </c>
      <c r="B115" s="729" t="s">
        <v>1709</v>
      </c>
      <c r="C115" s="979">
        <v>81.630949999999999</v>
      </c>
      <c r="D115" s="729">
        <v>0</v>
      </c>
      <c r="E115" s="729">
        <v>0</v>
      </c>
      <c r="F115" s="980">
        <v>0</v>
      </c>
      <c r="G115" s="980">
        <v>0</v>
      </c>
      <c r="H115" s="731">
        <v>81.630949999999999</v>
      </c>
    </row>
    <row r="116" spans="1:8">
      <c r="A116" s="732" t="s">
        <v>1172</v>
      </c>
      <c r="B116" s="729" t="s">
        <v>1710</v>
      </c>
      <c r="C116" s="979">
        <v>38.366461999999999</v>
      </c>
      <c r="D116" s="729">
        <v>0</v>
      </c>
      <c r="E116" s="729">
        <v>0</v>
      </c>
      <c r="F116" s="980">
        <v>0</v>
      </c>
      <c r="G116" s="980">
        <v>0</v>
      </c>
      <c r="H116" s="731">
        <v>38.366461999999999</v>
      </c>
    </row>
    <row r="117" spans="1:8">
      <c r="A117" s="732" t="s">
        <v>1172</v>
      </c>
      <c r="B117" s="729" t="s">
        <v>1638</v>
      </c>
      <c r="C117" s="979">
        <v>63.944481000000003</v>
      </c>
      <c r="D117" s="729">
        <v>0</v>
      </c>
      <c r="E117" s="729">
        <v>0</v>
      </c>
      <c r="F117" s="980">
        <v>0</v>
      </c>
      <c r="G117" s="980">
        <v>0</v>
      </c>
      <c r="H117" s="731">
        <v>63.944481000000003</v>
      </c>
    </row>
    <row r="118" spans="1:8">
      <c r="A118" s="732" t="s">
        <v>1172</v>
      </c>
      <c r="B118" s="729" t="s">
        <v>1639</v>
      </c>
      <c r="C118" s="979">
        <v>39.635050999999997</v>
      </c>
      <c r="D118" s="729">
        <v>0</v>
      </c>
      <c r="E118" s="729">
        <v>0</v>
      </c>
      <c r="F118" s="980">
        <v>0</v>
      </c>
      <c r="G118" s="980">
        <v>0</v>
      </c>
      <c r="H118" s="731">
        <v>39.635050999999997</v>
      </c>
    </row>
    <row r="119" spans="1:8">
      <c r="A119" s="732" t="s">
        <v>1172</v>
      </c>
      <c r="B119" s="729" t="s">
        <v>1711</v>
      </c>
      <c r="C119" s="979">
        <v>55.761071999999999</v>
      </c>
      <c r="D119" s="729">
        <v>0</v>
      </c>
      <c r="E119" s="729">
        <v>0</v>
      </c>
      <c r="F119" s="980">
        <v>0</v>
      </c>
      <c r="G119" s="980">
        <v>0</v>
      </c>
      <c r="H119" s="731">
        <v>55.761071999999999</v>
      </c>
    </row>
    <row r="120" spans="1:8">
      <c r="A120" s="732" t="s">
        <v>1172</v>
      </c>
      <c r="B120" s="729" t="s">
        <v>1712</v>
      </c>
      <c r="C120" s="979">
        <v>66.261922999999996</v>
      </c>
      <c r="D120" s="729">
        <v>0</v>
      </c>
      <c r="E120" s="729">
        <v>0</v>
      </c>
      <c r="F120" s="980">
        <v>0</v>
      </c>
      <c r="G120" s="980">
        <v>0</v>
      </c>
      <c r="H120" s="731">
        <v>66.261922999999996</v>
      </c>
    </row>
    <row r="121" spans="1:8">
      <c r="A121" s="732" t="s">
        <v>1172</v>
      </c>
      <c r="B121" s="729" t="s">
        <v>1714</v>
      </c>
      <c r="C121" s="979">
        <v>-0.38800000000000001</v>
      </c>
      <c r="D121" s="729">
        <v>0</v>
      </c>
      <c r="E121" s="729">
        <v>0</v>
      </c>
      <c r="F121" s="980">
        <v>0</v>
      </c>
      <c r="G121" s="980">
        <v>0</v>
      </c>
      <c r="H121" s="731">
        <v>-0.38800000000000001</v>
      </c>
    </row>
    <row r="122" spans="1:8">
      <c r="A122" s="732" t="s">
        <v>1172</v>
      </c>
      <c r="B122" s="729" t="s">
        <v>1715</v>
      </c>
      <c r="C122" s="979">
        <v>32.213275000000003</v>
      </c>
      <c r="D122" s="729">
        <v>0</v>
      </c>
      <c r="E122" s="729">
        <v>0</v>
      </c>
      <c r="F122" s="980">
        <v>0</v>
      </c>
      <c r="G122" s="980">
        <v>0</v>
      </c>
      <c r="H122" s="731">
        <v>32.213275000000003</v>
      </c>
    </row>
    <row r="123" spans="1:8">
      <c r="A123" s="732" t="s">
        <v>1172</v>
      </c>
      <c r="B123" s="729" t="s">
        <v>2066</v>
      </c>
      <c r="C123" s="979">
        <v>85.304682999999997</v>
      </c>
      <c r="D123" s="729">
        <v>0</v>
      </c>
      <c r="E123" s="729">
        <v>0</v>
      </c>
      <c r="F123" s="980">
        <v>0</v>
      </c>
      <c r="G123" s="980">
        <v>0</v>
      </c>
      <c r="H123" s="731">
        <v>85.304682999999997</v>
      </c>
    </row>
    <row r="124" spans="1:8">
      <c r="A124" s="732" t="s">
        <v>1172</v>
      </c>
      <c r="B124" s="729" t="s">
        <v>1717</v>
      </c>
      <c r="C124" s="979">
        <v>44.853513</v>
      </c>
      <c r="D124" s="729">
        <v>0</v>
      </c>
      <c r="E124" s="729">
        <v>0</v>
      </c>
      <c r="F124" s="980">
        <v>0</v>
      </c>
      <c r="G124" s="980">
        <v>0</v>
      </c>
      <c r="H124" s="731">
        <v>44.853513</v>
      </c>
    </row>
    <row r="125" spans="1:8">
      <c r="A125" s="732" t="s">
        <v>1172</v>
      </c>
      <c r="B125" s="729" t="s">
        <v>1640</v>
      </c>
      <c r="C125" s="979">
        <v>127.670483</v>
      </c>
      <c r="D125" s="729">
        <v>0</v>
      </c>
      <c r="E125" s="729">
        <v>0</v>
      </c>
      <c r="F125" s="980">
        <v>0</v>
      </c>
      <c r="G125" s="980">
        <v>0</v>
      </c>
      <c r="H125" s="731">
        <v>127.670483</v>
      </c>
    </row>
    <row r="126" spans="1:8">
      <c r="A126" s="732" t="s">
        <v>1172</v>
      </c>
      <c r="B126" s="729" t="s">
        <v>1718</v>
      </c>
      <c r="C126" s="979">
        <v>35.003143999999999</v>
      </c>
      <c r="D126" s="729">
        <v>0</v>
      </c>
      <c r="E126" s="729">
        <v>0</v>
      </c>
      <c r="F126" s="980">
        <v>0</v>
      </c>
      <c r="G126" s="980">
        <v>0</v>
      </c>
      <c r="H126" s="731">
        <v>35.003143999999999</v>
      </c>
    </row>
    <row r="127" spans="1:8">
      <c r="A127" s="732" t="s">
        <v>1172</v>
      </c>
      <c r="B127" s="729" t="s">
        <v>1719</v>
      </c>
      <c r="C127" s="979">
        <v>66.214440999999994</v>
      </c>
      <c r="D127" s="729">
        <v>0</v>
      </c>
      <c r="E127" s="729">
        <v>0</v>
      </c>
      <c r="F127" s="980">
        <v>0</v>
      </c>
      <c r="G127" s="980">
        <v>0</v>
      </c>
      <c r="H127" s="731">
        <v>66.214440999999994</v>
      </c>
    </row>
    <row r="128" spans="1:8">
      <c r="A128" s="732" t="s">
        <v>1172</v>
      </c>
      <c r="B128" s="729" t="s">
        <v>1720</v>
      </c>
      <c r="C128" s="979">
        <v>14.256959999999999</v>
      </c>
      <c r="D128" s="729">
        <v>0</v>
      </c>
      <c r="E128" s="729">
        <v>0</v>
      </c>
      <c r="F128" s="980">
        <v>0</v>
      </c>
      <c r="G128" s="980">
        <v>0</v>
      </c>
      <c r="H128" s="731">
        <v>14.256959999999999</v>
      </c>
    </row>
    <row r="129" spans="1:8">
      <c r="A129" s="732" t="s">
        <v>1172</v>
      </c>
      <c r="B129" s="729" t="s">
        <v>1641</v>
      </c>
      <c r="C129" s="979">
        <v>21.831503999999999</v>
      </c>
      <c r="D129" s="729">
        <v>0</v>
      </c>
      <c r="E129" s="729">
        <v>0</v>
      </c>
      <c r="F129" s="980">
        <v>0</v>
      </c>
      <c r="G129" s="980">
        <v>0</v>
      </c>
      <c r="H129" s="731">
        <v>21.831503999999999</v>
      </c>
    </row>
    <row r="130" spans="1:8">
      <c r="A130" s="732" t="s">
        <v>1172</v>
      </c>
      <c r="B130" s="729" t="s">
        <v>1722</v>
      </c>
      <c r="C130" s="979">
        <v>33.266522000000002</v>
      </c>
      <c r="D130" s="729">
        <v>0</v>
      </c>
      <c r="E130" s="729">
        <v>0</v>
      </c>
      <c r="F130" s="980">
        <v>0</v>
      </c>
      <c r="G130" s="980">
        <v>0</v>
      </c>
      <c r="H130" s="731">
        <v>33.266522000000002</v>
      </c>
    </row>
    <row r="131" spans="1:8">
      <c r="A131" s="732" t="s">
        <v>1172</v>
      </c>
      <c r="B131" s="729" t="s">
        <v>1723</v>
      </c>
      <c r="C131" s="979">
        <v>43.725079000000001</v>
      </c>
      <c r="D131" s="729">
        <v>0</v>
      </c>
      <c r="E131" s="729">
        <v>0</v>
      </c>
      <c r="F131" s="980">
        <v>0</v>
      </c>
      <c r="G131" s="980">
        <v>0</v>
      </c>
      <c r="H131" s="731">
        <v>43.725079000000001</v>
      </c>
    </row>
    <row r="132" spans="1:8">
      <c r="A132" s="732" t="s">
        <v>1172</v>
      </c>
      <c r="B132" s="729" t="s">
        <v>1724</v>
      </c>
      <c r="C132" s="979">
        <v>33.225340000000003</v>
      </c>
      <c r="D132" s="729">
        <v>0</v>
      </c>
      <c r="E132" s="729">
        <v>0</v>
      </c>
      <c r="F132" s="980">
        <v>0</v>
      </c>
      <c r="G132" s="980">
        <v>0</v>
      </c>
      <c r="H132" s="731">
        <v>33.225340000000003</v>
      </c>
    </row>
    <row r="133" spans="1:8">
      <c r="A133" s="732" t="s">
        <v>1172</v>
      </c>
      <c r="B133" s="729" t="s">
        <v>1725</v>
      </c>
      <c r="C133" s="979">
        <v>15.587909</v>
      </c>
      <c r="D133" s="729">
        <v>0</v>
      </c>
      <c r="E133" s="729">
        <v>0</v>
      </c>
      <c r="F133" s="980">
        <v>0</v>
      </c>
      <c r="G133" s="980">
        <v>0</v>
      </c>
      <c r="H133" s="731">
        <v>15.587909</v>
      </c>
    </row>
    <row r="134" spans="1:8">
      <c r="A134" s="732" t="s">
        <v>1172</v>
      </c>
      <c r="B134" s="729" t="s">
        <v>1644</v>
      </c>
      <c r="C134" s="979">
        <v>88.359661000000003</v>
      </c>
      <c r="D134" s="729">
        <v>0</v>
      </c>
      <c r="E134" s="729">
        <v>0</v>
      </c>
      <c r="F134" s="980">
        <v>0</v>
      </c>
      <c r="G134" s="980">
        <v>0</v>
      </c>
      <c r="H134" s="731">
        <v>88.359661000000003</v>
      </c>
    </row>
    <row r="135" spans="1:8">
      <c r="A135" s="732" t="s">
        <v>1172</v>
      </c>
      <c r="B135" s="729" t="s">
        <v>1727</v>
      </c>
      <c r="C135" s="979">
        <v>114.635436</v>
      </c>
      <c r="D135" s="729">
        <v>0</v>
      </c>
      <c r="E135" s="729">
        <v>0</v>
      </c>
      <c r="F135" s="980">
        <v>0</v>
      </c>
      <c r="G135" s="980">
        <v>0</v>
      </c>
      <c r="H135" s="731">
        <v>114.635436</v>
      </c>
    </row>
    <row r="136" spans="1:8">
      <c r="A136" s="732" t="s">
        <v>1172</v>
      </c>
      <c r="B136" s="729" t="s">
        <v>1728</v>
      </c>
      <c r="C136" s="979">
        <v>20.468119999999999</v>
      </c>
      <c r="D136" s="729">
        <v>0</v>
      </c>
      <c r="E136" s="729">
        <v>0</v>
      </c>
      <c r="F136" s="980">
        <v>0</v>
      </c>
      <c r="G136" s="980">
        <v>0</v>
      </c>
      <c r="H136" s="731">
        <v>20.468119999999999</v>
      </c>
    </row>
    <row r="137" spans="1:8">
      <c r="A137" s="732" t="s">
        <v>1172</v>
      </c>
      <c r="B137" s="729" t="s">
        <v>1729</v>
      </c>
      <c r="C137" s="979">
        <v>7.2078389999999999</v>
      </c>
      <c r="D137" s="729">
        <v>0</v>
      </c>
      <c r="E137" s="729">
        <v>0</v>
      </c>
      <c r="F137" s="980">
        <v>0</v>
      </c>
      <c r="G137" s="980">
        <v>0</v>
      </c>
      <c r="H137" s="731">
        <v>7.2078389999999999</v>
      </c>
    </row>
    <row r="138" spans="1:8">
      <c r="A138" s="732" t="s">
        <v>1172</v>
      </c>
      <c r="B138" s="729" t="s">
        <v>1730</v>
      </c>
      <c r="C138" s="979">
        <v>6.0276690000000004</v>
      </c>
      <c r="D138" s="729">
        <v>0</v>
      </c>
      <c r="E138" s="729">
        <v>0</v>
      </c>
      <c r="F138" s="980">
        <v>0</v>
      </c>
      <c r="G138" s="980">
        <v>0</v>
      </c>
      <c r="H138" s="731">
        <v>6.0276690000000004</v>
      </c>
    </row>
    <row r="139" spans="1:8">
      <c r="A139" s="732" t="s">
        <v>1172</v>
      </c>
      <c r="B139" s="729" t="s">
        <v>1731</v>
      </c>
      <c r="C139" s="979">
        <v>55.874841000000004</v>
      </c>
      <c r="D139" s="729">
        <v>0</v>
      </c>
      <c r="E139" s="729">
        <v>0</v>
      </c>
      <c r="F139" s="980">
        <v>0</v>
      </c>
      <c r="G139" s="980">
        <v>0</v>
      </c>
      <c r="H139" s="731">
        <v>55.874841000000004</v>
      </c>
    </row>
    <row r="140" spans="1:8">
      <c r="A140" s="732" t="s">
        <v>1172</v>
      </c>
      <c r="B140" s="729" t="s">
        <v>1732</v>
      </c>
      <c r="C140" s="979">
        <v>32.771301999999999</v>
      </c>
      <c r="D140" s="729">
        <v>0</v>
      </c>
      <c r="E140" s="729">
        <v>0</v>
      </c>
      <c r="F140" s="980">
        <v>0</v>
      </c>
      <c r="G140" s="980">
        <v>0</v>
      </c>
      <c r="H140" s="731">
        <v>32.771301999999999</v>
      </c>
    </row>
    <row r="141" spans="1:8">
      <c r="A141" s="732" t="s">
        <v>1172</v>
      </c>
      <c r="B141" s="729" t="s">
        <v>1733</v>
      </c>
      <c r="C141" s="979">
        <v>27.565131999999998</v>
      </c>
      <c r="D141" s="729">
        <v>0</v>
      </c>
      <c r="E141" s="729">
        <v>0</v>
      </c>
      <c r="F141" s="980">
        <v>0</v>
      </c>
      <c r="G141" s="980">
        <v>0</v>
      </c>
      <c r="H141" s="731">
        <v>27.565131999999998</v>
      </c>
    </row>
    <row r="142" spans="1:8">
      <c r="A142" s="732" t="s">
        <v>1172</v>
      </c>
      <c r="B142" s="729" t="s">
        <v>1645</v>
      </c>
      <c r="C142" s="979">
        <v>54.542642999999998</v>
      </c>
      <c r="D142" s="729">
        <v>0</v>
      </c>
      <c r="E142" s="729">
        <v>0</v>
      </c>
      <c r="F142" s="980">
        <v>0</v>
      </c>
      <c r="G142" s="980">
        <v>0</v>
      </c>
      <c r="H142" s="731">
        <v>54.542642999999998</v>
      </c>
    </row>
    <row r="143" spans="1:8">
      <c r="A143" s="732" t="s">
        <v>1172</v>
      </c>
      <c r="B143" s="729" t="s">
        <v>1646</v>
      </c>
      <c r="C143" s="979">
        <v>34.438845999999998</v>
      </c>
      <c r="D143" s="729">
        <v>0</v>
      </c>
      <c r="E143" s="729">
        <v>0</v>
      </c>
      <c r="F143" s="980">
        <v>0</v>
      </c>
      <c r="G143" s="980">
        <v>0</v>
      </c>
      <c r="H143" s="731">
        <v>34.438845999999998</v>
      </c>
    </row>
    <row r="144" spans="1:8">
      <c r="A144" s="732" t="s">
        <v>1172</v>
      </c>
      <c r="B144" s="729" t="s">
        <v>1735</v>
      </c>
      <c r="C144" s="979">
        <v>33.633232</v>
      </c>
      <c r="D144" s="729">
        <v>0</v>
      </c>
      <c r="E144" s="729">
        <v>0</v>
      </c>
      <c r="F144" s="980">
        <v>0</v>
      </c>
      <c r="G144" s="980">
        <v>0</v>
      </c>
      <c r="H144" s="731">
        <v>33.633232</v>
      </c>
    </row>
    <row r="145" spans="1:8">
      <c r="A145" s="732" t="s">
        <v>1172</v>
      </c>
      <c r="B145" s="729" t="s">
        <v>1741</v>
      </c>
      <c r="C145" s="979">
        <v>101.1978</v>
      </c>
      <c r="D145" s="729">
        <v>0</v>
      </c>
      <c r="E145" s="729">
        <v>0</v>
      </c>
      <c r="F145" s="980">
        <v>0</v>
      </c>
      <c r="G145" s="980">
        <v>0</v>
      </c>
      <c r="H145" s="731">
        <v>101.1978</v>
      </c>
    </row>
    <row r="146" spans="1:8" ht="18" customHeight="1">
      <c r="A146" s="732" t="s">
        <v>1172</v>
      </c>
      <c r="B146" s="729" t="s">
        <v>1736</v>
      </c>
      <c r="C146" s="979">
        <v>47.059370999999999</v>
      </c>
      <c r="D146" s="729">
        <v>0</v>
      </c>
      <c r="E146" s="729">
        <v>0</v>
      </c>
      <c r="F146" s="980">
        <v>0</v>
      </c>
      <c r="G146" s="980">
        <v>0</v>
      </c>
      <c r="H146" s="731">
        <v>47.059370999999999</v>
      </c>
    </row>
    <row r="147" spans="1:8">
      <c r="A147" s="732" t="s">
        <v>1172</v>
      </c>
      <c r="B147" s="729" t="s">
        <v>1737</v>
      </c>
      <c r="C147" s="979">
        <v>15.55911</v>
      </c>
      <c r="D147" s="729">
        <v>0</v>
      </c>
      <c r="E147" s="729">
        <v>0</v>
      </c>
      <c r="F147" s="980">
        <v>0</v>
      </c>
      <c r="G147" s="980">
        <v>0</v>
      </c>
      <c r="H147" s="731">
        <v>15.55911</v>
      </c>
    </row>
    <row r="148" spans="1:8">
      <c r="A148" s="732" t="s">
        <v>1172</v>
      </c>
      <c r="B148" s="729" t="s">
        <v>1647</v>
      </c>
      <c r="C148" s="979">
        <v>39.640501</v>
      </c>
      <c r="D148" s="729">
        <v>0</v>
      </c>
      <c r="E148" s="729">
        <v>0</v>
      </c>
      <c r="F148" s="980">
        <v>0</v>
      </c>
      <c r="G148" s="980">
        <v>0</v>
      </c>
      <c r="H148" s="731">
        <v>39.640501</v>
      </c>
    </row>
    <row r="149" spans="1:8">
      <c r="A149" s="732" t="s">
        <v>1172</v>
      </c>
      <c r="B149" s="729" t="s">
        <v>1738</v>
      </c>
      <c r="C149" s="979">
        <v>30.745683</v>
      </c>
      <c r="D149" s="729">
        <v>0</v>
      </c>
      <c r="E149" s="729">
        <v>0</v>
      </c>
      <c r="F149" s="980">
        <v>0</v>
      </c>
      <c r="G149" s="980">
        <v>0</v>
      </c>
      <c r="H149" s="731">
        <v>30.745683</v>
      </c>
    </row>
    <row r="150" spans="1:8">
      <c r="A150" s="732" t="s">
        <v>1172</v>
      </c>
      <c r="B150" s="729" t="s">
        <v>1739</v>
      </c>
      <c r="C150" s="979">
        <v>18.868763999999999</v>
      </c>
      <c r="D150" s="729">
        <v>0</v>
      </c>
      <c r="E150" s="729">
        <v>0</v>
      </c>
      <c r="F150" s="980">
        <v>0</v>
      </c>
      <c r="G150" s="980">
        <v>0</v>
      </c>
      <c r="H150" s="731">
        <v>18.868763999999999</v>
      </c>
    </row>
    <row r="151" spans="1:8">
      <c r="A151" s="732" t="s">
        <v>1172</v>
      </c>
      <c r="B151" s="729" t="s">
        <v>1740</v>
      </c>
      <c r="C151" s="979">
        <v>91.394508999999999</v>
      </c>
      <c r="D151" s="729">
        <v>0</v>
      </c>
      <c r="E151" s="729">
        <v>0</v>
      </c>
      <c r="F151" s="980">
        <v>0</v>
      </c>
      <c r="G151" s="980">
        <v>0</v>
      </c>
      <c r="H151" s="731">
        <v>91.394508999999999</v>
      </c>
    </row>
    <row r="152" spans="1:8">
      <c r="A152" s="732" t="s">
        <v>1172</v>
      </c>
      <c r="B152" s="729" t="s">
        <v>1648</v>
      </c>
      <c r="C152" s="979">
        <v>112.98813199999999</v>
      </c>
      <c r="D152" s="729">
        <v>0</v>
      </c>
      <c r="E152" s="729">
        <v>0</v>
      </c>
      <c r="F152" s="980">
        <v>0</v>
      </c>
      <c r="G152" s="980">
        <v>0</v>
      </c>
      <c r="H152" s="731">
        <v>112.98813199999999</v>
      </c>
    </row>
    <row r="153" spans="1:8">
      <c r="A153" s="732" t="s">
        <v>1172</v>
      </c>
      <c r="B153" s="729" t="s">
        <v>1742</v>
      </c>
      <c r="C153" s="979">
        <v>22.269770999999999</v>
      </c>
      <c r="D153" s="729">
        <v>0</v>
      </c>
      <c r="E153" s="729">
        <v>0</v>
      </c>
      <c r="F153" s="980">
        <v>0</v>
      </c>
      <c r="G153" s="980">
        <v>0</v>
      </c>
      <c r="H153" s="731">
        <v>22.269770999999999</v>
      </c>
    </row>
    <row r="154" spans="1:8">
      <c r="A154" s="732" t="s">
        <v>1172</v>
      </c>
      <c r="B154" s="729" t="s">
        <v>1743</v>
      </c>
      <c r="C154" s="979">
        <v>46.043944000000003</v>
      </c>
      <c r="D154" s="729">
        <v>0</v>
      </c>
      <c r="E154" s="729">
        <v>0</v>
      </c>
      <c r="F154" s="980">
        <v>0</v>
      </c>
      <c r="G154" s="980">
        <v>0</v>
      </c>
      <c r="H154" s="731">
        <v>46.043944000000003</v>
      </c>
    </row>
    <row r="155" spans="1:8">
      <c r="A155" s="732" t="s">
        <v>1172</v>
      </c>
      <c r="B155" s="729" t="s">
        <v>1745</v>
      </c>
      <c r="C155" s="979">
        <v>15.523288000000001</v>
      </c>
      <c r="D155" s="729">
        <v>0</v>
      </c>
      <c r="E155" s="729">
        <v>0</v>
      </c>
      <c r="F155" s="980">
        <v>0</v>
      </c>
      <c r="G155" s="980">
        <v>0</v>
      </c>
      <c r="H155" s="731">
        <v>15.523288000000001</v>
      </c>
    </row>
    <row r="156" spans="1:8">
      <c r="A156" s="732" t="s">
        <v>1172</v>
      </c>
      <c r="B156" s="729" t="s">
        <v>1746</v>
      </c>
      <c r="C156" s="979">
        <v>44.101281</v>
      </c>
      <c r="D156" s="729">
        <v>0</v>
      </c>
      <c r="E156" s="729">
        <v>0</v>
      </c>
      <c r="F156" s="980">
        <v>0</v>
      </c>
      <c r="G156" s="980">
        <v>0</v>
      </c>
      <c r="H156" s="731">
        <v>44.101281</v>
      </c>
    </row>
    <row r="157" spans="1:8">
      <c r="A157" s="732" t="s">
        <v>1172</v>
      </c>
      <c r="B157" s="729" t="s">
        <v>1649</v>
      </c>
      <c r="C157" s="979">
        <v>74.466286999999994</v>
      </c>
      <c r="D157" s="729">
        <v>0</v>
      </c>
      <c r="E157" s="729">
        <v>0</v>
      </c>
      <c r="F157" s="980">
        <v>0</v>
      </c>
      <c r="G157" s="980">
        <v>0</v>
      </c>
      <c r="H157" s="731">
        <v>74.466286999999994</v>
      </c>
    </row>
    <row r="158" spans="1:8">
      <c r="A158" s="732" t="s">
        <v>1172</v>
      </c>
      <c r="B158" s="729" t="s">
        <v>2058</v>
      </c>
      <c r="C158" s="979">
        <v>45.317601000000003</v>
      </c>
      <c r="D158" s="729">
        <v>0</v>
      </c>
      <c r="E158" s="729">
        <v>0</v>
      </c>
      <c r="F158" s="980">
        <v>0</v>
      </c>
      <c r="G158" s="980">
        <v>0</v>
      </c>
      <c r="H158" s="731">
        <v>45.317601000000003</v>
      </c>
    </row>
    <row r="159" spans="1:8">
      <c r="A159" s="732" t="s">
        <v>1172</v>
      </c>
      <c r="B159" s="729" t="s">
        <v>2059</v>
      </c>
      <c r="C159" s="979">
        <v>71.689487999999997</v>
      </c>
      <c r="D159" s="729">
        <v>0</v>
      </c>
      <c r="E159" s="729">
        <v>0</v>
      </c>
      <c r="F159" s="980">
        <v>0</v>
      </c>
      <c r="G159" s="980">
        <v>0</v>
      </c>
      <c r="H159" s="731">
        <v>71.689487999999997</v>
      </c>
    </row>
    <row r="160" spans="1:8">
      <c r="A160" s="732" t="s">
        <v>1172</v>
      </c>
      <c r="B160" s="729" t="s">
        <v>1650</v>
      </c>
      <c r="C160" s="979">
        <v>103.65455799999999</v>
      </c>
      <c r="D160" s="729">
        <v>0</v>
      </c>
      <c r="E160" s="729">
        <v>0</v>
      </c>
      <c r="F160" s="980">
        <v>0</v>
      </c>
      <c r="G160" s="980">
        <v>0</v>
      </c>
      <c r="H160" s="731">
        <v>103.65455799999999</v>
      </c>
    </row>
    <row r="161" spans="1:8">
      <c r="A161" s="732" t="s">
        <v>1172</v>
      </c>
      <c r="B161" s="729" t="s">
        <v>1747</v>
      </c>
      <c r="C161" s="979">
        <v>46.641710000000003</v>
      </c>
      <c r="D161" s="729">
        <v>0</v>
      </c>
      <c r="E161" s="729">
        <v>0</v>
      </c>
      <c r="F161" s="980">
        <v>0</v>
      </c>
      <c r="G161" s="980">
        <v>0</v>
      </c>
      <c r="H161" s="731">
        <v>46.641710000000003</v>
      </c>
    </row>
    <row r="162" spans="1:8">
      <c r="A162" s="732" t="s">
        <v>1172</v>
      </c>
      <c r="B162" s="729" t="s">
        <v>2060</v>
      </c>
      <c r="C162" s="979">
        <v>4.9420000000000002</v>
      </c>
      <c r="D162" s="729">
        <v>0</v>
      </c>
      <c r="E162" s="729">
        <v>0</v>
      </c>
      <c r="F162" s="980">
        <v>0</v>
      </c>
      <c r="G162" s="980">
        <v>0</v>
      </c>
      <c r="H162" s="731">
        <v>4.9420000000000002</v>
      </c>
    </row>
    <row r="163" spans="1:8">
      <c r="A163" s="732" t="s">
        <v>1172</v>
      </c>
      <c r="B163" s="729" t="s">
        <v>1748</v>
      </c>
      <c r="C163" s="979">
        <v>15.242286</v>
      </c>
      <c r="D163" s="729">
        <v>0</v>
      </c>
      <c r="E163" s="729">
        <v>0</v>
      </c>
      <c r="F163" s="980">
        <v>0</v>
      </c>
      <c r="G163" s="980">
        <v>0</v>
      </c>
      <c r="H163" s="731">
        <v>15.242286</v>
      </c>
    </row>
    <row r="164" spans="1:8">
      <c r="A164" s="732" t="s">
        <v>1172</v>
      </c>
      <c r="B164" s="729" t="s">
        <v>2067</v>
      </c>
      <c r="C164" s="979">
        <v>62.303449999999998</v>
      </c>
      <c r="D164" s="729">
        <v>0</v>
      </c>
      <c r="E164" s="729">
        <v>0</v>
      </c>
      <c r="F164" s="980">
        <v>0</v>
      </c>
      <c r="G164" s="980">
        <v>0</v>
      </c>
      <c r="H164" s="731">
        <v>62.303449999999998</v>
      </c>
    </row>
    <row r="165" spans="1:8">
      <c r="A165" s="732" t="s">
        <v>1172</v>
      </c>
      <c r="B165" s="729" t="s">
        <v>1651</v>
      </c>
      <c r="C165" s="979">
        <v>113.934736</v>
      </c>
      <c r="D165" s="729">
        <v>0</v>
      </c>
      <c r="E165" s="729">
        <v>0</v>
      </c>
      <c r="F165" s="980">
        <v>0</v>
      </c>
      <c r="G165" s="980">
        <v>0</v>
      </c>
      <c r="H165" s="731">
        <v>113.934736</v>
      </c>
    </row>
    <row r="166" spans="1:8">
      <c r="A166" s="732" t="s">
        <v>1172</v>
      </c>
      <c r="B166" s="729" t="s">
        <v>1751</v>
      </c>
      <c r="C166" s="979">
        <v>15.481222000000001</v>
      </c>
      <c r="D166" s="729">
        <v>0</v>
      </c>
      <c r="E166" s="729">
        <v>0</v>
      </c>
      <c r="F166" s="980">
        <v>0</v>
      </c>
      <c r="G166" s="980">
        <v>0</v>
      </c>
      <c r="H166" s="731">
        <v>15.481222000000001</v>
      </c>
    </row>
    <row r="167" spans="1:8">
      <c r="A167" s="732" t="s">
        <v>1172</v>
      </c>
      <c r="B167" s="729" t="s">
        <v>1652</v>
      </c>
      <c r="C167" s="979">
        <v>49.492203000000003</v>
      </c>
      <c r="D167" s="729">
        <v>0</v>
      </c>
      <c r="E167" s="729">
        <v>0</v>
      </c>
      <c r="F167" s="980">
        <v>0</v>
      </c>
      <c r="G167" s="980">
        <v>0</v>
      </c>
      <c r="H167" s="731">
        <v>49.492203000000003</v>
      </c>
    </row>
    <row r="168" spans="1:8">
      <c r="A168" s="732" t="s">
        <v>1172</v>
      </c>
      <c r="B168" s="729" t="s">
        <v>1653</v>
      </c>
      <c r="C168" s="979">
        <v>41.149963</v>
      </c>
      <c r="D168" s="729">
        <v>0</v>
      </c>
      <c r="E168" s="729">
        <v>0</v>
      </c>
      <c r="F168" s="980">
        <v>0</v>
      </c>
      <c r="G168" s="980">
        <v>0</v>
      </c>
      <c r="H168" s="731">
        <v>41.149963</v>
      </c>
    </row>
    <row r="169" spans="1:8">
      <c r="A169" s="732" t="s">
        <v>1172</v>
      </c>
      <c r="B169" s="729" t="s">
        <v>1752</v>
      </c>
      <c r="C169" s="979">
        <v>56.875988</v>
      </c>
      <c r="D169" s="729">
        <v>0</v>
      </c>
      <c r="E169" s="729">
        <v>0</v>
      </c>
      <c r="F169" s="980">
        <v>0</v>
      </c>
      <c r="G169" s="980">
        <v>0</v>
      </c>
      <c r="H169" s="731">
        <v>56.875988</v>
      </c>
    </row>
    <row r="170" spans="1:8">
      <c r="A170" s="732" t="s">
        <v>1172</v>
      </c>
      <c r="B170" s="729" t="s">
        <v>1753</v>
      </c>
      <c r="C170" s="979">
        <v>28.224844999999998</v>
      </c>
      <c r="D170" s="729">
        <v>0</v>
      </c>
      <c r="E170" s="729">
        <v>0</v>
      </c>
      <c r="F170" s="980">
        <v>0</v>
      </c>
      <c r="G170" s="980">
        <v>0</v>
      </c>
      <c r="H170" s="731">
        <v>28.224844999999998</v>
      </c>
    </row>
    <row r="171" spans="1:8">
      <c r="A171" s="732" t="s">
        <v>1172</v>
      </c>
      <c r="B171" s="729" t="s">
        <v>1702</v>
      </c>
      <c r="C171" s="979">
        <v>32.766146999999997</v>
      </c>
      <c r="D171" s="729">
        <v>0</v>
      </c>
      <c r="E171" s="729">
        <v>0</v>
      </c>
      <c r="F171" s="980">
        <v>0</v>
      </c>
      <c r="G171" s="980">
        <v>0</v>
      </c>
      <c r="H171" s="731">
        <v>32.766146999999997</v>
      </c>
    </row>
    <row r="172" spans="1:8" ht="32.25" customHeight="1">
      <c r="A172" s="732" t="s">
        <v>1172</v>
      </c>
      <c r="B172" s="729" t="s">
        <v>1703</v>
      </c>
      <c r="C172" s="979">
        <v>11.236822</v>
      </c>
      <c r="D172" s="729">
        <v>0</v>
      </c>
      <c r="E172" s="729">
        <v>0</v>
      </c>
      <c r="F172" s="980">
        <v>0</v>
      </c>
      <c r="G172" s="980">
        <v>0</v>
      </c>
      <c r="H172" s="731">
        <v>11.236822</v>
      </c>
    </row>
    <row r="173" spans="1:8">
      <c r="A173" s="732" t="s">
        <v>1172</v>
      </c>
      <c r="B173" s="729" t="s">
        <v>1656</v>
      </c>
      <c r="C173" s="979">
        <v>0</v>
      </c>
      <c r="D173" s="729">
        <v>0</v>
      </c>
      <c r="E173" s="729">
        <v>74.717833999999996</v>
      </c>
      <c r="F173" s="980">
        <v>0</v>
      </c>
      <c r="G173" s="980">
        <v>0</v>
      </c>
      <c r="H173" s="731">
        <v>74.717833999999996</v>
      </c>
    </row>
    <row r="174" spans="1:8">
      <c r="A174" s="732" t="s">
        <v>1172</v>
      </c>
      <c r="B174" s="729" t="s">
        <v>1657</v>
      </c>
      <c r="C174" s="979">
        <v>0</v>
      </c>
      <c r="D174" s="729">
        <v>0</v>
      </c>
      <c r="E174" s="729">
        <v>14.707276</v>
      </c>
      <c r="F174" s="980">
        <v>0</v>
      </c>
      <c r="G174" s="980">
        <v>0</v>
      </c>
      <c r="H174" s="731">
        <v>14.707276</v>
      </c>
    </row>
    <row r="175" spans="1:8">
      <c r="A175" s="732" t="s">
        <v>1172</v>
      </c>
      <c r="B175" s="729" t="s">
        <v>1705</v>
      </c>
      <c r="C175" s="979">
        <v>23.876832</v>
      </c>
      <c r="D175" s="729">
        <v>0</v>
      </c>
      <c r="E175" s="729">
        <v>0</v>
      </c>
      <c r="F175" s="980">
        <v>0</v>
      </c>
      <c r="G175" s="980">
        <v>0</v>
      </c>
      <c r="H175" s="731">
        <v>23.876832</v>
      </c>
    </row>
    <row r="176" spans="1:8">
      <c r="A176" s="732" t="s">
        <v>1172</v>
      </c>
      <c r="B176" s="729" t="s">
        <v>1706</v>
      </c>
      <c r="C176" s="979">
        <v>37.577133000000003</v>
      </c>
      <c r="D176" s="729">
        <v>0</v>
      </c>
      <c r="E176" s="729">
        <v>0</v>
      </c>
      <c r="F176" s="980">
        <v>0</v>
      </c>
      <c r="G176" s="980">
        <v>0</v>
      </c>
      <c r="H176" s="731">
        <v>37.577133000000003</v>
      </c>
    </row>
    <row r="177" spans="1:8">
      <c r="A177" s="732" t="s">
        <v>1172</v>
      </c>
      <c r="B177" s="729" t="s">
        <v>2070</v>
      </c>
      <c r="C177" s="979">
        <v>0</v>
      </c>
      <c r="D177" s="729">
        <v>0</v>
      </c>
      <c r="E177" s="729">
        <v>10.755000000000001</v>
      </c>
      <c r="F177" s="980">
        <v>0</v>
      </c>
      <c r="G177" s="980">
        <v>0</v>
      </c>
      <c r="H177" s="731">
        <v>10.755000000000001</v>
      </c>
    </row>
    <row r="178" spans="1:8">
      <c r="A178" s="732" t="s">
        <v>1172</v>
      </c>
      <c r="B178" s="729" t="s">
        <v>1713</v>
      </c>
      <c r="C178" s="979">
        <v>24.955373999999999</v>
      </c>
      <c r="D178" s="729">
        <v>0</v>
      </c>
      <c r="E178" s="729">
        <v>0</v>
      </c>
      <c r="F178" s="980">
        <v>0</v>
      </c>
      <c r="G178" s="980">
        <v>0</v>
      </c>
      <c r="H178" s="731">
        <v>24.955373999999999</v>
      </c>
    </row>
    <row r="179" spans="1:8">
      <c r="A179" s="732" t="s">
        <v>1172</v>
      </c>
      <c r="B179" s="729" t="s">
        <v>1716</v>
      </c>
      <c r="C179" s="979">
        <v>69.116547999999995</v>
      </c>
      <c r="D179" s="729">
        <v>0</v>
      </c>
      <c r="E179" s="729">
        <v>0</v>
      </c>
      <c r="F179" s="980">
        <v>0</v>
      </c>
      <c r="G179" s="980">
        <v>0</v>
      </c>
      <c r="H179" s="731">
        <v>69.116547999999995</v>
      </c>
    </row>
    <row r="180" spans="1:8">
      <c r="A180" s="732" t="s">
        <v>1172</v>
      </c>
      <c r="B180" s="729" t="s">
        <v>1672</v>
      </c>
      <c r="C180" s="979">
        <v>0</v>
      </c>
      <c r="D180" s="729">
        <v>0</v>
      </c>
      <c r="E180" s="729">
        <v>75.171397999999996</v>
      </c>
      <c r="F180" s="980">
        <v>0</v>
      </c>
      <c r="G180" s="980">
        <v>0</v>
      </c>
      <c r="H180" s="731">
        <v>75.171397999999996</v>
      </c>
    </row>
    <row r="181" spans="1:8">
      <c r="A181" s="732" t="s">
        <v>1172</v>
      </c>
      <c r="B181" s="729" t="s">
        <v>1626</v>
      </c>
      <c r="C181" s="979">
        <v>0</v>
      </c>
      <c r="D181" s="729">
        <v>0</v>
      </c>
      <c r="E181" s="729">
        <v>88.140405999999999</v>
      </c>
      <c r="F181" s="980">
        <v>0</v>
      </c>
      <c r="G181" s="980">
        <v>0</v>
      </c>
      <c r="H181" s="731">
        <v>88.140405999999999</v>
      </c>
    </row>
    <row r="182" spans="1:8">
      <c r="A182" s="732" t="s">
        <v>1172</v>
      </c>
      <c r="B182" s="729" t="s">
        <v>1673</v>
      </c>
      <c r="C182" s="979">
        <v>0</v>
      </c>
      <c r="D182" s="729">
        <v>0</v>
      </c>
      <c r="E182" s="729">
        <v>24.225021000000002</v>
      </c>
      <c r="F182" s="980">
        <v>0</v>
      </c>
      <c r="G182" s="980">
        <v>0</v>
      </c>
      <c r="H182" s="731">
        <v>24.225021000000002</v>
      </c>
    </row>
    <row r="183" spans="1:8">
      <c r="A183" s="732" t="s">
        <v>1172</v>
      </c>
      <c r="B183" s="729" t="s">
        <v>1674</v>
      </c>
      <c r="C183" s="979">
        <v>0</v>
      </c>
      <c r="D183" s="729">
        <v>0</v>
      </c>
      <c r="E183" s="729">
        <v>70.263108000000003</v>
      </c>
      <c r="F183" s="980">
        <v>0</v>
      </c>
      <c r="G183" s="980">
        <v>0</v>
      </c>
      <c r="H183" s="731">
        <v>70.263108000000003</v>
      </c>
    </row>
    <row r="184" spans="1:8">
      <c r="A184" s="732" t="s">
        <v>1172</v>
      </c>
      <c r="B184" s="729" t="s">
        <v>1642</v>
      </c>
      <c r="C184" s="979">
        <v>66.145173999999997</v>
      </c>
      <c r="D184" s="729">
        <v>0</v>
      </c>
      <c r="E184" s="729">
        <v>0</v>
      </c>
      <c r="F184" s="980">
        <v>0</v>
      </c>
      <c r="G184" s="980">
        <v>0</v>
      </c>
      <c r="H184" s="731">
        <v>66.145173999999997</v>
      </c>
    </row>
    <row r="185" spans="1:8">
      <c r="A185" s="732" t="s">
        <v>1172</v>
      </c>
      <c r="B185" s="729" t="s">
        <v>1721</v>
      </c>
      <c r="C185" s="979">
        <v>44.276724000000002</v>
      </c>
      <c r="D185" s="729">
        <v>0</v>
      </c>
      <c r="E185" s="729">
        <v>0</v>
      </c>
      <c r="F185" s="980">
        <v>0</v>
      </c>
      <c r="G185" s="980">
        <v>0</v>
      </c>
      <c r="H185" s="731">
        <v>44.276724000000002</v>
      </c>
    </row>
    <row r="186" spans="1:8">
      <c r="A186" s="732" t="s">
        <v>1172</v>
      </c>
      <c r="B186" s="729" t="s">
        <v>1629</v>
      </c>
      <c r="C186" s="979">
        <v>0</v>
      </c>
      <c r="D186" s="729">
        <v>0</v>
      </c>
      <c r="E186" s="729">
        <v>84.315150000000003</v>
      </c>
      <c r="F186" s="980">
        <v>0</v>
      </c>
      <c r="G186" s="980">
        <v>0</v>
      </c>
      <c r="H186" s="731">
        <v>84.315150000000003</v>
      </c>
    </row>
    <row r="187" spans="1:8">
      <c r="A187" s="732" t="s">
        <v>1172</v>
      </c>
      <c r="B187" s="729" t="s">
        <v>1683</v>
      </c>
      <c r="C187" s="979">
        <v>0</v>
      </c>
      <c r="D187" s="729">
        <v>0</v>
      </c>
      <c r="E187" s="729">
        <v>47.597712000000001</v>
      </c>
      <c r="F187" s="980">
        <v>0</v>
      </c>
      <c r="G187" s="980">
        <v>0</v>
      </c>
      <c r="H187" s="731">
        <v>47.597712000000001</v>
      </c>
    </row>
    <row r="188" spans="1:8">
      <c r="A188" s="732" t="s">
        <v>1172</v>
      </c>
      <c r="B188" s="729" t="s">
        <v>1734</v>
      </c>
      <c r="C188" s="979">
        <v>105.653696</v>
      </c>
      <c r="D188" s="729">
        <v>0</v>
      </c>
      <c r="E188" s="729">
        <v>0</v>
      </c>
      <c r="F188" s="980">
        <v>0</v>
      </c>
      <c r="G188" s="980">
        <v>0</v>
      </c>
      <c r="H188" s="731">
        <v>105.653696</v>
      </c>
    </row>
    <row r="189" spans="1:8">
      <c r="A189" s="732" t="s">
        <v>1172</v>
      </c>
      <c r="B189" s="729" t="s">
        <v>1686</v>
      </c>
      <c r="C189" s="979">
        <v>0</v>
      </c>
      <c r="D189" s="729">
        <v>0</v>
      </c>
      <c r="E189" s="729">
        <v>99.886221000000006</v>
      </c>
      <c r="F189" s="980">
        <v>0</v>
      </c>
      <c r="G189" s="980">
        <v>0</v>
      </c>
      <c r="H189" s="731">
        <v>99.886221000000006</v>
      </c>
    </row>
    <row r="190" spans="1:8">
      <c r="A190" s="732" t="s">
        <v>1172</v>
      </c>
      <c r="B190" s="729" t="s">
        <v>1689</v>
      </c>
      <c r="C190" s="979">
        <v>0</v>
      </c>
      <c r="D190" s="729">
        <v>0</v>
      </c>
      <c r="E190" s="729">
        <v>56.726281999999998</v>
      </c>
      <c r="F190" s="980">
        <v>0</v>
      </c>
      <c r="G190" s="980">
        <v>0</v>
      </c>
      <c r="H190" s="731">
        <v>56.726281999999998</v>
      </c>
    </row>
    <row r="191" spans="1:8" ht="15.75" customHeight="1">
      <c r="A191" s="732" t="s">
        <v>1172</v>
      </c>
      <c r="B191" s="729" t="s">
        <v>1690</v>
      </c>
      <c r="C191" s="979">
        <v>0</v>
      </c>
      <c r="D191" s="729">
        <v>0</v>
      </c>
      <c r="E191" s="729">
        <v>30.730996000000001</v>
      </c>
      <c r="F191" s="980">
        <v>0</v>
      </c>
      <c r="G191" s="980">
        <v>0</v>
      </c>
      <c r="H191" s="731">
        <v>30.730996000000001</v>
      </c>
    </row>
    <row r="192" spans="1:8">
      <c r="A192" s="732" t="s">
        <v>1172</v>
      </c>
      <c r="B192" s="729" t="s">
        <v>2071</v>
      </c>
      <c r="C192" s="979">
        <v>15.651751000000001</v>
      </c>
      <c r="D192" s="729">
        <v>0</v>
      </c>
      <c r="E192" s="729">
        <v>0</v>
      </c>
      <c r="F192" s="980">
        <v>0</v>
      </c>
      <c r="G192" s="980">
        <v>0</v>
      </c>
      <c r="H192" s="731">
        <v>15.651751000000001</v>
      </c>
    </row>
    <row r="193" spans="1:8">
      <c r="A193" s="732" t="s">
        <v>1172</v>
      </c>
      <c r="B193" s="729" t="s">
        <v>2072</v>
      </c>
      <c r="C193" s="979">
        <v>0</v>
      </c>
      <c r="D193" s="729">
        <v>0</v>
      </c>
      <c r="E193" s="729">
        <v>15.270799999999999</v>
      </c>
      <c r="F193" s="980">
        <v>0</v>
      </c>
      <c r="G193" s="980">
        <v>0</v>
      </c>
      <c r="H193" s="731">
        <v>15.270799999999999</v>
      </c>
    </row>
    <row r="194" spans="1:8">
      <c r="A194" s="732" t="s">
        <v>1172</v>
      </c>
      <c r="B194" s="729" t="s">
        <v>2073</v>
      </c>
      <c r="C194" s="979">
        <v>0</v>
      </c>
      <c r="D194" s="729">
        <v>0</v>
      </c>
      <c r="E194" s="729">
        <v>2.99695</v>
      </c>
      <c r="F194" s="980">
        <v>0</v>
      </c>
      <c r="G194" s="980">
        <v>0</v>
      </c>
      <c r="H194" s="731">
        <v>2.99695</v>
      </c>
    </row>
    <row r="195" spans="1:8" ht="15" customHeight="1">
      <c r="A195" s="732" t="s">
        <v>1172</v>
      </c>
      <c r="B195" s="729" t="s">
        <v>1750</v>
      </c>
      <c r="C195" s="979">
        <v>20.002728999999999</v>
      </c>
      <c r="D195" s="729">
        <v>0</v>
      </c>
      <c r="E195" s="729">
        <v>0</v>
      </c>
      <c r="F195" s="980">
        <v>0</v>
      </c>
      <c r="G195" s="980">
        <v>0</v>
      </c>
      <c r="H195" s="731">
        <v>20.002728999999999</v>
      </c>
    </row>
    <row r="196" spans="1:8">
      <c r="A196" s="732" t="s">
        <v>1172</v>
      </c>
      <c r="B196" s="729" t="s">
        <v>1643</v>
      </c>
      <c r="C196" s="979">
        <v>67.378499000000005</v>
      </c>
      <c r="D196" s="729">
        <v>0</v>
      </c>
      <c r="E196" s="729">
        <v>0</v>
      </c>
      <c r="F196" s="980">
        <v>0</v>
      </c>
      <c r="G196" s="980">
        <v>0</v>
      </c>
      <c r="H196" s="731">
        <v>67.378499000000005</v>
      </c>
    </row>
    <row r="197" spans="1:8">
      <c r="A197" s="732" t="s">
        <v>1172</v>
      </c>
      <c r="B197" s="729" t="s">
        <v>1726</v>
      </c>
      <c r="C197" s="979">
        <v>40.672145</v>
      </c>
      <c r="D197" s="729">
        <v>0</v>
      </c>
      <c r="E197" s="729">
        <v>0</v>
      </c>
      <c r="F197" s="980">
        <v>0</v>
      </c>
      <c r="G197" s="980">
        <v>0</v>
      </c>
      <c r="H197" s="731">
        <v>40.672145</v>
      </c>
    </row>
    <row r="198" spans="1:8">
      <c r="A198" s="732" t="s">
        <v>1172</v>
      </c>
      <c r="B198" s="729" t="s">
        <v>1744</v>
      </c>
      <c r="C198" s="979">
        <v>4.1515409999999999</v>
      </c>
      <c r="D198" s="729">
        <v>0</v>
      </c>
      <c r="E198" s="729">
        <v>0</v>
      </c>
      <c r="F198" s="980">
        <v>0</v>
      </c>
      <c r="G198" s="980">
        <v>0</v>
      </c>
      <c r="H198" s="731">
        <v>4.1515409999999999</v>
      </c>
    </row>
    <row r="199" spans="1:8">
      <c r="A199" s="732" t="s">
        <v>1172</v>
      </c>
      <c r="B199" s="729" t="s">
        <v>2074</v>
      </c>
      <c r="C199" s="979">
        <v>35.873345999999998</v>
      </c>
      <c r="D199" s="729">
        <v>0</v>
      </c>
      <c r="E199" s="729">
        <v>0</v>
      </c>
      <c r="F199" s="980">
        <v>0</v>
      </c>
      <c r="G199" s="980">
        <v>0</v>
      </c>
      <c r="H199" s="731">
        <v>35.873345999999998</v>
      </c>
    </row>
    <row r="200" spans="1:8">
      <c r="A200" s="732" t="s">
        <v>1172</v>
      </c>
      <c r="B200" s="729" t="s">
        <v>1749</v>
      </c>
      <c r="C200" s="979">
        <v>101.50344200000001</v>
      </c>
      <c r="D200" s="729">
        <v>0</v>
      </c>
      <c r="E200" s="729">
        <v>0</v>
      </c>
      <c r="F200" s="980">
        <v>0</v>
      </c>
      <c r="G200" s="980">
        <v>0</v>
      </c>
      <c r="H200" s="731">
        <v>101.50344200000001</v>
      </c>
    </row>
    <row r="201" spans="1:8" ht="15.75" thickBot="1">
      <c r="A201" s="732" t="s">
        <v>1172</v>
      </c>
      <c r="B201" s="729" t="s">
        <v>2080</v>
      </c>
      <c r="C201" s="979">
        <v>3.0859999999999999</v>
      </c>
      <c r="D201" s="729">
        <v>0</v>
      </c>
      <c r="E201" s="729">
        <v>0</v>
      </c>
      <c r="F201" s="980">
        <v>0</v>
      </c>
      <c r="G201" s="980">
        <v>0</v>
      </c>
      <c r="H201" s="731">
        <v>3.0859999999999999</v>
      </c>
    </row>
    <row r="202" spans="1:8" ht="15.75" thickBot="1">
      <c r="A202" s="735" t="s">
        <v>1754</v>
      </c>
      <c r="B202" s="736" t="s">
        <v>1755</v>
      </c>
      <c r="C202" s="983">
        <v>3505.002716</v>
      </c>
      <c r="D202" s="736">
        <v>13.938094</v>
      </c>
      <c r="E202" s="736">
        <v>4207.1299069999995</v>
      </c>
      <c r="F202" s="984">
        <v>4.4899100000000001</v>
      </c>
      <c r="G202" s="984">
        <v>104.836795</v>
      </c>
      <c r="H202" s="735">
        <v>7835.397422</v>
      </c>
    </row>
    <row r="203" spans="1:8" ht="15.75" thickBot="1">
      <c r="A203" s="1900" t="s">
        <v>2075</v>
      </c>
      <c r="B203" s="1901"/>
      <c r="C203" s="1901"/>
      <c r="D203" s="1901"/>
      <c r="E203" s="1901"/>
      <c r="F203" s="1901"/>
      <c r="G203" s="1902"/>
      <c r="H203" s="735">
        <v>0.787219</v>
      </c>
    </row>
    <row r="204" spans="1:8" ht="15.75" thickBot="1">
      <c r="A204" s="983" t="s">
        <v>1073</v>
      </c>
      <c r="B204" s="734"/>
      <c r="C204" s="734"/>
      <c r="D204" s="734"/>
      <c r="E204" s="734"/>
      <c r="F204" s="734"/>
      <c r="G204" s="734"/>
      <c r="H204" s="985">
        <v>7836.1846409999998</v>
      </c>
    </row>
    <row r="205" spans="1:8" ht="69.75" customHeight="1" thickBot="1">
      <c r="A205" s="1874" t="s">
        <v>2081</v>
      </c>
      <c r="B205" s="1875"/>
      <c r="C205" s="1875"/>
      <c r="D205" s="1875"/>
      <c r="E205" s="1875"/>
      <c r="F205" s="1875"/>
      <c r="G205" s="1875"/>
      <c r="H205" s="1876"/>
    </row>
  </sheetData>
  <mergeCells count="13">
    <mergeCell ref="A1:H1"/>
    <mergeCell ref="A2:H2"/>
    <mergeCell ref="A3:H3"/>
    <mergeCell ref="A4:H4"/>
    <mergeCell ref="H5:H7"/>
    <mergeCell ref="A203:G203"/>
    <mergeCell ref="A205:H205"/>
    <mergeCell ref="A5:A7"/>
    <mergeCell ref="B5:B7"/>
    <mergeCell ref="C5:F5"/>
    <mergeCell ref="G5:G7"/>
    <mergeCell ref="C6:D6"/>
    <mergeCell ref="E6:F6"/>
  </mergeCell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1"/>
  <sheetViews>
    <sheetView showGridLines="0" view="pageBreakPreview" zoomScale="70" zoomScaleNormal="100" zoomScaleSheetLayoutView="70" workbookViewId="0">
      <selection activeCell="D5" sqref="D5:F5"/>
    </sheetView>
  </sheetViews>
  <sheetFormatPr defaultRowHeight="16.5"/>
  <cols>
    <col min="1" max="1" width="4.28515625" style="117" customWidth="1"/>
    <col min="2" max="2" width="3.7109375" style="105" customWidth="1"/>
    <col min="3" max="3" width="53.85546875" style="116" bestFit="1" customWidth="1"/>
    <col min="4" max="6" width="17.140625" style="105" customWidth="1"/>
    <col min="7" max="253" width="9.140625" style="105"/>
    <col min="254" max="254" width="4.28515625" style="105" customWidth="1"/>
    <col min="255" max="255" width="2.28515625" style="105" bestFit="1" customWidth="1"/>
    <col min="256" max="256" width="50.140625" style="105" customWidth="1"/>
    <col min="257" max="257" width="9.85546875" style="105" customWidth="1"/>
    <col min="258" max="258" width="11.85546875" style="105" customWidth="1"/>
    <col min="259" max="259" width="13" style="105" customWidth="1"/>
    <col min="260" max="509" width="9.140625" style="105"/>
    <col min="510" max="510" width="4.28515625" style="105" customWidth="1"/>
    <col min="511" max="511" width="2.28515625" style="105" bestFit="1" customWidth="1"/>
    <col min="512" max="512" width="50.140625" style="105" customWidth="1"/>
    <col min="513" max="513" width="9.85546875" style="105" customWidth="1"/>
    <col min="514" max="514" width="11.85546875" style="105" customWidth="1"/>
    <col min="515" max="515" width="13" style="105" customWidth="1"/>
    <col min="516" max="765" width="9.140625" style="105"/>
    <col min="766" max="766" width="4.28515625" style="105" customWidth="1"/>
    <col min="767" max="767" width="2.28515625" style="105" bestFit="1" customWidth="1"/>
    <col min="768" max="768" width="50.140625" style="105" customWidth="1"/>
    <col min="769" max="769" width="9.85546875" style="105" customWidth="1"/>
    <col min="770" max="770" width="11.85546875" style="105" customWidth="1"/>
    <col min="771" max="771" width="13" style="105" customWidth="1"/>
    <col min="772" max="1021" width="9.140625" style="105"/>
    <col min="1022" max="1022" width="4.28515625" style="105" customWidth="1"/>
    <col min="1023" max="1023" width="2.28515625" style="105" bestFit="1" customWidth="1"/>
    <col min="1024" max="1024" width="50.140625" style="105" customWidth="1"/>
    <col min="1025" max="1025" width="9.85546875" style="105" customWidth="1"/>
    <col min="1026" max="1026" width="11.85546875" style="105" customWidth="1"/>
    <col min="1027" max="1027" width="13" style="105" customWidth="1"/>
    <col min="1028" max="1277" width="9.140625" style="105"/>
    <col min="1278" max="1278" width="4.28515625" style="105" customWidth="1"/>
    <col min="1279" max="1279" width="2.28515625" style="105" bestFit="1" customWidth="1"/>
    <col min="1280" max="1280" width="50.140625" style="105" customWidth="1"/>
    <col min="1281" max="1281" width="9.85546875" style="105" customWidth="1"/>
    <col min="1282" max="1282" width="11.85546875" style="105" customWidth="1"/>
    <col min="1283" max="1283" width="13" style="105" customWidth="1"/>
    <col min="1284" max="1533" width="9.140625" style="105"/>
    <col min="1534" max="1534" width="4.28515625" style="105" customWidth="1"/>
    <col min="1535" max="1535" width="2.28515625" style="105" bestFit="1" customWidth="1"/>
    <col min="1536" max="1536" width="50.140625" style="105" customWidth="1"/>
    <col min="1537" max="1537" width="9.85546875" style="105" customWidth="1"/>
    <col min="1538" max="1538" width="11.85546875" style="105" customWidth="1"/>
    <col min="1539" max="1539" width="13" style="105" customWidth="1"/>
    <col min="1540" max="1789" width="9.140625" style="105"/>
    <col min="1790" max="1790" width="4.28515625" style="105" customWidth="1"/>
    <col min="1791" max="1791" width="2.28515625" style="105" bestFit="1" customWidth="1"/>
    <col min="1792" max="1792" width="50.140625" style="105" customWidth="1"/>
    <col min="1793" max="1793" width="9.85546875" style="105" customWidth="1"/>
    <col min="1794" max="1794" width="11.85546875" style="105" customWidth="1"/>
    <col min="1795" max="1795" width="13" style="105" customWidth="1"/>
    <col min="1796" max="2045" width="9.140625" style="105"/>
    <col min="2046" max="2046" width="4.28515625" style="105" customWidth="1"/>
    <col min="2047" max="2047" width="2.28515625" style="105" bestFit="1" customWidth="1"/>
    <col min="2048" max="2048" width="50.140625" style="105" customWidth="1"/>
    <col min="2049" max="2049" width="9.85546875" style="105" customWidth="1"/>
    <col min="2050" max="2050" width="11.85546875" style="105" customWidth="1"/>
    <col min="2051" max="2051" width="13" style="105" customWidth="1"/>
    <col min="2052" max="2301" width="9.140625" style="105"/>
    <col min="2302" max="2302" width="4.28515625" style="105" customWidth="1"/>
    <col min="2303" max="2303" width="2.28515625" style="105" bestFit="1" customWidth="1"/>
    <col min="2304" max="2304" width="50.140625" style="105" customWidth="1"/>
    <col min="2305" max="2305" width="9.85546875" style="105" customWidth="1"/>
    <col min="2306" max="2306" width="11.85546875" style="105" customWidth="1"/>
    <col min="2307" max="2307" width="13" style="105" customWidth="1"/>
    <col min="2308" max="2557" width="9.140625" style="105"/>
    <col min="2558" max="2558" width="4.28515625" style="105" customWidth="1"/>
    <col min="2559" max="2559" width="2.28515625" style="105" bestFit="1" customWidth="1"/>
    <col min="2560" max="2560" width="50.140625" style="105" customWidth="1"/>
    <col min="2561" max="2561" width="9.85546875" style="105" customWidth="1"/>
    <col min="2562" max="2562" width="11.85546875" style="105" customWidth="1"/>
    <col min="2563" max="2563" width="13" style="105" customWidth="1"/>
    <col min="2564" max="2813" width="9.140625" style="105"/>
    <col min="2814" max="2814" width="4.28515625" style="105" customWidth="1"/>
    <col min="2815" max="2815" width="2.28515625" style="105" bestFit="1" customWidth="1"/>
    <col min="2816" max="2816" width="50.140625" style="105" customWidth="1"/>
    <col min="2817" max="2817" width="9.85546875" style="105" customWidth="1"/>
    <col min="2818" max="2818" width="11.85546875" style="105" customWidth="1"/>
    <col min="2819" max="2819" width="13" style="105" customWidth="1"/>
    <col min="2820" max="3069" width="9.140625" style="105"/>
    <col min="3070" max="3070" width="4.28515625" style="105" customWidth="1"/>
    <col min="3071" max="3071" width="2.28515625" style="105" bestFit="1" customWidth="1"/>
    <col min="3072" max="3072" width="50.140625" style="105" customWidth="1"/>
    <col min="3073" max="3073" width="9.85546875" style="105" customWidth="1"/>
    <col min="3074" max="3074" width="11.85546875" style="105" customWidth="1"/>
    <col min="3075" max="3075" width="13" style="105" customWidth="1"/>
    <col min="3076" max="3325" width="9.140625" style="105"/>
    <col min="3326" max="3326" width="4.28515625" style="105" customWidth="1"/>
    <col min="3327" max="3327" width="2.28515625" style="105" bestFit="1" customWidth="1"/>
    <col min="3328" max="3328" width="50.140625" style="105" customWidth="1"/>
    <col min="3329" max="3329" width="9.85546875" style="105" customWidth="1"/>
    <col min="3330" max="3330" width="11.85546875" style="105" customWidth="1"/>
    <col min="3331" max="3331" width="13" style="105" customWidth="1"/>
    <col min="3332" max="3581" width="9.140625" style="105"/>
    <col min="3582" max="3582" width="4.28515625" style="105" customWidth="1"/>
    <col min="3583" max="3583" width="2.28515625" style="105" bestFit="1" customWidth="1"/>
    <col min="3584" max="3584" width="50.140625" style="105" customWidth="1"/>
    <col min="3585" max="3585" width="9.85546875" style="105" customWidth="1"/>
    <col min="3586" max="3586" width="11.85546875" style="105" customWidth="1"/>
    <col min="3587" max="3587" width="13" style="105" customWidth="1"/>
    <col min="3588" max="3837" width="9.140625" style="105"/>
    <col min="3838" max="3838" width="4.28515625" style="105" customWidth="1"/>
    <col min="3839" max="3839" width="2.28515625" style="105" bestFit="1" customWidth="1"/>
    <col min="3840" max="3840" width="50.140625" style="105" customWidth="1"/>
    <col min="3841" max="3841" width="9.85546875" style="105" customWidth="1"/>
    <col min="3842" max="3842" width="11.85546875" style="105" customWidth="1"/>
    <col min="3843" max="3843" width="13" style="105" customWidth="1"/>
    <col min="3844" max="4093" width="9.140625" style="105"/>
    <col min="4094" max="4094" width="4.28515625" style="105" customWidth="1"/>
    <col min="4095" max="4095" width="2.28515625" style="105" bestFit="1" customWidth="1"/>
    <col min="4096" max="4096" width="50.140625" style="105" customWidth="1"/>
    <col min="4097" max="4097" width="9.85546875" style="105" customWidth="1"/>
    <col min="4098" max="4098" width="11.85546875" style="105" customWidth="1"/>
    <col min="4099" max="4099" width="13" style="105" customWidth="1"/>
    <col min="4100" max="4349" width="9.140625" style="105"/>
    <col min="4350" max="4350" width="4.28515625" style="105" customWidth="1"/>
    <col min="4351" max="4351" width="2.28515625" style="105" bestFit="1" customWidth="1"/>
    <col min="4352" max="4352" width="50.140625" style="105" customWidth="1"/>
    <col min="4353" max="4353" width="9.85546875" style="105" customWidth="1"/>
    <col min="4354" max="4354" width="11.85546875" style="105" customWidth="1"/>
    <col min="4355" max="4355" width="13" style="105" customWidth="1"/>
    <col min="4356" max="4605" width="9.140625" style="105"/>
    <col min="4606" max="4606" width="4.28515625" style="105" customWidth="1"/>
    <col min="4607" max="4607" width="2.28515625" style="105" bestFit="1" customWidth="1"/>
    <col min="4608" max="4608" width="50.140625" style="105" customWidth="1"/>
    <col min="4609" max="4609" width="9.85546875" style="105" customWidth="1"/>
    <col min="4610" max="4610" width="11.85546875" style="105" customWidth="1"/>
    <col min="4611" max="4611" width="13" style="105" customWidth="1"/>
    <col min="4612" max="4861" width="9.140625" style="105"/>
    <col min="4862" max="4862" width="4.28515625" style="105" customWidth="1"/>
    <col min="4863" max="4863" width="2.28515625" style="105" bestFit="1" customWidth="1"/>
    <col min="4864" max="4864" width="50.140625" style="105" customWidth="1"/>
    <col min="4865" max="4865" width="9.85546875" style="105" customWidth="1"/>
    <col min="4866" max="4866" width="11.85546875" style="105" customWidth="1"/>
    <col min="4867" max="4867" width="13" style="105" customWidth="1"/>
    <col min="4868" max="5117" width="9.140625" style="105"/>
    <col min="5118" max="5118" width="4.28515625" style="105" customWidth="1"/>
    <col min="5119" max="5119" width="2.28515625" style="105" bestFit="1" customWidth="1"/>
    <col min="5120" max="5120" width="50.140625" style="105" customWidth="1"/>
    <col min="5121" max="5121" width="9.85546875" style="105" customWidth="1"/>
    <col min="5122" max="5122" width="11.85546875" style="105" customWidth="1"/>
    <col min="5123" max="5123" width="13" style="105" customWidth="1"/>
    <col min="5124" max="5373" width="9.140625" style="105"/>
    <col min="5374" max="5374" width="4.28515625" style="105" customWidth="1"/>
    <col min="5375" max="5375" width="2.28515625" style="105" bestFit="1" customWidth="1"/>
    <col min="5376" max="5376" width="50.140625" style="105" customWidth="1"/>
    <col min="5377" max="5377" width="9.85546875" style="105" customWidth="1"/>
    <col min="5378" max="5378" width="11.85546875" style="105" customWidth="1"/>
    <col min="5379" max="5379" width="13" style="105" customWidth="1"/>
    <col min="5380" max="5629" width="9.140625" style="105"/>
    <col min="5630" max="5630" width="4.28515625" style="105" customWidth="1"/>
    <col min="5631" max="5631" width="2.28515625" style="105" bestFit="1" customWidth="1"/>
    <col min="5632" max="5632" width="50.140625" style="105" customWidth="1"/>
    <col min="5633" max="5633" width="9.85546875" style="105" customWidth="1"/>
    <col min="5634" max="5634" width="11.85546875" style="105" customWidth="1"/>
    <col min="5635" max="5635" width="13" style="105" customWidth="1"/>
    <col min="5636" max="5885" width="9.140625" style="105"/>
    <col min="5886" max="5886" width="4.28515625" style="105" customWidth="1"/>
    <col min="5887" max="5887" width="2.28515625" style="105" bestFit="1" customWidth="1"/>
    <col min="5888" max="5888" width="50.140625" style="105" customWidth="1"/>
    <col min="5889" max="5889" width="9.85546875" style="105" customWidth="1"/>
    <col min="5890" max="5890" width="11.85546875" style="105" customWidth="1"/>
    <col min="5891" max="5891" width="13" style="105" customWidth="1"/>
    <col min="5892" max="6141" width="9.140625" style="105"/>
    <col min="6142" max="6142" width="4.28515625" style="105" customWidth="1"/>
    <col min="6143" max="6143" width="2.28515625" style="105" bestFit="1" customWidth="1"/>
    <col min="6144" max="6144" width="50.140625" style="105" customWidth="1"/>
    <col min="6145" max="6145" width="9.85546875" style="105" customWidth="1"/>
    <col min="6146" max="6146" width="11.85546875" style="105" customWidth="1"/>
    <col min="6147" max="6147" width="13" style="105" customWidth="1"/>
    <col min="6148" max="6397" width="9.140625" style="105"/>
    <col min="6398" max="6398" width="4.28515625" style="105" customWidth="1"/>
    <col min="6399" max="6399" width="2.28515625" style="105" bestFit="1" customWidth="1"/>
    <col min="6400" max="6400" width="50.140625" style="105" customWidth="1"/>
    <col min="6401" max="6401" width="9.85546875" style="105" customWidth="1"/>
    <col min="6402" max="6402" width="11.85546875" style="105" customWidth="1"/>
    <col min="6403" max="6403" width="13" style="105" customWidth="1"/>
    <col min="6404" max="6653" width="9.140625" style="105"/>
    <col min="6654" max="6654" width="4.28515625" style="105" customWidth="1"/>
    <col min="6655" max="6655" width="2.28515625" style="105" bestFit="1" customWidth="1"/>
    <col min="6656" max="6656" width="50.140625" style="105" customWidth="1"/>
    <col min="6657" max="6657" width="9.85546875" style="105" customWidth="1"/>
    <col min="6658" max="6658" width="11.85546875" style="105" customWidth="1"/>
    <col min="6659" max="6659" width="13" style="105" customWidth="1"/>
    <col min="6660" max="6909" width="9.140625" style="105"/>
    <col min="6910" max="6910" width="4.28515625" style="105" customWidth="1"/>
    <col min="6911" max="6911" width="2.28515625" style="105" bestFit="1" customWidth="1"/>
    <col min="6912" max="6912" width="50.140625" style="105" customWidth="1"/>
    <col min="6913" max="6913" width="9.85546875" style="105" customWidth="1"/>
    <col min="6914" max="6914" width="11.85546875" style="105" customWidth="1"/>
    <col min="6915" max="6915" width="13" style="105" customWidth="1"/>
    <col min="6916" max="7165" width="9.140625" style="105"/>
    <col min="7166" max="7166" width="4.28515625" style="105" customWidth="1"/>
    <col min="7167" max="7167" width="2.28515625" style="105" bestFit="1" customWidth="1"/>
    <col min="7168" max="7168" width="50.140625" style="105" customWidth="1"/>
    <col min="7169" max="7169" width="9.85546875" style="105" customWidth="1"/>
    <col min="7170" max="7170" width="11.85546875" style="105" customWidth="1"/>
    <col min="7171" max="7171" width="13" style="105" customWidth="1"/>
    <col min="7172" max="7421" width="9.140625" style="105"/>
    <col min="7422" max="7422" width="4.28515625" style="105" customWidth="1"/>
    <col min="7423" max="7423" width="2.28515625" style="105" bestFit="1" customWidth="1"/>
    <col min="7424" max="7424" width="50.140625" style="105" customWidth="1"/>
    <col min="7425" max="7425" width="9.85546875" style="105" customWidth="1"/>
    <col min="7426" max="7426" width="11.85546875" style="105" customWidth="1"/>
    <col min="7427" max="7427" width="13" style="105" customWidth="1"/>
    <col min="7428" max="7677" width="9.140625" style="105"/>
    <col min="7678" max="7678" width="4.28515625" style="105" customWidth="1"/>
    <col min="7679" max="7679" width="2.28515625" style="105" bestFit="1" customWidth="1"/>
    <col min="7680" max="7680" width="50.140625" style="105" customWidth="1"/>
    <col min="7681" max="7681" width="9.85546875" style="105" customWidth="1"/>
    <col min="7682" max="7682" width="11.85546875" style="105" customWidth="1"/>
    <col min="7683" max="7683" width="13" style="105" customWidth="1"/>
    <col min="7684" max="7933" width="9.140625" style="105"/>
    <col min="7934" max="7934" width="4.28515625" style="105" customWidth="1"/>
    <col min="7935" max="7935" width="2.28515625" style="105" bestFit="1" customWidth="1"/>
    <col min="7936" max="7936" width="50.140625" style="105" customWidth="1"/>
    <col min="7937" max="7937" width="9.85546875" style="105" customWidth="1"/>
    <col min="7938" max="7938" width="11.85546875" style="105" customWidth="1"/>
    <col min="7939" max="7939" width="13" style="105" customWidth="1"/>
    <col min="7940" max="8189" width="9.140625" style="105"/>
    <col min="8190" max="8190" width="4.28515625" style="105" customWidth="1"/>
    <col min="8191" max="8191" width="2.28515625" style="105" bestFit="1" customWidth="1"/>
    <col min="8192" max="8192" width="50.140625" style="105" customWidth="1"/>
    <col min="8193" max="8193" width="9.85546875" style="105" customWidth="1"/>
    <col min="8194" max="8194" width="11.85546875" style="105" customWidth="1"/>
    <col min="8195" max="8195" width="13" style="105" customWidth="1"/>
    <col min="8196" max="8445" width="9.140625" style="105"/>
    <col min="8446" max="8446" width="4.28515625" style="105" customWidth="1"/>
    <col min="8447" max="8447" width="2.28515625" style="105" bestFit="1" customWidth="1"/>
    <col min="8448" max="8448" width="50.140625" style="105" customWidth="1"/>
    <col min="8449" max="8449" width="9.85546875" style="105" customWidth="1"/>
    <col min="8450" max="8450" width="11.85546875" style="105" customWidth="1"/>
    <col min="8451" max="8451" width="13" style="105" customWidth="1"/>
    <col min="8452" max="8701" width="9.140625" style="105"/>
    <col min="8702" max="8702" width="4.28515625" style="105" customWidth="1"/>
    <col min="8703" max="8703" width="2.28515625" style="105" bestFit="1" customWidth="1"/>
    <col min="8704" max="8704" width="50.140625" style="105" customWidth="1"/>
    <col min="8705" max="8705" width="9.85546875" style="105" customWidth="1"/>
    <col min="8706" max="8706" width="11.85546875" style="105" customWidth="1"/>
    <col min="8707" max="8707" width="13" style="105" customWidth="1"/>
    <col min="8708" max="8957" width="9.140625" style="105"/>
    <col min="8958" max="8958" width="4.28515625" style="105" customWidth="1"/>
    <col min="8959" max="8959" width="2.28515625" style="105" bestFit="1" customWidth="1"/>
    <col min="8960" max="8960" width="50.140625" style="105" customWidth="1"/>
    <col min="8961" max="8961" width="9.85546875" style="105" customWidth="1"/>
    <col min="8962" max="8962" width="11.85546875" style="105" customWidth="1"/>
    <col min="8963" max="8963" width="13" style="105" customWidth="1"/>
    <col min="8964" max="9213" width="9.140625" style="105"/>
    <col min="9214" max="9214" width="4.28515625" style="105" customWidth="1"/>
    <col min="9215" max="9215" width="2.28515625" style="105" bestFit="1" customWidth="1"/>
    <col min="9216" max="9216" width="50.140625" style="105" customWidth="1"/>
    <col min="9217" max="9217" width="9.85546875" style="105" customWidth="1"/>
    <col min="9218" max="9218" width="11.85546875" style="105" customWidth="1"/>
    <col min="9219" max="9219" width="13" style="105" customWidth="1"/>
    <col min="9220" max="9469" width="9.140625" style="105"/>
    <col min="9470" max="9470" width="4.28515625" style="105" customWidth="1"/>
    <col min="9471" max="9471" width="2.28515625" style="105" bestFit="1" customWidth="1"/>
    <col min="9472" max="9472" width="50.140625" style="105" customWidth="1"/>
    <col min="9473" max="9473" width="9.85546875" style="105" customWidth="1"/>
    <col min="9474" max="9474" width="11.85546875" style="105" customWidth="1"/>
    <col min="9475" max="9475" width="13" style="105" customWidth="1"/>
    <col min="9476" max="9725" width="9.140625" style="105"/>
    <col min="9726" max="9726" width="4.28515625" style="105" customWidth="1"/>
    <col min="9727" max="9727" width="2.28515625" style="105" bestFit="1" customWidth="1"/>
    <col min="9728" max="9728" width="50.140625" style="105" customWidth="1"/>
    <col min="9729" max="9729" width="9.85546875" style="105" customWidth="1"/>
    <col min="9730" max="9730" width="11.85546875" style="105" customWidth="1"/>
    <col min="9731" max="9731" width="13" style="105" customWidth="1"/>
    <col min="9732" max="9981" width="9.140625" style="105"/>
    <col min="9982" max="9982" width="4.28515625" style="105" customWidth="1"/>
    <col min="9983" max="9983" width="2.28515625" style="105" bestFit="1" customWidth="1"/>
    <col min="9984" max="9984" width="50.140625" style="105" customWidth="1"/>
    <col min="9985" max="9985" width="9.85546875" style="105" customWidth="1"/>
    <col min="9986" max="9986" width="11.85546875" style="105" customWidth="1"/>
    <col min="9987" max="9987" width="13" style="105" customWidth="1"/>
    <col min="9988" max="10237" width="9.140625" style="105"/>
    <col min="10238" max="10238" width="4.28515625" style="105" customWidth="1"/>
    <col min="10239" max="10239" width="2.28515625" style="105" bestFit="1" customWidth="1"/>
    <col min="10240" max="10240" width="50.140625" style="105" customWidth="1"/>
    <col min="10241" max="10241" width="9.85546875" style="105" customWidth="1"/>
    <col min="10242" max="10242" width="11.85546875" style="105" customWidth="1"/>
    <col min="10243" max="10243" width="13" style="105" customWidth="1"/>
    <col min="10244" max="10493" width="9.140625" style="105"/>
    <col min="10494" max="10494" width="4.28515625" style="105" customWidth="1"/>
    <col min="10495" max="10495" width="2.28515625" style="105" bestFit="1" customWidth="1"/>
    <col min="10496" max="10496" width="50.140625" style="105" customWidth="1"/>
    <col min="10497" max="10497" width="9.85546875" style="105" customWidth="1"/>
    <col min="10498" max="10498" width="11.85546875" style="105" customWidth="1"/>
    <col min="10499" max="10499" width="13" style="105" customWidth="1"/>
    <col min="10500" max="10749" width="9.140625" style="105"/>
    <col min="10750" max="10750" width="4.28515625" style="105" customWidth="1"/>
    <col min="10751" max="10751" width="2.28515625" style="105" bestFit="1" customWidth="1"/>
    <col min="10752" max="10752" width="50.140625" style="105" customWidth="1"/>
    <col min="10753" max="10753" width="9.85546875" style="105" customWidth="1"/>
    <col min="10754" max="10754" width="11.85546875" style="105" customWidth="1"/>
    <col min="10755" max="10755" width="13" style="105" customWidth="1"/>
    <col min="10756" max="11005" width="9.140625" style="105"/>
    <col min="11006" max="11006" width="4.28515625" style="105" customWidth="1"/>
    <col min="11007" max="11007" width="2.28515625" style="105" bestFit="1" customWidth="1"/>
    <col min="11008" max="11008" width="50.140625" style="105" customWidth="1"/>
    <col min="11009" max="11009" width="9.85546875" style="105" customWidth="1"/>
    <col min="11010" max="11010" width="11.85546875" style="105" customWidth="1"/>
    <col min="11011" max="11011" width="13" style="105" customWidth="1"/>
    <col min="11012" max="11261" width="9.140625" style="105"/>
    <col min="11262" max="11262" width="4.28515625" style="105" customWidth="1"/>
    <col min="11263" max="11263" width="2.28515625" style="105" bestFit="1" customWidth="1"/>
    <col min="11264" max="11264" width="50.140625" style="105" customWidth="1"/>
    <col min="11265" max="11265" width="9.85546875" style="105" customWidth="1"/>
    <col min="11266" max="11266" width="11.85546875" style="105" customWidth="1"/>
    <col min="11267" max="11267" width="13" style="105" customWidth="1"/>
    <col min="11268" max="11517" width="9.140625" style="105"/>
    <col min="11518" max="11518" width="4.28515625" style="105" customWidth="1"/>
    <col min="11519" max="11519" width="2.28515625" style="105" bestFit="1" customWidth="1"/>
    <col min="11520" max="11520" width="50.140625" style="105" customWidth="1"/>
    <col min="11521" max="11521" width="9.85546875" style="105" customWidth="1"/>
    <col min="11522" max="11522" width="11.85546875" style="105" customWidth="1"/>
    <col min="11523" max="11523" width="13" style="105" customWidth="1"/>
    <col min="11524" max="11773" width="9.140625" style="105"/>
    <col min="11774" max="11774" width="4.28515625" style="105" customWidth="1"/>
    <col min="11775" max="11775" width="2.28515625" style="105" bestFit="1" customWidth="1"/>
    <col min="11776" max="11776" width="50.140625" style="105" customWidth="1"/>
    <col min="11777" max="11777" width="9.85546875" style="105" customWidth="1"/>
    <col min="11778" max="11778" width="11.85546875" style="105" customWidth="1"/>
    <col min="11779" max="11779" width="13" style="105" customWidth="1"/>
    <col min="11780" max="12029" width="9.140625" style="105"/>
    <col min="12030" max="12030" width="4.28515625" style="105" customWidth="1"/>
    <col min="12031" max="12031" width="2.28515625" style="105" bestFit="1" customWidth="1"/>
    <col min="12032" max="12032" width="50.140625" style="105" customWidth="1"/>
    <col min="12033" max="12033" width="9.85546875" style="105" customWidth="1"/>
    <col min="12034" max="12034" width="11.85546875" style="105" customWidth="1"/>
    <col min="12035" max="12035" width="13" style="105" customWidth="1"/>
    <col min="12036" max="12285" width="9.140625" style="105"/>
    <col min="12286" max="12286" width="4.28515625" style="105" customWidth="1"/>
    <col min="12287" max="12287" width="2.28515625" style="105" bestFit="1" customWidth="1"/>
    <col min="12288" max="12288" width="50.140625" style="105" customWidth="1"/>
    <col min="12289" max="12289" width="9.85546875" style="105" customWidth="1"/>
    <col min="12290" max="12290" width="11.85546875" style="105" customWidth="1"/>
    <col min="12291" max="12291" width="13" style="105" customWidth="1"/>
    <col min="12292" max="12541" width="9.140625" style="105"/>
    <col min="12542" max="12542" width="4.28515625" style="105" customWidth="1"/>
    <col min="12543" max="12543" width="2.28515625" style="105" bestFit="1" customWidth="1"/>
    <col min="12544" max="12544" width="50.140625" style="105" customWidth="1"/>
    <col min="12545" max="12545" width="9.85546875" style="105" customWidth="1"/>
    <col min="12546" max="12546" width="11.85546875" style="105" customWidth="1"/>
    <col min="12547" max="12547" width="13" style="105" customWidth="1"/>
    <col min="12548" max="12797" width="9.140625" style="105"/>
    <col min="12798" max="12798" width="4.28515625" style="105" customWidth="1"/>
    <col min="12799" max="12799" width="2.28515625" style="105" bestFit="1" customWidth="1"/>
    <col min="12800" max="12800" width="50.140625" style="105" customWidth="1"/>
    <col min="12801" max="12801" width="9.85546875" style="105" customWidth="1"/>
    <col min="12802" max="12802" width="11.85546875" style="105" customWidth="1"/>
    <col min="12803" max="12803" width="13" style="105" customWidth="1"/>
    <col min="12804" max="13053" width="9.140625" style="105"/>
    <col min="13054" max="13054" width="4.28515625" style="105" customWidth="1"/>
    <col min="13055" max="13055" width="2.28515625" style="105" bestFit="1" customWidth="1"/>
    <col min="13056" max="13056" width="50.140625" style="105" customWidth="1"/>
    <col min="13057" max="13057" width="9.85546875" style="105" customWidth="1"/>
    <col min="13058" max="13058" width="11.85546875" style="105" customWidth="1"/>
    <col min="13059" max="13059" width="13" style="105" customWidth="1"/>
    <col min="13060" max="13309" width="9.140625" style="105"/>
    <col min="13310" max="13310" width="4.28515625" style="105" customWidth="1"/>
    <col min="13311" max="13311" width="2.28515625" style="105" bestFit="1" customWidth="1"/>
    <col min="13312" max="13312" width="50.140625" style="105" customWidth="1"/>
    <col min="13313" max="13313" width="9.85546875" style="105" customWidth="1"/>
    <col min="13314" max="13314" width="11.85546875" style="105" customWidth="1"/>
    <col min="13315" max="13315" width="13" style="105" customWidth="1"/>
    <col min="13316" max="13565" width="9.140625" style="105"/>
    <col min="13566" max="13566" width="4.28515625" style="105" customWidth="1"/>
    <col min="13567" max="13567" width="2.28515625" style="105" bestFit="1" customWidth="1"/>
    <col min="13568" max="13568" width="50.140625" style="105" customWidth="1"/>
    <col min="13569" max="13569" width="9.85546875" style="105" customWidth="1"/>
    <col min="13570" max="13570" width="11.85546875" style="105" customWidth="1"/>
    <col min="13571" max="13571" width="13" style="105" customWidth="1"/>
    <col min="13572" max="13821" width="9.140625" style="105"/>
    <col min="13822" max="13822" width="4.28515625" style="105" customWidth="1"/>
    <col min="13823" max="13823" width="2.28515625" style="105" bestFit="1" customWidth="1"/>
    <col min="13824" max="13824" width="50.140625" style="105" customWidth="1"/>
    <col min="13825" max="13825" width="9.85546875" style="105" customWidth="1"/>
    <col min="13826" max="13826" width="11.85546875" style="105" customWidth="1"/>
    <col min="13827" max="13827" width="13" style="105" customWidth="1"/>
    <col min="13828" max="14077" width="9.140625" style="105"/>
    <col min="14078" max="14078" width="4.28515625" style="105" customWidth="1"/>
    <col min="14079" max="14079" width="2.28515625" style="105" bestFit="1" customWidth="1"/>
    <col min="14080" max="14080" width="50.140625" style="105" customWidth="1"/>
    <col min="14081" max="14081" width="9.85546875" style="105" customWidth="1"/>
    <col min="14082" max="14082" width="11.85546875" style="105" customWidth="1"/>
    <col min="14083" max="14083" width="13" style="105" customWidth="1"/>
    <col min="14084" max="14333" width="9.140625" style="105"/>
    <col min="14334" max="14334" width="4.28515625" style="105" customWidth="1"/>
    <col min="14335" max="14335" width="2.28515625" style="105" bestFit="1" customWidth="1"/>
    <col min="14336" max="14336" width="50.140625" style="105" customWidth="1"/>
    <col min="14337" max="14337" width="9.85546875" style="105" customWidth="1"/>
    <col min="14338" max="14338" width="11.85546875" style="105" customWidth="1"/>
    <col min="14339" max="14339" width="13" style="105" customWidth="1"/>
    <col min="14340" max="14589" width="9.140625" style="105"/>
    <col min="14590" max="14590" width="4.28515625" style="105" customWidth="1"/>
    <col min="14591" max="14591" width="2.28515625" style="105" bestFit="1" customWidth="1"/>
    <col min="14592" max="14592" width="50.140625" style="105" customWidth="1"/>
    <col min="14593" max="14593" width="9.85546875" style="105" customWidth="1"/>
    <col min="14594" max="14594" width="11.85546875" style="105" customWidth="1"/>
    <col min="14595" max="14595" width="13" style="105" customWidth="1"/>
    <col min="14596" max="14845" width="9.140625" style="105"/>
    <col min="14846" max="14846" width="4.28515625" style="105" customWidth="1"/>
    <col min="14847" max="14847" width="2.28515625" style="105" bestFit="1" customWidth="1"/>
    <col min="14848" max="14848" width="50.140625" style="105" customWidth="1"/>
    <col min="14849" max="14849" width="9.85546875" style="105" customWidth="1"/>
    <col min="14850" max="14850" width="11.85546875" style="105" customWidth="1"/>
    <col min="14851" max="14851" width="13" style="105" customWidth="1"/>
    <col min="14852" max="15101" width="9.140625" style="105"/>
    <col min="15102" max="15102" width="4.28515625" style="105" customWidth="1"/>
    <col min="15103" max="15103" width="2.28515625" style="105" bestFit="1" customWidth="1"/>
    <col min="15104" max="15104" width="50.140625" style="105" customWidth="1"/>
    <col min="15105" max="15105" width="9.85546875" style="105" customWidth="1"/>
    <col min="15106" max="15106" width="11.85546875" style="105" customWidth="1"/>
    <col min="15107" max="15107" width="13" style="105" customWidth="1"/>
    <col min="15108" max="15357" width="9.140625" style="105"/>
    <col min="15358" max="15358" width="4.28515625" style="105" customWidth="1"/>
    <col min="15359" max="15359" width="2.28515625" style="105" bestFit="1" customWidth="1"/>
    <col min="15360" max="15360" width="50.140625" style="105" customWidth="1"/>
    <col min="15361" max="15361" width="9.85546875" style="105" customWidth="1"/>
    <col min="15362" max="15362" width="11.85546875" style="105" customWidth="1"/>
    <col min="15363" max="15363" width="13" style="105" customWidth="1"/>
    <col min="15364" max="15613" width="9.140625" style="105"/>
    <col min="15614" max="15614" width="4.28515625" style="105" customWidth="1"/>
    <col min="15615" max="15615" width="2.28515625" style="105" bestFit="1" customWidth="1"/>
    <col min="15616" max="15616" width="50.140625" style="105" customWidth="1"/>
    <col min="15617" max="15617" width="9.85546875" style="105" customWidth="1"/>
    <col min="15618" max="15618" width="11.85546875" style="105" customWidth="1"/>
    <col min="15619" max="15619" width="13" style="105" customWidth="1"/>
    <col min="15620" max="15869" width="9.140625" style="105"/>
    <col min="15870" max="15870" width="4.28515625" style="105" customWidth="1"/>
    <col min="15871" max="15871" width="2.28515625" style="105" bestFit="1" customWidth="1"/>
    <col min="15872" max="15872" width="50.140625" style="105" customWidth="1"/>
    <col min="15873" max="15873" width="9.85546875" style="105" customWidth="1"/>
    <col min="15874" max="15874" width="11.85546875" style="105" customWidth="1"/>
    <col min="15875" max="15875" width="13" style="105" customWidth="1"/>
    <col min="15876" max="16125" width="9.140625" style="105"/>
    <col min="16126" max="16126" width="4.28515625" style="105" customWidth="1"/>
    <col min="16127" max="16127" width="2.28515625" style="105" bestFit="1" customWidth="1"/>
    <col min="16128" max="16128" width="50.140625" style="105" customWidth="1"/>
    <col min="16129" max="16129" width="9.85546875" style="105" customWidth="1"/>
    <col min="16130" max="16130" width="11.85546875" style="105" customWidth="1"/>
    <col min="16131" max="16131" width="13" style="105" customWidth="1"/>
    <col min="16132" max="16384" width="9.140625" style="105"/>
  </cols>
  <sheetData>
    <row r="1" spans="1:6" ht="21" customHeight="1">
      <c r="A1" s="1323" t="s">
        <v>1233</v>
      </c>
      <c r="B1" s="1323"/>
      <c r="C1" s="1323"/>
      <c r="D1" s="1323"/>
      <c r="E1" s="1323"/>
      <c r="F1" s="1323"/>
    </row>
    <row r="2" spans="1:6" ht="21" customHeight="1">
      <c r="A2" s="472" t="s">
        <v>577</v>
      </c>
      <c r="B2" s="472"/>
      <c r="C2" s="472"/>
      <c r="D2" s="479"/>
      <c r="E2" s="1322" t="s">
        <v>519</v>
      </c>
      <c r="F2" s="1322"/>
    </row>
    <row r="3" spans="1:6" ht="21" customHeight="1">
      <c r="A3" s="118"/>
      <c r="B3" s="106"/>
      <c r="C3" s="107"/>
      <c r="D3" s="108"/>
      <c r="E3" s="1342" t="s">
        <v>181</v>
      </c>
      <c r="F3" s="1342"/>
    </row>
    <row r="4" spans="1:6" s="117" customFormat="1" ht="31.5">
      <c r="A4" s="1348" t="s">
        <v>48</v>
      </c>
      <c r="B4" s="1349"/>
      <c r="C4" s="1350"/>
      <c r="D4" s="462" t="s">
        <v>1153</v>
      </c>
      <c r="E4" s="754" t="s">
        <v>486</v>
      </c>
      <c r="F4" s="463" t="s">
        <v>1234</v>
      </c>
    </row>
    <row r="5" spans="1:6" s="117" customFormat="1" ht="36.75" customHeight="1">
      <c r="A5" s="1351"/>
      <c r="B5" s="1352"/>
      <c r="C5" s="1353"/>
      <c r="D5" s="462" t="s">
        <v>2593</v>
      </c>
      <c r="E5" s="88" t="s">
        <v>1915</v>
      </c>
      <c r="F5" s="88" t="s">
        <v>1252</v>
      </c>
    </row>
    <row r="6" spans="1:6">
      <c r="A6" s="1345" t="s">
        <v>161</v>
      </c>
      <c r="B6" s="109"/>
      <c r="C6" s="109" t="s">
        <v>573</v>
      </c>
      <c r="D6" s="109"/>
      <c r="E6" s="109"/>
      <c r="F6" s="109"/>
    </row>
    <row r="7" spans="1:6">
      <c r="A7" s="1346"/>
      <c r="B7" s="1343" t="s">
        <v>327</v>
      </c>
      <c r="C7" s="111" t="s">
        <v>870</v>
      </c>
      <c r="D7" s="1354" t="s">
        <v>1785</v>
      </c>
      <c r="E7" s="1355"/>
      <c r="F7" s="1356"/>
    </row>
    <row r="8" spans="1:6">
      <c r="A8" s="1346"/>
      <c r="B8" s="1344"/>
      <c r="C8" s="111" t="s">
        <v>546</v>
      </c>
      <c r="D8" s="1357"/>
      <c r="E8" s="1358"/>
      <c r="F8" s="1359"/>
    </row>
    <row r="9" spans="1:6">
      <c r="A9" s="1346"/>
      <c r="B9" s="110" t="s">
        <v>328</v>
      </c>
      <c r="C9" s="112" t="s">
        <v>574</v>
      </c>
      <c r="D9" s="1357"/>
      <c r="E9" s="1358"/>
      <c r="F9" s="1359"/>
    </row>
    <row r="10" spans="1:6">
      <c r="A10" s="1346"/>
      <c r="B10" s="110" t="s">
        <v>333</v>
      </c>
      <c r="C10" s="112" t="s">
        <v>574</v>
      </c>
      <c r="D10" s="1357"/>
      <c r="E10" s="1358"/>
      <c r="F10" s="1359"/>
    </row>
    <row r="11" spans="1:6">
      <c r="A11" s="1346"/>
      <c r="B11" s="110" t="s">
        <v>451</v>
      </c>
      <c r="C11" s="112" t="s">
        <v>574</v>
      </c>
      <c r="D11" s="1357"/>
      <c r="E11" s="1358"/>
      <c r="F11" s="1359"/>
    </row>
    <row r="12" spans="1:6">
      <c r="A12" s="1347"/>
      <c r="B12" s="110"/>
      <c r="C12" s="112"/>
      <c r="D12" s="1357"/>
      <c r="E12" s="1358"/>
      <c r="F12" s="1359"/>
    </row>
    <row r="13" spans="1:6">
      <c r="A13" s="1338" t="s">
        <v>166</v>
      </c>
      <c r="B13" s="113"/>
      <c r="C13" s="109" t="s">
        <v>575</v>
      </c>
      <c r="D13" s="1357"/>
      <c r="E13" s="1358"/>
      <c r="F13" s="1359"/>
    </row>
    <row r="14" spans="1:6">
      <c r="A14" s="1339"/>
      <c r="B14" s="114"/>
      <c r="C14" s="111" t="s">
        <v>547</v>
      </c>
      <c r="D14" s="1357"/>
      <c r="E14" s="1358"/>
      <c r="F14" s="1359"/>
    </row>
    <row r="15" spans="1:6">
      <c r="A15" s="1339"/>
      <c r="B15" s="114" t="s">
        <v>327</v>
      </c>
      <c r="C15" s="112" t="s">
        <v>574</v>
      </c>
      <c r="D15" s="1357"/>
      <c r="E15" s="1358"/>
      <c r="F15" s="1359"/>
    </row>
    <row r="16" spans="1:6">
      <c r="A16" s="1339"/>
      <c r="B16" s="114" t="s">
        <v>328</v>
      </c>
      <c r="C16" s="112" t="s">
        <v>574</v>
      </c>
      <c r="D16" s="1357"/>
      <c r="E16" s="1358"/>
      <c r="F16" s="1359"/>
    </row>
    <row r="17" spans="1:6">
      <c r="A17" s="1340"/>
      <c r="B17" s="114" t="s">
        <v>333</v>
      </c>
      <c r="C17" s="112" t="s">
        <v>574</v>
      </c>
      <c r="D17" s="1357"/>
      <c r="E17" s="1358"/>
      <c r="F17" s="1359"/>
    </row>
    <row r="18" spans="1:6">
      <c r="A18" s="1338" t="s">
        <v>208</v>
      </c>
      <c r="B18" s="113"/>
      <c r="C18" s="115" t="s">
        <v>548</v>
      </c>
      <c r="D18" s="1357"/>
      <c r="E18" s="1358"/>
      <c r="F18" s="1359"/>
    </row>
    <row r="19" spans="1:6">
      <c r="A19" s="1339"/>
      <c r="B19" s="114"/>
      <c r="C19" s="111"/>
      <c r="D19" s="1357"/>
      <c r="E19" s="1358"/>
      <c r="F19" s="1359"/>
    </row>
    <row r="20" spans="1:6">
      <c r="A20" s="1339"/>
      <c r="B20" s="114"/>
      <c r="C20" s="111" t="s">
        <v>549</v>
      </c>
      <c r="D20" s="1357"/>
      <c r="E20" s="1358"/>
      <c r="F20" s="1359"/>
    </row>
    <row r="21" spans="1:6">
      <c r="A21" s="1339"/>
      <c r="B21" s="114" t="s">
        <v>327</v>
      </c>
      <c r="C21" s="112" t="s">
        <v>574</v>
      </c>
      <c r="D21" s="1357"/>
      <c r="E21" s="1358"/>
      <c r="F21" s="1359"/>
    </row>
    <row r="22" spans="1:6">
      <c r="A22" s="1339"/>
      <c r="B22" s="114" t="s">
        <v>328</v>
      </c>
      <c r="C22" s="112" t="s">
        <v>574</v>
      </c>
      <c r="D22" s="1357"/>
      <c r="E22" s="1358"/>
      <c r="F22" s="1359"/>
    </row>
    <row r="23" spans="1:6">
      <c r="A23" s="1339"/>
      <c r="B23" s="114" t="s">
        <v>333</v>
      </c>
      <c r="C23" s="112" t="s">
        <v>574</v>
      </c>
      <c r="D23" s="1357"/>
      <c r="E23" s="1358"/>
      <c r="F23" s="1359"/>
    </row>
    <row r="24" spans="1:6" ht="33">
      <c r="A24" s="1340"/>
      <c r="B24" s="113"/>
      <c r="C24" s="115" t="s">
        <v>550</v>
      </c>
      <c r="D24" s="1357"/>
      <c r="E24" s="1358"/>
      <c r="F24" s="1359"/>
    </row>
    <row r="25" spans="1:6">
      <c r="A25" s="119" t="s">
        <v>209</v>
      </c>
      <c r="B25" s="113"/>
      <c r="C25" s="115" t="s">
        <v>576</v>
      </c>
      <c r="D25" s="1357"/>
      <c r="E25" s="1358"/>
      <c r="F25" s="1359"/>
    </row>
    <row r="26" spans="1:6" ht="33">
      <c r="A26" s="120" t="s">
        <v>210</v>
      </c>
      <c r="B26" s="114"/>
      <c r="C26" s="112" t="s">
        <v>551</v>
      </c>
      <c r="D26" s="1357"/>
      <c r="E26" s="1358"/>
      <c r="F26" s="1359"/>
    </row>
    <row r="27" spans="1:6" ht="33">
      <c r="A27" s="119" t="s">
        <v>211</v>
      </c>
      <c r="B27" s="113"/>
      <c r="C27" s="115" t="s">
        <v>552</v>
      </c>
      <c r="D27" s="1360"/>
      <c r="E27" s="1361"/>
      <c r="F27" s="1362"/>
    </row>
    <row r="31" spans="1:6">
      <c r="E31" s="1341" t="s">
        <v>427</v>
      </c>
      <c r="F31" s="1341"/>
    </row>
  </sheetData>
  <mergeCells count="10">
    <mergeCell ref="A1:F1"/>
    <mergeCell ref="A18:A24"/>
    <mergeCell ref="E31:F31"/>
    <mergeCell ref="E3:F3"/>
    <mergeCell ref="B7:B8"/>
    <mergeCell ref="A6:A12"/>
    <mergeCell ref="A4:C5"/>
    <mergeCell ref="A13:A17"/>
    <mergeCell ref="D7:F27"/>
    <mergeCell ref="E2:F2"/>
  </mergeCells>
  <pageMargins left="0.28000000000000003" right="0.31" top="0.74803149606299213" bottom="0.74803149606299213" header="0.31496062992125984" footer="0.31496062992125984"/>
  <pageSetup paperSize="9" scale="8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4"/>
  <sheetViews>
    <sheetView showGridLines="0" view="pageBreakPreview" zoomScale="60" zoomScaleNormal="70" workbookViewId="0">
      <selection activeCell="G67" sqref="G67"/>
    </sheetView>
  </sheetViews>
  <sheetFormatPr defaultRowHeight="15"/>
  <cols>
    <col min="1" max="1" width="14.7109375" style="323" customWidth="1"/>
    <col min="2" max="2" width="25.7109375" style="323" customWidth="1"/>
    <col min="3" max="3" width="18.28515625" style="323" customWidth="1"/>
    <col min="4" max="4" width="12.85546875" style="323" customWidth="1"/>
    <col min="5" max="5" width="18.28515625" style="323" customWidth="1"/>
    <col min="6" max="6" width="12.85546875" style="323" customWidth="1"/>
    <col min="7" max="7" width="21" style="323" customWidth="1"/>
    <col min="8" max="8" width="17.5703125" style="323" customWidth="1"/>
    <col min="9" max="249" width="9.140625" style="323"/>
    <col min="250" max="250" width="10.85546875" style="323" customWidth="1"/>
    <col min="251" max="251" width="31.42578125" style="323" customWidth="1"/>
    <col min="252" max="252" width="13.140625" style="323" customWidth="1"/>
    <col min="253" max="253" width="13.28515625" style="323" customWidth="1"/>
    <col min="254" max="254" width="14" style="323" customWidth="1"/>
    <col min="255" max="255" width="12.42578125" style="323" customWidth="1"/>
    <col min="256" max="256" width="17" style="323" customWidth="1"/>
    <col min="257" max="505" width="9.140625" style="323"/>
    <col min="506" max="506" width="10.85546875" style="323" customWidth="1"/>
    <col min="507" max="507" width="31.42578125" style="323" customWidth="1"/>
    <col min="508" max="508" width="13.140625" style="323" customWidth="1"/>
    <col min="509" max="509" width="13.28515625" style="323" customWidth="1"/>
    <col min="510" max="510" width="14" style="323" customWidth="1"/>
    <col min="511" max="511" width="12.42578125" style="323" customWidth="1"/>
    <col min="512" max="512" width="17" style="323" customWidth="1"/>
    <col min="513" max="761" width="9.140625" style="323"/>
    <col min="762" max="762" width="10.85546875" style="323" customWidth="1"/>
    <col min="763" max="763" width="31.42578125" style="323" customWidth="1"/>
    <col min="764" max="764" width="13.140625" style="323" customWidth="1"/>
    <col min="765" max="765" width="13.28515625" style="323" customWidth="1"/>
    <col min="766" max="766" width="14" style="323" customWidth="1"/>
    <col min="767" max="767" width="12.42578125" style="323" customWidth="1"/>
    <col min="768" max="768" width="17" style="323" customWidth="1"/>
    <col min="769" max="1017" width="9.140625" style="323"/>
    <col min="1018" max="1018" width="10.85546875" style="323" customWidth="1"/>
    <col min="1019" max="1019" width="31.42578125" style="323" customWidth="1"/>
    <col min="1020" max="1020" width="13.140625" style="323" customWidth="1"/>
    <col min="1021" max="1021" width="13.28515625" style="323" customWidth="1"/>
    <col min="1022" max="1022" width="14" style="323" customWidth="1"/>
    <col min="1023" max="1023" width="12.42578125" style="323" customWidth="1"/>
    <col min="1024" max="1024" width="17" style="323" customWidth="1"/>
    <col min="1025" max="1273" width="9.140625" style="323"/>
    <col min="1274" max="1274" width="10.85546875" style="323" customWidth="1"/>
    <col min="1275" max="1275" width="31.42578125" style="323" customWidth="1"/>
    <col min="1276" max="1276" width="13.140625" style="323" customWidth="1"/>
    <col min="1277" max="1277" width="13.28515625" style="323" customWidth="1"/>
    <col min="1278" max="1278" width="14" style="323" customWidth="1"/>
    <col min="1279" max="1279" width="12.42578125" style="323" customWidth="1"/>
    <col min="1280" max="1280" width="17" style="323" customWidth="1"/>
    <col min="1281" max="1529" width="9.140625" style="323"/>
    <col min="1530" max="1530" width="10.85546875" style="323" customWidth="1"/>
    <col min="1531" max="1531" width="31.42578125" style="323" customWidth="1"/>
    <col min="1532" max="1532" width="13.140625" style="323" customWidth="1"/>
    <col min="1533" max="1533" width="13.28515625" style="323" customWidth="1"/>
    <col min="1534" max="1534" width="14" style="323" customWidth="1"/>
    <col min="1535" max="1535" width="12.42578125" style="323" customWidth="1"/>
    <col min="1536" max="1536" width="17" style="323" customWidth="1"/>
    <col min="1537" max="1785" width="9.140625" style="323"/>
    <col min="1786" max="1786" width="10.85546875" style="323" customWidth="1"/>
    <col min="1787" max="1787" width="31.42578125" style="323" customWidth="1"/>
    <col min="1788" max="1788" width="13.140625" style="323" customWidth="1"/>
    <col min="1789" max="1789" width="13.28515625" style="323" customWidth="1"/>
    <col min="1790" max="1790" width="14" style="323" customWidth="1"/>
    <col min="1791" max="1791" width="12.42578125" style="323" customWidth="1"/>
    <col min="1792" max="1792" width="17" style="323" customWidth="1"/>
    <col min="1793" max="2041" width="9.140625" style="323"/>
    <col min="2042" max="2042" width="10.85546875" style="323" customWidth="1"/>
    <col min="2043" max="2043" width="31.42578125" style="323" customWidth="1"/>
    <col min="2044" max="2044" width="13.140625" style="323" customWidth="1"/>
    <col min="2045" max="2045" width="13.28515625" style="323" customWidth="1"/>
    <col min="2046" max="2046" width="14" style="323" customWidth="1"/>
    <col min="2047" max="2047" width="12.42578125" style="323" customWidth="1"/>
    <col min="2048" max="2048" width="17" style="323" customWidth="1"/>
    <col min="2049" max="2297" width="9.140625" style="323"/>
    <col min="2298" max="2298" width="10.85546875" style="323" customWidth="1"/>
    <col min="2299" max="2299" width="31.42578125" style="323" customWidth="1"/>
    <col min="2300" max="2300" width="13.140625" style="323" customWidth="1"/>
    <col min="2301" max="2301" width="13.28515625" style="323" customWidth="1"/>
    <col min="2302" max="2302" width="14" style="323" customWidth="1"/>
    <col min="2303" max="2303" width="12.42578125" style="323" customWidth="1"/>
    <col min="2304" max="2304" width="17" style="323" customWidth="1"/>
    <col min="2305" max="2553" width="9.140625" style="323"/>
    <col min="2554" max="2554" width="10.85546875" style="323" customWidth="1"/>
    <col min="2555" max="2555" width="31.42578125" style="323" customWidth="1"/>
    <col min="2556" max="2556" width="13.140625" style="323" customWidth="1"/>
    <col min="2557" max="2557" width="13.28515625" style="323" customWidth="1"/>
    <col min="2558" max="2558" width="14" style="323" customWidth="1"/>
    <col min="2559" max="2559" width="12.42578125" style="323" customWidth="1"/>
    <col min="2560" max="2560" width="17" style="323" customWidth="1"/>
    <col min="2561" max="2809" width="9.140625" style="323"/>
    <col min="2810" max="2810" width="10.85546875" style="323" customWidth="1"/>
    <col min="2811" max="2811" width="31.42578125" style="323" customWidth="1"/>
    <col min="2812" max="2812" width="13.140625" style="323" customWidth="1"/>
    <col min="2813" max="2813" width="13.28515625" style="323" customWidth="1"/>
    <col min="2814" max="2814" width="14" style="323" customWidth="1"/>
    <col min="2815" max="2815" width="12.42578125" style="323" customWidth="1"/>
    <col min="2816" max="2816" width="17" style="323" customWidth="1"/>
    <col min="2817" max="3065" width="9.140625" style="323"/>
    <col min="3066" max="3066" width="10.85546875" style="323" customWidth="1"/>
    <col min="3067" max="3067" width="31.42578125" style="323" customWidth="1"/>
    <col min="3068" max="3068" width="13.140625" style="323" customWidth="1"/>
    <col min="3069" max="3069" width="13.28515625" style="323" customWidth="1"/>
    <col min="3070" max="3070" width="14" style="323" customWidth="1"/>
    <col min="3071" max="3071" width="12.42578125" style="323" customWidth="1"/>
    <col min="3072" max="3072" width="17" style="323" customWidth="1"/>
    <col min="3073" max="3321" width="9.140625" style="323"/>
    <col min="3322" max="3322" width="10.85546875" style="323" customWidth="1"/>
    <col min="3323" max="3323" width="31.42578125" style="323" customWidth="1"/>
    <col min="3324" max="3324" width="13.140625" style="323" customWidth="1"/>
    <col min="3325" max="3325" width="13.28515625" style="323" customWidth="1"/>
    <col min="3326" max="3326" width="14" style="323" customWidth="1"/>
    <col min="3327" max="3327" width="12.42578125" style="323" customWidth="1"/>
    <col min="3328" max="3328" width="17" style="323" customWidth="1"/>
    <col min="3329" max="3577" width="9.140625" style="323"/>
    <col min="3578" max="3578" width="10.85546875" style="323" customWidth="1"/>
    <col min="3579" max="3579" width="31.42578125" style="323" customWidth="1"/>
    <col min="3580" max="3580" width="13.140625" style="323" customWidth="1"/>
    <col min="3581" max="3581" width="13.28515625" style="323" customWidth="1"/>
    <col min="3582" max="3582" width="14" style="323" customWidth="1"/>
    <col min="3583" max="3583" width="12.42578125" style="323" customWidth="1"/>
    <col min="3584" max="3584" width="17" style="323" customWidth="1"/>
    <col min="3585" max="3833" width="9.140625" style="323"/>
    <col min="3834" max="3834" width="10.85546875" style="323" customWidth="1"/>
    <col min="3835" max="3835" width="31.42578125" style="323" customWidth="1"/>
    <col min="3836" max="3836" width="13.140625" style="323" customWidth="1"/>
    <col min="3837" max="3837" width="13.28515625" style="323" customWidth="1"/>
    <col min="3838" max="3838" width="14" style="323" customWidth="1"/>
    <col min="3839" max="3839" width="12.42578125" style="323" customWidth="1"/>
    <col min="3840" max="3840" width="17" style="323" customWidth="1"/>
    <col min="3841" max="4089" width="9.140625" style="323"/>
    <col min="4090" max="4090" width="10.85546875" style="323" customWidth="1"/>
    <col min="4091" max="4091" width="31.42578125" style="323" customWidth="1"/>
    <col min="4092" max="4092" width="13.140625" style="323" customWidth="1"/>
    <col min="4093" max="4093" width="13.28515625" style="323" customWidth="1"/>
    <col min="4094" max="4094" width="14" style="323" customWidth="1"/>
    <col min="4095" max="4095" width="12.42578125" style="323" customWidth="1"/>
    <col min="4096" max="4096" width="17" style="323" customWidth="1"/>
    <col min="4097" max="4345" width="9.140625" style="323"/>
    <col min="4346" max="4346" width="10.85546875" style="323" customWidth="1"/>
    <col min="4347" max="4347" width="31.42578125" style="323" customWidth="1"/>
    <col min="4348" max="4348" width="13.140625" style="323" customWidth="1"/>
    <col min="4349" max="4349" width="13.28515625" style="323" customWidth="1"/>
    <col min="4350" max="4350" width="14" style="323" customWidth="1"/>
    <col min="4351" max="4351" width="12.42578125" style="323" customWidth="1"/>
    <col min="4352" max="4352" width="17" style="323" customWidth="1"/>
    <col min="4353" max="4601" width="9.140625" style="323"/>
    <col min="4602" max="4602" width="10.85546875" style="323" customWidth="1"/>
    <col min="4603" max="4603" width="31.42578125" style="323" customWidth="1"/>
    <col min="4604" max="4604" width="13.140625" style="323" customWidth="1"/>
    <col min="4605" max="4605" width="13.28515625" style="323" customWidth="1"/>
    <col min="4606" max="4606" width="14" style="323" customWidth="1"/>
    <col min="4607" max="4607" width="12.42578125" style="323" customWidth="1"/>
    <col min="4608" max="4608" width="17" style="323" customWidth="1"/>
    <col min="4609" max="4857" width="9.140625" style="323"/>
    <col min="4858" max="4858" width="10.85546875" style="323" customWidth="1"/>
    <col min="4859" max="4859" width="31.42578125" style="323" customWidth="1"/>
    <col min="4860" max="4860" width="13.140625" style="323" customWidth="1"/>
    <col min="4861" max="4861" width="13.28515625" style="323" customWidth="1"/>
    <col min="4862" max="4862" width="14" style="323" customWidth="1"/>
    <col min="4863" max="4863" width="12.42578125" style="323" customWidth="1"/>
    <col min="4864" max="4864" width="17" style="323" customWidth="1"/>
    <col min="4865" max="5113" width="9.140625" style="323"/>
    <col min="5114" max="5114" width="10.85546875" style="323" customWidth="1"/>
    <col min="5115" max="5115" width="31.42578125" style="323" customWidth="1"/>
    <col min="5116" max="5116" width="13.140625" style="323" customWidth="1"/>
    <col min="5117" max="5117" width="13.28515625" style="323" customWidth="1"/>
    <col min="5118" max="5118" width="14" style="323" customWidth="1"/>
    <col min="5119" max="5119" width="12.42578125" style="323" customWidth="1"/>
    <col min="5120" max="5120" width="17" style="323" customWidth="1"/>
    <col min="5121" max="5369" width="9.140625" style="323"/>
    <col min="5370" max="5370" width="10.85546875" style="323" customWidth="1"/>
    <col min="5371" max="5371" width="31.42578125" style="323" customWidth="1"/>
    <col min="5372" max="5372" width="13.140625" style="323" customWidth="1"/>
    <col min="5373" max="5373" width="13.28515625" style="323" customWidth="1"/>
    <col min="5374" max="5374" width="14" style="323" customWidth="1"/>
    <col min="5375" max="5375" width="12.42578125" style="323" customWidth="1"/>
    <col min="5376" max="5376" width="17" style="323" customWidth="1"/>
    <col min="5377" max="5625" width="9.140625" style="323"/>
    <col min="5626" max="5626" width="10.85546875" style="323" customWidth="1"/>
    <col min="5627" max="5627" width="31.42578125" style="323" customWidth="1"/>
    <col min="5628" max="5628" width="13.140625" style="323" customWidth="1"/>
    <col min="5629" max="5629" width="13.28515625" style="323" customWidth="1"/>
    <col min="5630" max="5630" width="14" style="323" customWidth="1"/>
    <col min="5631" max="5631" width="12.42578125" style="323" customWidth="1"/>
    <col min="5632" max="5632" width="17" style="323" customWidth="1"/>
    <col min="5633" max="5881" width="9.140625" style="323"/>
    <col min="5882" max="5882" width="10.85546875" style="323" customWidth="1"/>
    <col min="5883" max="5883" width="31.42578125" style="323" customWidth="1"/>
    <col min="5884" max="5884" width="13.140625" style="323" customWidth="1"/>
    <col min="5885" max="5885" width="13.28515625" style="323" customWidth="1"/>
    <col min="5886" max="5886" width="14" style="323" customWidth="1"/>
    <col min="5887" max="5887" width="12.42578125" style="323" customWidth="1"/>
    <col min="5888" max="5888" width="17" style="323" customWidth="1"/>
    <col min="5889" max="6137" width="9.140625" style="323"/>
    <col min="6138" max="6138" width="10.85546875" style="323" customWidth="1"/>
    <col min="6139" max="6139" width="31.42578125" style="323" customWidth="1"/>
    <col min="6140" max="6140" width="13.140625" style="323" customWidth="1"/>
    <col min="6141" max="6141" width="13.28515625" style="323" customWidth="1"/>
    <col min="6142" max="6142" width="14" style="323" customWidth="1"/>
    <col min="6143" max="6143" width="12.42578125" style="323" customWidth="1"/>
    <col min="6144" max="6144" width="17" style="323" customWidth="1"/>
    <col min="6145" max="6393" width="9.140625" style="323"/>
    <col min="6394" max="6394" width="10.85546875" style="323" customWidth="1"/>
    <col min="6395" max="6395" width="31.42578125" style="323" customWidth="1"/>
    <col min="6396" max="6396" width="13.140625" style="323" customWidth="1"/>
    <col min="6397" max="6397" width="13.28515625" style="323" customWidth="1"/>
    <col min="6398" max="6398" width="14" style="323" customWidth="1"/>
    <col min="6399" max="6399" width="12.42578125" style="323" customWidth="1"/>
    <col min="6400" max="6400" width="17" style="323" customWidth="1"/>
    <col min="6401" max="6649" width="9.140625" style="323"/>
    <col min="6650" max="6650" width="10.85546875" style="323" customWidth="1"/>
    <col min="6651" max="6651" width="31.42578125" style="323" customWidth="1"/>
    <col min="6652" max="6652" width="13.140625" style="323" customWidth="1"/>
    <col min="6653" max="6653" width="13.28515625" style="323" customWidth="1"/>
    <col min="6654" max="6654" width="14" style="323" customWidth="1"/>
    <col min="6655" max="6655" width="12.42578125" style="323" customWidth="1"/>
    <col min="6656" max="6656" width="17" style="323" customWidth="1"/>
    <col min="6657" max="6905" width="9.140625" style="323"/>
    <col min="6906" max="6906" width="10.85546875" style="323" customWidth="1"/>
    <col min="6907" max="6907" width="31.42578125" style="323" customWidth="1"/>
    <col min="6908" max="6908" width="13.140625" style="323" customWidth="1"/>
    <col min="6909" max="6909" width="13.28515625" style="323" customWidth="1"/>
    <col min="6910" max="6910" width="14" style="323" customWidth="1"/>
    <col min="6911" max="6911" width="12.42578125" style="323" customWidth="1"/>
    <col min="6912" max="6912" width="17" style="323" customWidth="1"/>
    <col min="6913" max="7161" width="9.140625" style="323"/>
    <col min="7162" max="7162" width="10.85546875" style="323" customWidth="1"/>
    <col min="7163" max="7163" width="31.42578125" style="323" customWidth="1"/>
    <col min="7164" max="7164" width="13.140625" style="323" customWidth="1"/>
    <col min="7165" max="7165" width="13.28515625" style="323" customWidth="1"/>
    <col min="7166" max="7166" width="14" style="323" customWidth="1"/>
    <col min="7167" max="7167" width="12.42578125" style="323" customWidth="1"/>
    <col min="7168" max="7168" width="17" style="323" customWidth="1"/>
    <col min="7169" max="7417" width="9.140625" style="323"/>
    <col min="7418" max="7418" width="10.85546875" style="323" customWidth="1"/>
    <col min="7419" max="7419" width="31.42578125" style="323" customWidth="1"/>
    <col min="7420" max="7420" width="13.140625" style="323" customWidth="1"/>
    <col min="7421" max="7421" width="13.28515625" style="323" customWidth="1"/>
    <col min="7422" max="7422" width="14" style="323" customWidth="1"/>
    <col min="7423" max="7423" width="12.42578125" style="323" customWidth="1"/>
    <col min="7424" max="7424" width="17" style="323" customWidth="1"/>
    <col min="7425" max="7673" width="9.140625" style="323"/>
    <col min="7674" max="7674" width="10.85546875" style="323" customWidth="1"/>
    <col min="7675" max="7675" width="31.42578125" style="323" customWidth="1"/>
    <col min="7676" max="7676" width="13.140625" style="323" customWidth="1"/>
    <col min="7677" max="7677" width="13.28515625" style="323" customWidth="1"/>
    <col min="7678" max="7678" width="14" style="323" customWidth="1"/>
    <col min="7679" max="7679" width="12.42578125" style="323" customWidth="1"/>
    <col min="7680" max="7680" width="17" style="323" customWidth="1"/>
    <col min="7681" max="7929" width="9.140625" style="323"/>
    <col min="7930" max="7930" width="10.85546875" style="323" customWidth="1"/>
    <col min="7931" max="7931" width="31.42578125" style="323" customWidth="1"/>
    <col min="7932" max="7932" width="13.140625" style="323" customWidth="1"/>
    <col min="7933" max="7933" width="13.28515625" style="323" customWidth="1"/>
    <col min="7934" max="7934" width="14" style="323" customWidth="1"/>
    <col min="7935" max="7935" width="12.42578125" style="323" customWidth="1"/>
    <col min="7936" max="7936" width="17" style="323" customWidth="1"/>
    <col min="7937" max="8185" width="9.140625" style="323"/>
    <col min="8186" max="8186" width="10.85546875" style="323" customWidth="1"/>
    <col min="8187" max="8187" width="31.42578125" style="323" customWidth="1"/>
    <col min="8188" max="8188" width="13.140625" style="323" customWidth="1"/>
    <col min="8189" max="8189" width="13.28515625" style="323" customWidth="1"/>
    <col min="8190" max="8190" width="14" style="323" customWidth="1"/>
    <col min="8191" max="8191" width="12.42578125" style="323" customWidth="1"/>
    <col min="8192" max="8192" width="17" style="323" customWidth="1"/>
    <col min="8193" max="8441" width="9.140625" style="323"/>
    <col min="8442" max="8442" width="10.85546875" style="323" customWidth="1"/>
    <col min="8443" max="8443" width="31.42578125" style="323" customWidth="1"/>
    <col min="8444" max="8444" width="13.140625" style="323" customWidth="1"/>
    <col min="8445" max="8445" width="13.28515625" style="323" customWidth="1"/>
    <col min="8446" max="8446" width="14" style="323" customWidth="1"/>
    <col min="8447" max="8447" width="12.42578125" style="323" customWidth="1"/>
    <col min="8448" max="8448" width="17" style="323" customWidth="1"/>
    <col min="8449" max="8697" width="9.140625" style="323"/>
    <col min="8698" max="8698" width="10.85546875" style="323" customWidth="1"/>
    <col min="8699" max="8699" width="31.42578125" style="323" customWidth="1"/>
    <col min="8700" max="8700" width="13.140625" style="323" customWidth="1"/>
    <col min="8701" max="8701" width="13.28515625" style="323" customWidth="1"/>
    <col min="8702" max="8702" width="14" style="323" customWidth="1"/>
    <col min="8703" max="8703" width="12.42578125" style="323" customWidth="1"/>
    <col min="8704" max="8704" width="17" style="323" customWidth="1"/>
    <col min="8705" max="8953" width="9.140625" style="323"/>
    <col min="8954" max="8954" width="10.85546875" style="323" customWidth="1"/>
    <col min="8955" max="8955" width="31.42578125" style="323" customWidth="1"/>
    <col min="8956" max="8956" width="13.140625" style="323" customWidth="1"/>
    <col min="8957" max="8957" width="13.28515625" style="323" customWidth="1"/>
    <col min="8958" max="8958" width="14" style="323" customWidth="1"/>
    <col min="8959" max="8959" width="12.42578125" style="323" customWidth="1"/>
    <col min="8960" max="8960" width="17" style="323" customWidth="1"/>
    <col min="8961" max="9209" width="9.140625" style="323"/>
    <col min="9210" max="9210" width="10.85546875" style="323" customWidth="1"/>
    <col min="9211" max="9211" width="31.42578125" style="323" customWidth="1"/>
    <col min="9212" max="9212" width="13.140625" style="323" customWidth="1"/>
    <col min="9213" max="9213" width="13.28515625" style="323" customWidth="1"/>
    <col min="9214" max="9214" width="14" style="323" customWidth="1"/>
    <col min="9215" max="9215" width="12.42578125" style="323" customWidth="1"/>
    <col min="9216" max="9216" width="17" style="323" customWidth="1"/>
    <col min="9217" max="9465" width="9.140625" style="323"/>
    <col min="9466" max="9466" width="10.85546875" style="323" customWidth="1"/>
    <col min="9467" max="9467" width="31.42578125" style="323" customWidth="1"/>
    <col min="9468" max="9468" width="13.140625" style="323" customWidth="1"/>
    <col min="9469" max="9469" width="13.28515625" style="323" customWidth="1"/>
    <col min="9470" max="9470" width="14" style="323" customWidth="1"/>
    <col min="9471" max="9471" width="12.42578125" style="323" customWidth="1"/>
    <col min="9472" max="9472" width="17" style="323" customWidth="1"/>
    <col min="9473" max="9721" width="9.140625" style="323"/>
    <col min="9722" max="9722" width="10.85546875" style="323" customWidth="1"/>
    <col min="9723" max="9723" width="31.42578125" style="323" customWidth="1"/>
    <col min="9724" max="9724" width="13.140625" style="323" customWidth="1"/>
    <col min="9725" max="9725" width="13.28515625" style="323" customWidth="1"/>
    <col min="9726" max="9726" width="14" style="323" customWidth="1"/>
    <col min="9727" max="9727" width="12.42578125" style="323" customWidth="1"/>
    <col min="9728" max="9728" width="17" style="323" customWidth="1"/>
    <col min="9729" max="9977" width="9.140625" style="323"/>
    <col min="9978" max="9978" width="10.85546875" style="323" customWidth="1"/>
    <col min="9979" max="9979" width="31.42578125" style="323" customWidth="1"/>
    <col min="9980" max="9980" width="13.140625" style="323" customWidth="1"/>
    <col min="9981" max="9981" width="13.28515625" style="323" customWidth="1"/>
    <col min="9982" max="9982" width="14" style="323" customWidth="1"/>
    <col min="9983" max="9983" width="12.42578125" style="323" customWidth="1"/>
    <col min="9984" max="9984" width="17" style="323" customWidth="1"/>
    <col min="9985" max="10233" width="9.140625" style="323"/>
    <col min="10234" max="10234" width="10.85546875" style="323" customWidth="1"/>
    <col min="10235" max="10235" width="31.42578125" style="323" customWidth="1"/>
    <col min="10236" max="10236" width="13.140625" style="323" customWidth="1"/>
    <col min="10237" max="10237" width="13.28515625" style="323" customWidth="1"/>
    <col min="10238" max="10238" width="14" style="323" customWidth="1"/>
    <col min="10239" max="10239" width="12.42578125" style="323" customWidth="1"/>
    <col min="10240" max="10240" width="17" style="323" customWidth="1"/>
    <col min="10241" max="10489" width="9.140625" style="323"/>
    <col min="10490" max="10490" width="10.85546875" style="323" customWidth="1"/>
    <col min="10491" max="10491" width="31.42578125" style="323" customWidth="1"/>
    <col min="10492" max="10492" width="13.140625" style="323" customWidth="1"/>
    <col min="10493" max="10493" width="13.28515625" style="323" customWidth="1"/>
    <col min="10494" max="10494" width="14" style="323" customWidth="1"/>
    <col min="10495" max="10495" width="12.42578125" style="323" customWidth="1"/>
    <col min="10496" max="10496" width="17" style="323" customWidth="1"/>
    <col min="10497" max="10745" width="9.140625" style="323"/>
    <col min="10746" max="10746" width="10.85546875" style="323" customWidth="1"/>
    <col min="10747" max="10747" width="31.42578125" style="323" customWidth="1"/>
    <col min="10748" max="10748" width="13.140625" style="323" customWidth="1"/>
    <col min="10749" max="10749" width="13.28515625" style="323" customWidth="1"/>
    <col min="10750" max="10750" width="14" style="323" customWidth="1"/>
    <col min="10751" max="10751" width="12.42578125" style="323" customWidth="1"/>
    <col min="10752" max="10752" width="17" style="323" customWidth="1"/>
    <col min="10753" max="11001" width="9.140625" style="323"/>
    <col min="11002" max="11002" width="10.85546875" style="323" customWidth="1"/>
    <col min="11003" max="11003" width="31.42578125" style="323" customWidth="1"/>
    <col min="11004" max="11004" width="13.140625" style="323" customWidth="1"/>
    <col min="11005" max="11005" width="13.28515625" style="323" customWidth="1"/>
    <col min="11006" max="11006" width="14" style="323" customWidth="1"/>
    <col min="11007" max="11007" width="12.42578125" style="323" customWidth="1"/>
    <col min="11008" max="11008" width="17" style="323" customWidth="1"/>
    <col min="11009" max="11257" width="9.140625" style="323"/>
    <col min="11258" max="11258" width="10.85546875" style="323" customWidth="1"/>
    <col min="11259" max="11259" width="31.42578125" style="323" customWidth="1"/>
    <col min="11260" max="11260" width="13.140625" style="323" customWidth="1"/>
    <col min="11261" max="11261" width="13.28515625" style="323" customWidth="1"/>
    <col min="11262" max="11262" width="14" style="323" customWidth="1"/>
    <col min="11263" max="11263" width="12.42578125" style="323" customWidth="1"/>
    <col min="11264" max="11264" width="17" style="323" customWidth="1"/>
    <col min="11265" max="11513" width="9.140625" style="323"/>
    <col min="11514" max="11514" width="10.85546875" style="323" customWidth="1"/>
    <col min="11515" max="11515" width="31.42578125" style="323" customWidth="1"/>
    <col min="11516" max="11516" width="13.140625" style="323" customWidth="1"/>
    <col min="11517" max="11517" width="13.28515625" style="323" customWidth="1"/>
    <col min="11518" max="11518" width="14" style="323" customWidth="1"/>
    <col min="11519" max="11519" width="12.42578125" style="323" customWidth="1"/>
    <col min="11520" max="11520" width="17" style="323" customWidth="1"/>
    <col min="11521" max="11769" width="9.140625" style="323"/>
    <col min="11770" max="11770" width="10.85546875" style="323" customWidth="1"/>
    <col min="11771" max="11771" width="31.42578125" style="323" customWidth="1"/>
    <col min="11772" max="11772" width="13.140625" style="323" customWidth="1"/>
    <col min="11773" max="11773" width="13.28515625" style="323" customWidth="1"/>
    <col min="11774" max="11774" width="14" style="323" customWidth="1"/>
    <col min="11775" max="11775" width="12.42578125" style="323" customWidth="1"/>
    <col min="11776" max="11776" width="17" style="323" customWidth="1"/>
    <col min="11777" max="12025" width="9.140625" style="323"/>
    <col min="12026" max="12026" width="10.85546875" style="323" customWidth="1"/>
    <col min="12027" max="12027" width="31.42578125" style="323" customWidth="1"/>
    <col min="12028" max="12028" width="13.140625" style="323" customWidth="1"/>
    <col min="12029" max="12029" width="13.28515625" style="323" customWidth="1"/>
    <col min="12030" max="12030" width="14" style="323" customWidth="1"/>
    <col min="12031" max="12031" width="12.42578125" style="323" customWidth="1"/>
    <col min="12032" max="12032" width="17" style="323" customWidth="1"/>
    <col min="12033" max="12281" width="9.140625" style="323"/>
    <col min="12282" max="12282" width="10.85546875" style="323" customWidth="1"/>
    <col min="12283" max="12283" width="31.42578125" style="323" customWidth="1"/>
    <col min="12284" max="12284" width="13.140625" style="323" customWidth="1"/>
    <col min="12285" max="12285" width="13.28515625" style="323" customWidth="1"/>
    <col min="12286" max="12286" width="14" style="323" customWidth="1"/>
    <col min="12287" max="12287" width="12.42578125" style="323" customWidth="1"/>
    <col min="12288" max="12288" width="17" style="323" customWidth="1"/>
    <col min="12289" max="12537" width="9.140625" style="323"/>
    <col min="12538" max="12538" width="10.85546875" style="323" customWidth="1"/>
    <col min="12539" max="12539" width="31.42578125" style="323" customWidth="1"/>
    <col min="12540" max="12540" width="13.140625" style="323" customWidth="1"/>
    <col min="12541" max="12541" width="13.28515625" style="323" customWidth="1"/>
    <col min="12542" max="12542" width="14" style="323" customWidth="1"/>
    <col min="12543" max="12543" width="12.42578125" style="323" customWidth="1"/>
    <col min="12544" max="12544" width="17" style="323" customWidth="1"/>
    <col min="12545" max="12793" width="9.140625" style="323"/>
    <col min="12794" max="12794" width="10.85546875" style="323" customWidth="1"/>
    <col min="12795" max="12795" width="31.42578125" style="323" customWidth="1"/>
    <col min="12796" max="12796" width="13.140625" style="323" customWidth="1"/>
    <col min="12797" max="12797" width="13.28515625" style="323" customWidth="1"/>
    <col min="12798" max="12798" width="14" style="323" customWidth="1"/>
    <col min="12799" max="12799" width="12.42578125" style="323" customWidth="1"/>
    <col min="12800" max="12800" width="17" style="323" customWidth="1"/>
    <col min="12801" max="13049" width="9.140625" style="323"/>
    <col min="13050" max="13050" width="10.85546875" style="323" customWidth="1"/>
    <col min="13051" max="13051" width="31.42578125" style="323" customWidth="1"/>
    <col min="13052" max="13052" width="13.140625" style="323" customWidth="1"/>
    <col min="13053" max="13053" width="13.28515625" style="323" customWidth="1"/>
    <col min="13054" max="13054" width="14" style="323" customWidth="1"/>
    <col min="13055" max="13055" width="12.42578125" style="323" customWidth="1"/>
    <col min="13056" max="13056" width="17" style="323" customWidth="1"/>
    <col min="13057" max="13305" width="9.140625" style="323"/>
    <col min="13306" max="13306" width="10.85546875" style="323" customWidth="1"/>
    <col min="13307" max="13307" width="31.42578125" style="323" customWidth="1"/>
    <col min="13308" max="13308" width="13.140625" style="323" customWidth="1"/>
    <col min="13309" max="13309" width="13.28515625" style="323" customWidth="1"/>
    <col min="13310" max="13310" width="14" style="323" customWidth="1"/>
    <col min="13311" max="13311" width="12.42578125" style="323" customWidth="1"/>
    <col min="13312" max="13312" width="17" style="323" customWidth="1"/>
    <col min="13313" max="13561" width="9.140625" style="323"/>
    <col min="13562" max="13562" width="10.85546875" style="323" customWidth="1"/>
    <col min="13563" max="13563" width="31.42578125" style="323" customWidth="1"/>
    <col min="13564" max="13564" width="13.140625" style="323" customWidth="1"/>
    <col min="13565" max="13565" width="13.28515625" style="323" customWidth="1"/>
    <col min="13566" max="13566" width="14" style="323" customWidth="1"/>
    <col min="13567" max="13567" width="12.42578125" style="323" customWidth="1"/>
    <col min="13568" max="13568" width="17" style="323" customWidth="1"/>
    <col min="13569" max="13817" width="9.140625" style="323"/>
    <col min="13818" max="13818" width="10.85546875" style="323" customWidth="1"/>
    <col min="13819" max="13819" width="31.42578125" style="323" customWidth="1"/>
    <col min="13820" max="13820" width="13.140625" style="323" customWidth="1"/>
    <col min="13821" max="13821" width="13.28515625" style="323" customWidth="1"/>
    <col min="13822" max="13822" width="14" style="323" customWidth="1"/>
    <col min="13823" max="13823" width="12.42578125" style="323" customWidth="1"/>
    <col min="13824" max="13824" width="17" style="323" customWidth="1"/>
    <col min="13825" max="14073" width="9.140625" style="323"/>
    <col min="14074" max="14074" width="10.85546875" style="323" customWidth="1"/>
    <col min="14075" max="14075" width="31.42578125" style="323" customWidth="1"/>
    <col min="14076" max="14076" width="13.140625" style="323" customWidth="1"/>
    <col min="14077" max="14077" width="13.28515625" style="323" customWidth="1"/>
    <col min="14078" max="14078" width="14" style="323" customWidth="1"/>
    <col min="14079" max="14079" width="12.42578125" style="323" customWidth="1"/>
    <col min="14080" max="14080" width="17" style="323" customWidth="1"/>
    <col min="14081" max="14329" width="9.140625" style="323"/>
    <col min="14330" max="14330" width="10.85546875" style="323" customWidth="1"/>
    <col min="14331" max="14331" width="31.42578125" style="323" customWidth="1"/>
    <col min="14332" max="14332" width="13.140625" style="323" customWidth="1"/>
    <col min="14333" max="14333" width="13.28515625" style="323" customWidth="1"/>
    <col min="14334" max="14334" width="14" style="323" customWidth="1"/>
    <col min="14335" max="14335" width="12.42578125" style="323" customWidth="1"/>
    <col min="14336" max="14336" width="17" style="323" customWidth="1"/>
    <col min="14337" max="14585" width="9.140625" style="323"/>
    <col min="14586" max="14586" width="10.85546875" style="323" customWidth="1"/>
    <col min="14587" max="14587" width="31.42578125" style="323" customWidth="1"/>
    <col min="14588" max="14588" width="13.140625" style="323" customWidth="1"/>
    <col min="14589" max="14589" width="13.28515625" style="323" customWidth="1"/>
    <col min="14590" max="14590" width="14" style="323" customWidth="1"/>
    <col min="14591" max="14591" width="12.42578125" style="323" customWidth="1"/>
    <col min="14592" max="14592" width="17" style="323" customWidth="1"/>
    <col min="14593" max="14841" width="9.140625" style="323"/>
    <col min="14842" max="14842" width="10.85546875" style="323" customWidth="1"/>
    <col min="14843" max="14843" width="31.42578125" style="323" customWidth="1"/>
    <col min="14844" max="14844" width="13.140625" style="323" customWidth="1"/>
    <col min="14845" max="14845" width="13.28515625" style="323" customWidth="1"/>
    <col min="14846" max="14846" width="14" style="323" customWidth="1"/>
    <col min="14847" max="14847" width="12.42578125" style="323" customWidth="1"/>
    <col min="14848" max="14848" width="17" style="323" customWidth="1"/>
    <col min="14849" max="15097" width="9.140625" style="323"/>
    <col min="15098" max="15098" width="10.85546875" style="323" customWidth="1"/>
    <col min="15099" max="15099" width="31.42578125" style="323" customWidth="1"/>
    <col min="15100" max="15100" width="13.140625" style="323" customWidth="1"/>
    <col min="15101" max="15101" width="13.28515625" style="323" customWidth="1"/>
    <col min="15102" max="15102" width="14" style="323" customWidth="1"/>
    <col min="15103" max="15103" width="12.42578125" style="323" customWidth="1"/>
    <col min="15104" max="15104" width="17" style="323" customWidth="1"/>
    <col min="15105" max="15353" width="9.140625" style="323"/>
    <col min="15354" max="15354" width="10.85546875" style="323" customWidth="1"/>
    <col min="15355" max="15355" width="31.42578125" style="323" customWidth="1"/>
    <col min="15356" max="15356" width="13.140625" style="323" customWidth="1"/>
    <col min="15357" max="15357" width="13.28515625" style="323" customWidth="1"/>
    <col min="15358" max="15358" width="14" style="323" customWidth="1"/>
    <col min="15359" max="15359" width="12.42578125" style="323" customWidth="1"/>
    <col min="15360" max="15360" width="17" style="323" customWidth="1"/>
    <col min="15361" max="15609" width="9.140625" style="323"/>
    <col min="15610" max="15610" width="10.85546875" style="323" customWidth="1"/>
    <col min="15611" max="15611" width="31.42578125" style="323" customWidth="1"/>
    <col min="15612" max="15612" width="13.140625" style="323" customWidth="1"/>
    <col min="15613" max="15613" width="13.28515625" style="323" customWidth="1"/>
    <col min="15614" max="15614" width="14" style="323" customWidth="1"/>
    <col min="15615" max="15615" width="12.42578125" style="323" customWidth="1"/>
    <col min="15616" max="15616" width="17" style="323" customWidth="1"/>
    <col min="15617" max="15865" width="9.140625" style="323"/>
    <col min="15866" max="15866" width="10.85546875" style="323" customWidth="1"/>
    <col min="15867" max="15867" width="31.42578125" style="323" customWidth="1"/>
    <col min="15868" max="15868" width="13.140625" style="323" customWidth="1"/>
    <col min="15869" max="15869" width="13.28515625" style="323" customWidth="1"/>
    <col min="15870" max="15870" width="14" style="323" customWidth="1"/>
    <col min="15871" max="15871" width="12.42578125" style="323" customWidth="1"/>
    <col min="15872" max="15872" width="17" style="323" customWidth="1"/>
    <col min="15873" max="16121" width="9.140625" style="323"/>
    <col min="16122" max="16122" width="10.85546875" style="323" customWidth="1"/>
    <col min="16123" max="16123" width="31.42578125" style="323" customWidth="1"/>
    <col min="16124" max="16124" width="13.140625" style="323" customWidth="1"/>
    <col min="16125" max="16125" width="13.28515625" style="323" customWidth="1"/>
    <col min="16126" max="16126" width="14" style="323" customWidth="1"/>
    <col min="16127" max="16127" width="12.42578125" style="323" customWidth="1"/>
    <col min="16128" max="16128" width="17" style="323" customWidth="1"/>
    <col min="16129" max="16384" width="9.140625" style="323"/>
  </cols>
  <sheetData>
    <row r="1" spans="1:8" ht="21.75" customHeight="1" thickBot="1">
      <c r="A1" s="1888" t="s">
        <v>2082</v>
      </c>
      <c r="B1" s="1889"/>
      <c r="C1" s="1889"/>
      <c r="D1" s="1889"/>
      <c r="E1" s="1889"/>
      <c r="F1" s="1889"/>
      <c r="G1" s="1889"/>
      <c r="H1" s="1890"/>
    </row>
    <row r="2" spans="1:8" ht="16.5" customHeight="1" thickBot="1">
      <c r="A2" s="1891" t="s">
        <v>2056</v>
      </c>
      <c r="B2" s="1892"/>
      <c r="C2" s="1892"/>
      <c r="D2" s="1892"/>
      <c r="E2" s="1892"/>
      <c r="F2" s="1892"/>
      <c r="G2" s="1892"/>
      <c r="H2" s="1893"/>
    </row>
    <row r="3" spans="1:8" ht="15" customHeight="1">
      <c r="A3" s="1894" t="s">
        <v>1164</v>
      </c>
      <c r="B3" s="1895"/>
      <c r="C3" s="1895"/>
      <c r="D3" s="1895"/>
      <c r="E3" s="1895"/>
      <c r="F3" s="1895"/>
      <c r="G3" s="1895"/>
      <c r="H3" s="1896"/>
    </row>
    <row r="4" spans="1:8" ht="15.75" customHeight="1" thickBot="1">
      <c r="A4" s="1897" t="s">
        <v>1165</v>
      </c>
      <c r="B4" s="1898"/>
      <c r="C4" s="1898"/>
      <c r="D4" s="1898"/>
      <c r="E4" s="1898"/>
      <c r="F4" s="1898"/>
      <c r="G4" s="1898"/>
      <c r="H4" s="1899"/>
    </row>
    <row r="5" spans="1:8" ht="15.75" customHeight="1" thickBot="1">
      <c r="A5" s="1877" t="s">
        <v>483</v>
      </c>
      <c r="B5" s="1879" t="s">
        <v>461</v>
      </c>
      <c r="C5" s="1881" t="s">
        <v>462</v>
      </c>
      <c r="D5" s="1882"/>
      <c r="E5" s="1882"/>
      <c r="F5" s="1883"/>
      <c r="G5" s="1877" t="s">
        <v>2057</v>
      </c>
      <c r="H5" s="1877" t="s">
        <v>1166</v>
      </c>
    </row>
    <row r="6" spans="1:8" ht="15" customHeight="1" thickBot="1">
      <c r="A6" s="1878"/>
      <c r="B6" s="1880"/>
      <c r="C6" s="1885" t="s">
        <v>1167</v>
      </c>
      <c r="D6" s="1886"/>
      <c r="E6" s="1885" t="s">
        <v>1168</v>
      </c>
      <c r="F6" s="1887"/>
      <c r="G6" s="1878"/>
      <c r="H6" s="1878"/>
    </row>
    <row r="7" spans="1:8" ht="15.75" customHeight="1" thickBot="1">
      <c r="A7" s="1878"/>
      <c r="B7" s="1880"/>
      <c r="C7" s="362" t="s">
        <v>1169</v>
      </c>
      <c r="D7" s="362" t="s">
        <v>1170</v>
      </c>
      <c r="E7" s="362" t="s">
        <v>1171</v>
      </c>
      <c r="F7" s="970" t="s">
        <v>1170</v>
      </c>
      <c r="G7" s="1884"/>
      <c r="H7" s="1878"/>
    </row>
    <row r="8" spans="1:8" ht="15.75" thickBot="1">
      <c r="A8" s="730" t="s">
        <v>389</v>
      </c>
      <c r="B8" s="971" t="s">
        <v>1015</v>
      </c>
      <c r="C8" s="972" t="s">
        <v>1015</v>
      </c>
      <c r="D8" s="363" t="s">
        <v>1015</v>
      </c>
      <c r="E8" s="363" t="s">
        <v>1015</v>
      </c>
      <c r="F8" s="973" t="s">
        <v>1015</v>
      </c>
      <c r="G8" s="974"/>
      <c r="H8" s="364" t="s">
        <v>1015</v>
      </c>
    </row>
    <row r="9" spans="1:8" ht="15.75" thickBot="1">
      <c r="A9" s="367"/>
      <c r="B9" s="975"/>
      <c r="C9" s="976"/>
      <c r="D9" s="365"/>
      <c r="E9" s="365"/>
      <c r="F9" s="977"/>
      <c r="G9" s="978"/>
      <c r="H9" s="366"/>
    </row>
    <row r="10" spans="1:8">
      <c r="A10" s="731" t="s">
        <v>1004</v>
      </c>
      <c r="B10" s="729" t="s">
        <v>1621</v>
      </c>
      <c r="C10" s="979">
        <v>0</v>
      </c>
      <c r="D10" s="729">
        <v>0</v>
      </c>
      <c r="E10" s="729">
        <v>0</v>
      </c>
      <c r="F10" s="980">
        <v>0</v>
      </c>
      <c r="G10" s="980">
        <v>3.9416600000000002</v>
      </c>
      <c r="H10" s="731">
        <f>'[9]FY 2020-21 Q1'!H10*4</f>
        <v>15.766640000000001</v>
      </c>
    </row>
    <row r="11" spans="1:8">
      <c r="A11" s="732" t="s">
        <v>1004</v>
      </c>
      <c r="B11" s="729" t="s">
        <v>1620</v>
      </c>
      <c r="C11" s="979">
        <v>0</v>
      </c>
      <c r="D11" s="729">
        <v>0</v>
      </c>
      <c r="E11" s="729">
        <v>28.318542999999998</v>
      </c>
      <c r="F11" s="980">
        <v>0</v>
      </c>
      <c r="G11" s="980">
        <v>0</v>
      </c>
      <c r="H11" s="731">
        <f>'[9]FY 2020-21 Q1'!H11*4</f>
        <v>113.27417199999999</v>
      </c>
    </row>
    <row r="12" spans="1:8">
      <c r="A12" s="732" t="s">
        <v>1004</v>
      </c>
      <c r="B12" s="729" t="s">
        <v>1622</v>
      </c>
      <c r="C12" s="979">
        <v>0</v>
      </c>
      <c r="D12" s="729">
        <v>0</v>
      </c>
      <c r="E12" s="729">
        <v>2.0240640000000001</v>
      </c>
      <c r="F12" s="980">
        <v>0</v>
      </c>
      <c r="G12" s="980">
        <v>0</v>
      </c>
      <c r="H12" s="731">
        <f>'[9]FY 2020-21 Q1'!H12*4</f>
        <v>8.0962560000000003</v>
      </c>
    </row>
    <row r="13" spans="1:8">
      <c r="A13" s="732" t="s">
        <v>1004</v>
      </c>
      <c r="B13" s="729" t="s">
        <v>1623</v>
      </c>
      <c r="C13" s="979">
        <v>0</v>
      </c>
      <c r="D13" s="729">
        <v>0</v>
      </c>
      <c r="E13" s="729">
        <v>0</v>
      </c>
      <c r="F13" s="980">
        <v>0</v>
      </c>
      <c r="G13" s="980">
        <v>6.3949299999999996</v>
      </c>
      <c r="H13" s="731">
        <f>'[9]FY 2020-21 Q1'!H13*4</f>
        <v>25.579719999999998</v>
      </c>
    </row>
    <row r="14" spans="1:8">
      <c r="A14" s="732" t="s">
        <v>1004</v>
      </c>
      <c r="B14" s="729" t="s">
        <v>1624</v>
      </c>
      <c r="C14" s="979">
        <v>0</v>
      </c>
      <c r="D14" s="729">
        <v>0</v>
      </c>
      <c r="E14" s="729">
        <v>0</v>
      </c>
      <c r="F14" s="980">
        <v>0</v>
      </c>
      <c r="G14" s="980">
        <v>3.9257900000000001</v>
      </c>
      <c r="H14" s="731">
        <f>'[9]FY 2020-21 Q1'!H14*4</f>
        <v>15.70316</v>
      </c>
    </row>
    <row r="15" spans="1:8">
      <c r="A15" s="732" t="s">
        <v>1004</v>
      </c>
      <c r="B15" s="729" t="s">
        <v>1625</v>
      </c>
      <c r="C15" s="979">
        <v>0</v>
      </c>
      <c r="D15" s="729">
        <v>0</v>
      </c>
      <c r="E15" s="729">
        <v>0</v>
      </c>
      <c r="F15" s="980">
        <v>0</v>
      </c>
      <c r="G15" s="980">
        <v>3.2708599999999999</v>
      </c>
      <c r="H15" s="731">
        <f>'[9]FY 2020-21 Q1'!H15*4</f>
        <v>13.08344</v>
      </c>
    </row>
    <row r="16" spans="1:8">
      <c r="A16" s="732" t="s">
        <v>1004</v>
      </c>
      <c r="B16" s="729" t="s">
        <v>1627</v>
      </c>
      <c r="C16" s="979">
        <v>0</v>
      </c>
      <c r="D16" s="729">
        <v>0</v>
      </c>
      <c r="E16" s="729">
        <v>0</v>
      </c>
      <c r="F16" s="980">
        <v>0</v>
      </c>
      <c r="G16" s="980">
        <v>1.12541</v>
      </c>
      <c r="H16" s="731">
        <f>'[9]FY 2020-21 Q1'!H16*4</f>
        <v>4.5016400000000001</v>
      </c>
    </row>
    <row r="17" spans="1:8">
      <c r="A17" s="732" t="s">
        <v>1004</v>
      </c>
      <c r="B17" s="729" t="s">
        <v>1628</v>
      </c>
      <c r="C17" s="979">
        <v>0</v>
      </c>
      <c r="D17" s="729">
        <v>0</v>
      </c>
      <c r="E17" s="729">
        <v>0</v>
      </c>
      <c r="F17" s="980">
        <v>0</v>
      </c>
      <c r="G17" s="980">
        <v>4.1582299999999996</v>
      </c>
      <c r="H17" s="731">
        <f>'[9]FY 2020-21 Q1'!H17*4</f>
        <v>16.632919999999999</v>
      </c>
    </row>
    <row r="18" spans="1:8">
      <c r="A18" s="732" t="s">
        <v>1004</v>
      </c>
      <c r="B18" s="729" t="s">
        <v>1678</v>
      </c>
      <c r="C18" s="979">
        <v>0</v>
      </c>
      <c r="D18" s="729">
        <v>0</v>
      </c>
      <c r="E18" s="729">
        <v>0</v>
      </c>
      <c r="F18" s="980">
        <v>0</v>
      </c>
      <c r="G18" s="980">
        <v>10.566839999999999</v>
      </c>
      <c r="H18" s="731">
        <f>'[9]FY 2020-21 Q1'!H18*4</f>
        <v>42.267359999999996</v>
      </c>
    </row>
    <row r="19" spans="1:8">
      <c r="A19" s="732" t="s">
        <v>1004</v>
      </c>
      <c r="B19" s="729" t="s">
        <v>1630</v>
      </c>
      <c r="C19" s="979">
        <v>0</v>
      </c>
      <c r="D19" s="729">
        <v>0</v>
      </c>
      <c r="E19" s="729">
        <v>6.7683999999999994E-2</v>
      </c>
      <c r="F19" s="980">
        <v>0</v>
      </c>
      <c r="G19" s="980">
        <v>4.2187400000000004</v>
      </c>
      <c r="H19" s="731">
        <f>'[9]FY 2020-21 Q1'!H19*4</f>
        <v>17.145696000000001</v>
      </c>
    </row>
    <row r="20" spans="1:8">
      <c r="A20" s="732" t="s">
        <v>1004</v>
      </c>
      <c r="B20" s="729" t="s">
        <v>1631</v>
      </c>
      <c r="C20" s="979">
        <v>0</v>
      </c>
      <c r="D20" s="729">
        <v>0</v>
      </c>
      <c r="E20" s="729">
        <v>0.52659999999999996</v>
      </c>
      <c r="F20" s="980">
        <v>0</v>
      </c>
      <c r="G20" s="980">
        <v>0</v>
      </c>
      <c r="H20" s="731">
        <f>'[9]FY 2020-21 Q1'!H20*4</f>
        <v>2.1063999999999998</v>
      </c>
    </row>
    <row r="21" spans="1:8">
      <c r="A21" s="732" t="s">
        <v>1004</v>
      </c>
      <c r="B21" s="729" t="s">
        <v>1632</v>
      </c>
      <c r="C21" s="979">
        <v>0</v>
      </c>
      <c r="D21" s="729">
        <v>0</v>
      </c>
      <c r="E21" s="729">
        <v>6.2725000000000003E-2</v>
      </c>
      <c r="F21" s="980">
        <v>0</v>
      </c>
      <c r="G21" s="980">
        <v>0</v>
      </c>
      <c r="H21" s="731">
        <f>'[9]FY 2020-21 Q1'!H21*4</f>
        <v>0.25090000000000001</v>
      </c>
    </row>
    <row r="22" spans="1:8">
      <c r="A22" s="732" t="s">
        <v>1004</v>
      </c>
      <c r="B22" s="729" t="s">
        <v>1633</v>
      </c>
      <c r="C22" s="979">
        <v>0</v>
      </c>
      <c r="D22" s="729">
        <v>0</v>
      </c>
      <c r="E22" s="729">
        <v>0</v>
      </c>
      <c r="F22" s="980">
        <v>0</v>
      </c>
      <c r="G22" s="980">
        <v>11.875109</v>
      </c>
      <c r="H22" s="731">
        <f>'[9]FY 2020-21 Q1'!H22*4</f>
        <v>47.500436000000001</v>
      </c>
    </row>
    <row r="23" spans="1:8">
      <c r="A23" s="732" t="s">
        <v>1004</v>
      </c>
      <c r="B23" s="729" t="s">
        <v>1634</v>
      </c>
      <c r="C23" s="979">
        <v>0</v>
      </c>
      <c r="D23" s="729">
        <v>0</v>
      </c>
      <c r="E23" s="729">
        <v>0</v>
      </c>
      <c r="F23" s="980">
        <v>4.4899100000000001</v>
      </c>
      <c r="G23" s="980">
        <v>0</v>
      </c>
      <c r="H23" s="731">
        <f>'[9]FY 2020-21 Q1'!H23*4</f>
        <v>17.95964</v>
      </c>
    </row>
    <row r="24" spans="1:8">
      <c r="A24" s="732" t="s">
        <v>1004</v>
      </c>
      <c r="B24" s="729" t="s">
        <v>1635</v>
      </c>
      <c r="C24" s="979">
        <v>0</v>
      </c>
      <c r="D24" s="729">
        <v>0</v>
      </c>
      <c r="E24" s="729">
        <v>0</v>
      </c>
      <c r="F24" s="980">
        <v>0</v>
      </c>
      <c r="G24" s="980">
        <v>5.3916250000000003</v>
      </c>
      <c r="H24" s="731">
        <f>'[9]FY 2020-21 Q1'!H24*4</f>
        <v>21.566500000000001</v>
      </c>
    </row>
    <row r="25" spans="1:8">
      <c r="A25" s="732" t="s">
        <v>1004</v>
      </c>
      <c r="B25" s="729" t="s">
        <v>1636</v>
      </c>
      <c r="C25" s="979">
        <v>0</v>
      </c>
      <c r="D25" s="729">
        <v>0</v>
      </c>
      <c r="E25" s="729">
        <v>0</v>
      </c>
      <c r="F25" s="980">
        <v>0</v>
      </c>
      <c r="G25" s="980">
        <v>4.1992900000000004</v>
      </c>
      <c r="H25" s="731">
        <f>'[9]FY 2020-21 Q1'!H25*4</f>
        <v>16.797160000000002</v>
      </c>
    </row>
    <row r="26" spans="1:8">
      <c r="A26" s="732" t="s">
        <v>1004</v>
      </c>
      <c r="B26" s="729" t="s">
        <v>1709</v>
      </c>
      <c r="C26" s="979">
        <v>0</v>
      </c>
      <c r="D26" s="729">
        <v>3.4904959999999998</v>
      </c>
      <c r="E26" s="729">
        <v>0</v>
      </c>
      <c r="F26" s="980">
        <v>0</v>
      </c>
      <c r="G26" s="980">
        <v>0</v>
      </c>
      <c r="H26" s="731">
        <f>'[9]FY 2020-21 Q1'!H26*4</f>
        <v>13.961983999999999</v>
      </c>
    </row>
    <row r="27" spans="1:8">
      <c r="A27" s="732" t="s">
        <v>1004</v>
      </c>
      <c r="B27" s="729" t="s">
        <v>1638</v>
      </c>
      <c r="C27" s="979">
        <v>0</v>
      </c>
      <c r="D27" s="729">
        <v>0</v>
      </c>
      <c r="E27" s="729">
        <v>0</v>
      </c>
      <c r="F27" s="980">
        <v>0</v>
      </c>
      <c r="G27" s="980">
        <v>4.25413</v>
      </c>
      <c r="H27" s="731">
        <f>'[9]FY 2020-21 Q1'!H27*4</f>
        <v>17.01652</v>
      </c>
    </row>
    <row r="28" spans="1:8">
      <c r="A28" s="732" t="s">
        <v>1004</v>
      </c>
      <c r="B28" s="729" t="s">
        <v>1639</v>
      </c>
      <c r="C28" s="979">
        <v>0</v>
      </c>
      <c r="D28" s="729">
        <v>0</v>
      </c>
      <c r="E28" s="729">
        <v>0</v>
      </c>
      <c r="F28" s="980">
        <v>0</v>
      </c>
      <c r="G28" s="980">
        <v>5.4553599999999998</v>
      </c>
      <c r="H28" s="731">
        <f>'[9]FY 2020-21 Q1'!H28*4</f>
        <v>21.821439999999999</v>
      </c>
    </row>
    <row r="29" spans="1:8">
      <c r="A29" s="732" t="s">
        <v>1004</v>
      </c>
      <c r="B29" s="729" t="s">
        <v>1640</v>
      </c>
      <c r="C29" s="979">
        <v>0</v>
      </c>
      <c r="D29" s="729">
        <v>0</v>
      </c>
      <c r="E29" s="729">
        <v>0</v>
      </c>
      <c r="F29" s="980">
        <v>0</v>
      </c>
      <c r="G29" s="980">
        <v>5.4522300000000001</v>
      </c>
      <c r="H29" s="731">
        <f>'[9]FY 2020-21 Q1'!H29*4</f>
        <v>21.808920000000001</v>
      </c>
    </row>
    <row r="30" spans="1:8">
      <c r="A30" s="732" t="s">
        <v>1004</v>
      </c>
      <c r="B30" s="729" t="s">
        <v>1641</v>
      </c>
      <c r="C30" s="979">
        <v>20.566455999999999</v>
      </c>
      <c r="D30" s="729">
        <v>0</v>
      </c>
      <c r="E30" s="729">
        <v>0</v>
      </c>
      <c r="F30" s="980">
        <v>0</v>
      </c>
      <c r="G30" s="980">
        <v>0</v>
      </c>
      <c r="H30" s="731">
        <f>'[9]FY 2020-21 Q1'!H30*4</f>
        <v>82.265823999999995</v>
      </c>
    </row>
    <row r="31" spans="1:8">
      <c r="A31" s="732" t="s">
        <v>1004</v>
      </c>
      <c r="B31" s="729" t="s">
        <v>1644</v>
      </c>
      <c r="C31" s="979">
        <v>0.298039</v>
      </c>
      <c r="D31" s="729">
        <v>0</v>
      </c>
      <c r="E31" s="729">
        <v>0</v>
      </c>
      <c r="F31" s="980">
        <v>0</v>
      </c>
      <c r="G31" s="980">
        <v>0</v>
      </c>
      <c r="H31" s="731">
        <f>'[9]FY 2020-21 Q1'!H31*4</f>
        <v>1.192156</v>
      </c>
    </row>
    <row r="32" spans="1:8">
      <c r="A32" s="732" t="s">
        <v>1004</v>
      </c>
      <c r="B32" s="729" t="s">
        <v>1731</v>
      </c>
      <c r="C32" s="979">
        <v>2.1663999999999999E-2</v>
      </c>
      <c r="D32" s="729">
        <v>0</v>
      </c>
      <c r="E32" s="729">
        <v>0</v>
      </c>
      <c r="F32" s="980">
        <v>0</v>
      </c>
      <c r="G32" s="980">
        <v>0</v>
      </c>
      <c r="H32" s="731">
        <f>'[9]FY 2020-21 Q1'!H32*4</f>
        <v>8.6655999999999997E-2</v>
      </c>
    </row>
    <row r="33" spans="1:8">
      <c r="A33" s="732" t="s">
        <v>1004</v>
      </c>
      <c r="B33" s="729" t="s">
        <v>1645</v>
      </c>
      <c r="C33" s="979">
        <v>0.108012</v>
      </c>
      <c r="D33" s="729">
        <v>0</v>
      </c>
      <c r="E33" s="729">
        <v>0</v>
      </c>
      <c r="F33" s="980">
        <v>0</v>
      </c>
      <c r="G33" s="980">
        <v>0</v>
      </c>
      <c r="H33" s="731">
        <f>'[9]FY 2020-21 Q1'!H33*4</f>
        <v>0.43204799999999999</v>
      </c>
    </row>
    <row r="34" spans="1:8">
      <c r="A34" s="732" t="s">
        <v>1004</v>
      </c>
      <c r="B34" s="729" t="s">
        <v>1646</v>
      </c>
      <c r="C34" s="979">
        <v>0.27913300000000002</v>
      </c>
      <c r="D34" s="729">
        <v>0</v>
      </c>
      <c r="E34" s="729">
        <v>0</v>
      </c>
      <c r="F34" s="980">
        <v>0</v>
      </c>
      <c r="G34" s="980">
        <v>0</v>
      </c>
      <c r="H34" s="731">
        <f>'[9]FY 2020-21 Q1'!H34*4</f>
        <v>1.1165320000000001</v>
      </c>
    </row>
    <row r="35" spans="1:8">
      <c r="A35" s="732" t="s">
        <v>1004</v>
      </c>
      <c r="B35" s="729" t="s">
        <v>1647</v>
      </c>
      <c r="C35" s="979">
        <v>0</v>
      </c>
      <c r="D35" s="729">
        <v>0.86239100000000002</v>
      </c>
      <c r="E35" s="729">
        <v>0</v>
      </c>
      <c r="F35" s="980">
        <v>0</v>
      </c>
      <c r="G35" s="980">
        <v>0</v>
      </c>
      <c r="H35" s="731">
        <f>'[9]FY 2020-21 Q1'!H35*4</f>
        <v>3.4495640000000001</v>
      </c>
    </row>
    <row r="36" spans="1:8">
      <c r="A36" s="732" t="s">
        <v>1004</v>
      </c>
      <c r="B36" s="729" t="s">
        <v>1648</v>
      </c>
      <c r="C36" s="979">
        <v>0</v>
      </c>
      <c r="D36" s="729">
        <v>0</v>
      </c>
      <c r="E36" s="729">
        <v>0</v>
      </c>
      <c r="F36" s="980">
        <v>0</v>
      </c>
      <c r="G36" s="980">
        <v>2.9523980000000001</v>
      </c>
      <c r="H36" s="731">
        <f>'[9]FY 2020-21 Q1'!H36*4</f>
        <v>11.809592</v>
      </c>
    </row>
    <row r="37" spans="1:8">
      <c r="A37" s="732" t="s">
        <v>1004</v>
      </c>
      <c r="B37" s="729" t="s">
        <v>1649</v>
      </c>
      <c r="C37" s="979">
        <v>0</v>
      </c>
      <c r="D37" s="729">
        <v>9.5852070000000005</v>
      </c>
      <c r="E37" s="729">
        <v>0</v>
      </c>
      <c r="F37" s="980">
        <v>0</v>
      </c>
      <c r="G37" s="980">
        <v>0</v>
      </c>
      <c r="H37" s="731">
        <f>'[9]FY 2020-21 Q1'!H37*4</f>
        <v>38.340828000000002</v>
      </c>
    </row>
    <row r="38" spans="1:8">
      <c r="A38" s="732" t="s">
        <v>1004</v>
      </c>
      <c r="B38" s="729" t="s">
        <v>2058</v>
      </c>
      <c r="C38" s="979">
        <v>0.32886900000000002</v>
      </c>
      <c r="D38" s="729">
        <v>0</v>
      </c>
      <c r="E38" s="729">
        <v>0</v>
      </c>
      <c r="F38" s="980">
        <v>0</v>
      </c>
      <c r="G38" s="980">
        <v>0</v>
      </c>
      <c r="H38" s="731">
        <f>'[9]FY 2020-21 Q1'!H38*4</f>
        <v>1.3154760000000001</v>
      </c>
    </row>
    <row r="39" spans="1:8">
      <c r="A39" s="732" t="s">
        <v>1004</v>
      </c>
      <c r="B39" s="729" t="s">
        <v>2059</v>
      </c>
      <c r="C39" s="979">
        <v>1.4449700000000001</v>
      </c>
      <c r="D39" s="729">
        <v>0</v>
      </c>
      <c r="E39" s="729">
        <v>0</v>
      </c>
      <c r="F39" s="980">
        <v>0</v>
      </c>
      <c r="G39" s="980">
        <v>0</v>
      </c>
      <c r="H39" s="731">
        <f>'[9]FY 2020-21 Q1'!H39*4</f>
        <v>5.7798800000000004</v>
      </c>
    </row>
    <row r="40" spans="1:8">
      <c r="A40" s="732" t="s">
        <v>1004</v>
      </c>
      <c r="B40" s="729" t="s">
        <v>1650</v>
      </c>
      <c r="C40" s="979">
        <v>0</v>
      </c>
      <c r="D40" s="729">
        <v>0</v>
      </c>
      <c r="E40" s="729">
        <v>0</v>
      </c>
      <c r="F40" s="980">
        <v>0</v>
      </c>
      <c r="G40" s="980">
        <v>6.7579750000000001</v>
      </c>
      <c r="H40" s="731">
        <f>'[9]FY 2020-21 Q1'!H40*4</f>
        <v>27.0319</v>
      </c>
    </row>
    <row r="41" spans="1:8">
      <c r="A41" s="732" t="s">
        <v>1004</v>
      </c>
      <c r="B41" s="729" t="s">
        <v>2060</v>
      </c>
      <c r="C41" s="979">
        <v>0.467976</v>
      </c>
      <c r="D41" s="729">
        <v>0</v>
      </c>
      <c r="E41" s="729">
        <v>0</v>
      </c>
      <c r="F41" s="980">
        <v>0</v>
      </c>
      <c r="G41" s="980">
        <v>0</v>
      </c>
      <c r="H41" s="731">
        <f>'[9]FY 2020-21 Q1'!H41*4</f>
        <v>1.871904</v>
      </c>
    </row>
    <row r="42" spans="1:8">
      <c r="A42" s="732" t="s">
        <v>1004</v>
      </c>
      <c r="B42" s="729" t="s">
        <v>1651</v>
      </c>
      <c r="C42" s="979">
        <v>0.36499999999999999</v>
      </c>
      <c r="D42" s="729">
        <v>0</v>
      </c>
      <c r="E42" s="729">
        <v>0</v>
      </c>
      <c r="F42" s="980">
        <v>0</v>
      </c>
      <c r="G42" s="980">
        <v>0</v>
      </c>
      <c r="H42" s="731">
        <f>'[9]FY 2020-21 Q1'!H42*4</f>
        <v>1.46</v>
      </c>
    </row>
    <row r="43" spans="1:8">
      <c r="A43" s="732" t="s">
        <v>1004</v>
      </c>
      <c r="B43" s="729" t="s">
        <v>1652</v>
      </c>
      <c r="C43" s="979">
        <v>0</v>
      </c>
      <c r="D43" s="729">
        <v>0</v>
      </c>
      <c r="E43" s="729">
        <v>0</v>
      </c>
      <c r="F43" s="980">
        <v>0</v>
      </c>
      <c r="G43" s="980">
        <v>1.463773</v>
      </c>
      <c r="H43" s="731">
        <f>'[9]FY 2020-21 Q1'!H43*4</f>
        <v>5.855092</v>
      </c>
    </row>
    <row r="44" spans="1:8">
      <c r="A44" s="732" t="s">
        <v>1004</v>
      </c>
      <c r="B44" s="729" t="s">
        <v>1653</v>
      </c>
      <c r="C44" s="979">
        <v>0</v>
      </c>
      <c r="D44" s="729">
        <v>0</v>
      </c>
      <c r="E44" s="729">
        <v>0</v>
      </c>
      <c r="F44" s="980">
        <v>0</v>
      </c>
      <c r="G44" s="980">
        <v>2.1009660000000001</v>
      </c>
      <c r="H44" s="731">
        <f>'[9]FY 2020-21 Q1'!H44*4</f>
        <v>8.4038640000000004</v>
      </c>
    </row>
    <row r="45" spans="1:8">
      <c r="A45" s="732" t="s">
        <v>1004</v>
      </c>
      <c r="B45" s="729" t="s">
        <v>1626</v>
      </c>
      <c r="C45" s="979">
        <v>0</v>
      </c>
      <c r="D45" s="729">
        <v>0</v>
      </c>
      <c r="E45" s="729">
        <v>0</v>
      </c>
      <c r="F45" s="980">
        <v>0</v>
      </c>
      <c r="G45" s="980">
        <v>2.7957000000000001</v>
      </c>
      <c r="H45" s="731">
        <f>'[9]FY 2020-21 Q1'!H45*4</f>
        <v>11.1828</v>
      </c>
    </row>
    <row r="46" spans="1:8">
      <c r="A46" s="732" t="s">
        <v>1004</v>
      </c>
      <c r="B46" s="729" t="s">
        <v>1642</v>
      </c>
      <c r="C46" s="979">
        <v>0</v>
      </c>
      <c r="D46" s="729">
        <v>0</v>
      </c>
      <c r="E46" s="729">
        <v>0</v>
      </c>
      <c r="F46" s="980">
        <v>0</v>
      </c>
      <c r="G46" s="980">
        <v>5.552079</v>
      </c>
      <c r="H46" s="731">
        <f>'[9]FY 2020-21 Q1'!H46*4</f>
        <v>22.208316</v>
      </c>
    </row>
    <row r="47" spans="1:8">
      <c r="A47" s="732" t="s">
        <v>1004</v>
      </c>
      <c r="B47" s="729" t="s">
        <v>1629</v>
      </c>
      <c r="C47" s="979">
        <v>0</v>
      </c>
      <c r="D47" s="729">
        <v>0</v>
      </c>
      <c r="E47" s="729">
        <v>0</v>
      </c>
      <c r="F47" s="980">
        <v>0</v>
      </c>
      <c r="G47" s="980">
        <v>3.431</v>
      </c>
      <c r="H47" s="731">
        <f>'[9]FY 2020-21 Q1'!H47*4</f>
        <v>13.724</v>
      </c>
    </row>
    <row r="48" spans="1:8">
      <c r="A48" s="986" t="s">
        <v>1004</v>
      </c>
      <c r="B48" s="729" t="s">
        <v>1643</v>
      </c>
      <c r="C48" s="979">
        <v>0</v>
      </c>
      <c r="D48" s="729">
        <v>0</v>
      </c>
      <c r="E48" s="729">
        <v>0</v>
      </c>
      <c r="F48" s="980">
        <v>0</v>
      </c>
      <c r="G48" s="980">
        <v>5.5526999999999997</v>
      </c>
      <c r="H48" s="731">
        <f>'[9]FY 2020-21 Q1'!H48*4</f>
        <v>22.210799999999999</v>
      </c>
    </row>
    <row r="49" spans="1:8" ht="15.75" thickBot="1">
      <c r="A49" s="986" t="s">
        <v>1004</v>
      </c>
      <c r="B49" s="987" t="s">
        <v>2061</v>
      </c>
      <c r="C49" s="979">
        <v>5.2351910000000004</v>
      </c>
      <c r="D49" s="729">
        <v>0</v>
      </c>
      <c r="E49" s="729">
        <v>0</v>
      </c>
      <c r="F49" s="980">
        <v>0</v>
      </c>
      <c r="G49" s="980"/>
      <c r="H49" s="731">
        <f>'[9]FY 2020-21 Q1'!H49*4</f>
        <v>20.940764000000001</v>
      </c>
    </row>
    <row r="50" spans="1:8" ht="15.75" thickBot="1">
      <c r="A50" s="988"/>
      <c r="B50" s="734"/>
      <c r="C50" s="981"/>
      <c r="D50" s="734"/>
      <c r="E50" s="734"/>
      <c r="F50" s="982"/>
      <c r="G50" s="982"/>
      <c r="H50" s="735"/>
    </row>
    <row r="51" spans="1:8">
      <c r="A51" s="731" t="s">
        <v>1172</v>
      </c>
      <c r="B51" s="729" t="s">
        <v>1654</v>
      </c>
      <c r="C51" s="979">
        <v>0</v>
      </c>
      <c r="D51" s="729">
        <v>0</v>
      </c>
      <c r="E51" s="729">
        <v>43.675274999999999</v>
      </c>
      <c r="F51" s="980">
        <v>0</v>
      </c>
      <c r="G51" s="980">
        <v>0</v>
      </c>
      <c r="H51" s="731">
        <f>'[9]FY 2020-21 Q1'!H51*4</f>
        <v>174.7011</v>
      </c>
    </row>
    <row r="52" spans="1:8">
      <c r="A52" s="732" t="s">
        <v>1172</v>
      </c>
      <c r="B52" s="729" t="s">
        <v>1621</v>
      </c>
      <c r="C52" s="979">
        <v>0</v>
      </c>
      <c r="D52" s="729">
        <v>0</v>
      </c>
      <c r="E52" s="729">
        <v>111.964128</v>
      </c>
      <c r="F52" s="980">
        <v>0</v>
      </c>
      <c r="G52" s="980">
        <v>0</v>
      </c>
      <c r="H52" s="731">
        <f>'[9]FY 2020-21 Q1'!H52*4</f>
        <v>447.85651200000001</v>
      </c>
    </row>
    <row r="53" spans="1:8">
      <c r="A53" s="732" t="s">
        <v>1172</v>
      </c>
      <c r="B53" s="729" t="s">
        <v>1655</v>
      </c>
      <c r="C53" s="979">
        <v>0</v>
      </c>
      <c r="D53" s="729">
        <v>0</v>
      </c>
      <c r="E53" s="729">
        <v>69.400575000000003</v>
      </c>
      <c r="F53" s="980">
        <v>0</v>
      </c>
      <c r="G53" s="980">
        <v>0</v>
      </c>
      <c r="H53" s="731">
        <f>'[9]FY 2020-21 Q1'!H53*4</f>
        <v>277.60230000000001</v>
      </c>
    </row>
    <row r="54" spans="1:8">
      <c r="A54" s="732" t="s">
        <v>1172</v>
      </c>
      <c r="B54" s="729" t="s">
        <v>1620</v>
      </c>
      <c r="C54" s="979">
        <v>0</v>
      </c>
      <c r="D54" s="729">
        <v>0</v>
      </c>
      <c r="E54" s="729">
        <v>84.564485000000005</v>
      </c>
      <c r="F54" s="980">
        <v>0</v>
      </c>
      <c r="G54" s="980">
        <v>0</v>
      </c>
      <c r="H54" s="731">
        <f>'[9]FY 2020-21 Q1'!H54*4</f>
        <v>338.25794000000002</v>
      </c>
    </row>
    <row r="55" spans="1:8">
      <c r="A55" s="732" t="s">
        <v>1172</v>
      </c>
      <c r="B55" s="729" t="s">
        <v>1622</v>
      </c>
      <c r="C55" s="979">
        <v>0</v>
      </c>
      <c r="D55" s="729">
        <v>0</v>
      </c>
      <c r="E55" s="729">
        <v>28.067952999999999</v>
      </c>
      <c r="F55" s="980">
        <v>0</v>
      </c>
      <c r="G55" s="980">
        <v>0</v>
      </c>
      <c r="H55" s="731">
        <f>'[9]FY 2020-21 Q1'!H55*4</f>
        <v>112.271812</v>
      </c>
    </row>
    <row r="56" spans="1:8">
      <c r="A56" s="732" t="s">
        <v>1172</v>
      </c>
      <c r="B56" s="729" t="s">
        <v>1658</v>
      </c>
      <c r="C56" s="979">
        <v>0</v>
      </c>
      <c r="D56" s="729">
        <v>0</v>
      </c>
      <c r="E56" s="729">
        <v>43.656165999999999</v>
      </c>
      <c r="F56" s="980">
        <v>0</v>
      </c>
      <c r="G56" s="980">
        <v>0</v>
      </c>
      <c r="H56" s="731">
        <f>'[9]FY 2020-21 Q1'!H56*4</f>
        <v>174.624664</v>
      </c>
    </row>
    <row r="57" spans="1:8">
      <c r="A57" s="732" t="s">
        <v>1172</v>
      </c>
      <c r="B57" s="729" t="s">
        <v>1659</v>
      </c>
      <c r="C57" s="979">
        <v>0</v>
      </c>
      <c r="D57" s="729">
        <v>0</v>
      </c>
      <c r="E57" s="729">
        <v>114.791946</v>
      </c>
      <c r="F57" s="980">
        <v>0</v>
      </c>
      <c r="G57" s="980">
        <v>0</v>
      </c>
      <c r="H57" s="731">
        <f>'[9]FY 2020-21 Q1'!H57*4</f>
        <v>459.16778399999998</v>
      </c>
    </row>
    <row r="58" spans="1:8">
      <c r="A58" s="732" t="s">
        <v>1172</v>
      </c>
      <c r="B58" s="729" t="s">
        <v>1660</v>
      </c>
      <c r="C58" s="979">
        <v>0</v>
      </c>
      <c r="D58" s="729">
        <v>0</v>
      </c>
      <c r="E58" s="729">
        <v>34.671393000000002</v>
      </c>
      <c r="F58" s="980">
        <v>0</v>
      </c>
      <c r="G58" s="980">
        <v>0</v>
      </c>
      <c r="H58" s="731">
        <f>'[9]FY 2020-21 Q1'!H58*4</f>
        <v>138.68557200000001</v>
      </c>
    </row>
    <row r="59" spans="1:8">
      <c r="A59" s="732" t="s">
        <v>1172</v>
      </c>
      <c r="B59" s="729" t="s">
        <v>1661</v>
      </c>
      <c r="C59" s="979">
        <v>0</v>
      </c>
      <c r="D59" s="729">
        <v>0</v>
      </c>
      <c r="E59" s="729">
        <v>88.064126000000002</v>
      </c>
      <c r="F59" s="980">
        <v>0</v>
      </c>
      <c r="G59" s="980">
        <v>0</v>
      </c>
      <c r="H59" s="731">
        <f>'[9]FY 2020-21 Q1'!H59*4</f>
        <v>352.25650400000001</v>
      </c>
    </row>
    <row r="60" spans="1:8">
      <c r="A60" s="732" t="s">
        <v>1172</v>
      </c>
      <c r="B60" s="729" t="s">
        <v>1662</v>
      </c>
      <c r="C60" s="979">
        <v>0</v>
      </c>
      <c r="D60" s="729">
        <v>0</v>
      </c>
      <c r="E60" s="729">
        <v>61.622318999999997</v>
      </c>
      <c r="F60" s="980">
        <v>0</v>
      </c>
      <c r="G60" s="980">
        <v>0</v>
      </c>
      <c r="H60" s="731">
        <f>'[9]FY 2020-21 Q1'!H60*4</f>
        <v>246.48927599999999</v>
      </c>
    </row>
    <row r="61" spans="1:8">
      <c r="A61" s="732" t="s">
        <v>1172</v>
      </c>
      <c r="B61" s="729" t="s">
        <v>1623</v>
      </c>
      <c r="C61" s="979">
        <v>0</v>
      </c>
      <c r="D61" s="729">
        <v>0</v>
      </c>
      <c r="E61" s="729">
        <v>103.65616799999999</v>
      </c>
      <c r="F61" s="980">
        <v>0</v>
      </c>
      <c r="G61" s="980">
        <v>0</v>
      </c>
      <c r="H61" s="731">
        <f>'[9]FY 2020-21 Q1'!H61*4</f>
        <v>414.62467199999998</v>
      </c>
    </row>
    <row r="62" spans="1:8">
      <c r="A62" s="732" t="s">
        <v>1172</v>
      </c>
      <c r="B62" s="729" t="s">
        <v>1663</v>
      </c>
      <c r="C62" s="979">
        <v>0</v>
      </c>
      <c r="D62" s="729">
        <v>0</v>
      </c>
      <c r="E62" s="729">
        <v>105.254347</v>
      </c>
      <c r="F62" s="980">
        <v>0</v>
      </c>
      <c r="G62" s="980">
        <v>0</v>
      </c>
      <c r="H62" s="731">
        <f>'[9]FY 2020-21 Q1'!H62*4</f>
        <v>421.01738799999998</v>
      </c>
    </row>
    <row r="63" spans="1:8">
      <c r="A63" s="732" t="s">
        <v>1172</v>
      </c>
      <c r="B63" s="729" t="s">
        <v>1624</v>
      </c>
      <c r="C63" s="979">
        <v>0</v>
      </c>
      <c r="D63" s="729">
        <v>0</v>
      </c>
      <c r="E63" s="729">
        <v>82.120994999999994</v>
      </c>
      <c r="F63" s="980">
        <v>0</v>
      </c>
      <c r="G63" s="980">
        <v>0</v>
      </c>
      <c r="H63" s="731">
        <f>'[9]FY 2020-21 Q1'!H63*4</f>
        <v>328.48397999999997</v>
      </c>
    </row>
    <row r="64" spans="1:8">
      <c r="A64" s="732" t="s">
        <v>1172</v>
      </c>
      <c r="B64" s="729" t="s">
        <v>1664</v>
      </c>
      <c r="C64" s="979">
        <v>0</v>
      </c>
      <c r="D64" s="729">
        <v>0</v>
      </c>
      <c r="E64" s="729">
        <v>61.213523000000002</v>
      </c>
      <c r="F64" s="980">
        <v>0</v>
      </c>
      <c r="G64" s="980">
        <v>0</v>
      </c>
      <c r="H64" s="731">
        <f>'[9]FY 2020-21 Q1'!H64*4</f>
        <v>244.85409200000001</v>
      </c>
    </row>
    <row r="65" spans="1:8">
      <c r="A65" s="732" t="s">
        <v>1172</v>
      </c>
      <c r="B65" s="729" t="s">
        <v>1665</v>
      </c>
      <c r="C65" s="979">
        <v>0</v>
      </c>
      <c r="D65" s="729">
        <v>0</v>
      </c>
      <c r="E65" s="729">
        <v>100.63155999999999</v>
      </c>
      <c r="F65" s="980">
        <v>0</v>
      </c>
      <c r="G65" s="980">
        <v>0</v>
      </c>
      <c r="H65" s="731">
        <f>'[9]FY 2020-21 Q1'!H65*4</f>
        <v>402.52623999999997</v>
      </c>
    </row>
    <row r="66" spans="1:8">
      <c r="A66" s="732" t="s">
        <v>1172</v>
      </c>
      <c r="B66" s="729" t="s">
        <v>1666</v>
      </c>
      <c r="C66" s="979">
        <v>0</v>
      </c>
      <c r="D66" s="729">
        <v>0</v>
      </c>
      <c r="E66" s="729">
        <v>35.537472999999999</v>
      </c>
      <c r="F66" s="980">
        <v>0</v>
      </c>
      <c r="G66" s="980">
        <v>0</v>
      </c>
      <c r="H66" s="731">
        <f>'[9]FY 2020-21 Q1'!H66*4</f>
        <v>142.14989199999999</v>
      </c>
    </row>
    <row r="67" spans="1:8">
      <c r="A67" s="732" t="s">
        <v>1172</v>
      </c>
      <c r="B67" s="729" t="s">
        <v>1667</v>
      </c>
      <c r="C67" s="979">
        <v>0</v>
      </c>
      <c r="D67" s="729">
        <v>0</v>
      </c>
      <c r="E67" s="729">
        <v>67.527320000000003</v>
      </c>
      <c r="F67" s="980">
        <v>0</v>
      </c>
      <c r="G67" s="980">
        <v>0</v>
      </c>
      <c r="H67" s="731">
        <f>'[9]FY 2020-21 Q1'!H67*4</f>
        <v>270.10928000000001</v>
      </c>
    </row>
    <row r="68" spans="1:8">
      <c r="A68" s="732" t="s">
        <v>1172</v>
      </c>
      <c r="B68" s="729" t="s">
        <v>1625</v>
      </c>
      <c r="C68" s="979">
        <v>0</v>
      </c>
      <c r="D68" s="729">
        <v>0</v>
      </c>
      <c r="E68" s="729">
        <v>42.567140999999999</v>
      </c>
      <c r="F68" s="980">
        <v>0</v>
      </c>
      <c r="G68" s="980">
        <v>0</v>
      </c>
      <c r="H68" s="731">
        <f>'[9]FY 2020-21 Q1'!H68*4</f>
        <v>170.268564</v>
      </c>
    </row>
    <row r="69" spans="1:8">
      <c r="A69" s="732" t="s">
        <v>1172</v>
      </c>
      <c r="B69" s="729" t="s">
        <v>1668</v>
      </c>
      <c r="C69" s="979">
        <v>0</v>
      </c>
      <c r="D69" s="729">
        <v>0</v>
      </c>
      <c r="E69" s="729">
        <v>28.436040999999999</v>
      </c>
      <c r="F69" s="980">
        <v>0</v>
      </c>
      <c r="G69" s="980">
        <v>0</v>
      </c>
      <c r="H69" s="731">
        <f>'[9]FY 2020-21 Q1'!H69*4</f>
        <v>113.744164</v>
      </c>
    </row>
    <row r="70" spans="1:8">
      <c r="A70" s="732" t="s">
        <v>1172</v>
      </c>
      <c r="B70" s="729" t="s">
        <v>1669</v>
      </c>
      <c r="C70" s="979">
        <v>0</v>
      </c>
      <c r="D70" s="729">
        <v>0</v>
      </c>
      <c r="E70" s="729">
        <v>36.330922000000001</v>
      </c>
      <c r="F70" s="980">
        <v>0</v>
      </c>
      <c r="G70" s="980">
        <v>0</v>
      </c>
      <c r="H70" s="731">
        <f>'[9]FY 2020-21 Q1'!H70*4</f>
        <v>145.323688</v>
      </c>
    </row>
    <row r="71" spans="1:8">
      <c r="A71" s="732" t="s">
        <v>1172</v>
      </c>
      <c r="B71" s="729" t="s">
        <v>1670</v>
      </c>
      <c r="C71" s="979">
        <v>0</v>
      </c>
      <c r="D71" s="729">
        <v>0</v>
      </c>
      <c r="E71" s="729">
        <v>68.066854000000006</v>
      </c>
      <c r="F71" s="980">
        <v>0</v>
      </c>
      <c r="G71" s="980">
        <v>0</v>
      </c>
      <c r="H71" s="731">
        <f>'[9]FY 2020-21 Q1'!H71*4</f>
        <v>272.26741600000003</v>
      </c>
    </row>
    <row r="72" spans="1:8">
      <c r="A72" s="732" t="s">
        <v>1172</v>
      </c>
      <c r="B72" s="729" t="s">
        <v>1671</v>
      </c>
      <c r="C72" s="979">
        <v>0</v>
      </c>
      <c r="D72" s="729">
        <v>0</v>
      </c>
      <c r="E72" s="729">
        <v>113.052603</v>
      </c>
      <c r="F72" s="980">
        <v>0</v>
      </c>
      <c r="G72" s="980">
        <v>0</v>
      </c>
      <c r="H72" s="731">
        <f>'[9]FY 2020-21 Q1'!H72*4</f>
        <v>452.21041200000002</v>
      </c>
    </row>
    <row r="73" spans="1:8">
      <c r="A73" s="732" t="s">
        <v>1172</v>
      </c>
      <c r="B73" s="729" t="s">
        <v>1627</v>
      </c>
      <c r="C73" s="979">
        <v>0</v>
      </c>
      <c r="D73" s="729">
        <v>0</v>
      </c>
      <c r="E73" s="729">
        <v>62.592188</v>
      </c>
      <c r="F73" s="980">
        <v>0</v>
      </c>
      <c r="G73" s="980">
        <v>0</v>
      </c>
      <c r="H73" s="731">
        <f>'[9]FY 2020-21 Q1'!H73*4</f>
        <v>250.368752</v>
      </c>
    </row>
    <row r="74" spans="1:8">
      <c r="A74" s="732" t="s">
        <v>1172</v>
      </c>
      <c r="B74" s="729" t="s">
        <v>1628</v>
      </c>
      <c r="C74" s="979">
        <v>0</v>
      </c>
      <c r="D74" s="729">
        <v>0</v>
      </c>
      <c r="E74" s="729">
        <v>37.294471000000001</v>
      </c>
      <c r="F74" s="980">
        <v>0</v>
      </c>
      <c r="G74" s="980">
        <v>0</v>
      </c>
      <c r="H74" s="731">
        <f>'[9]FY 2020-21 Q1'!H74*4</f>
        <v>149.17788400000001</v>
      </c>
    </row>
    <row r="75" spans="1:8">
      <c r="A75" s="732" t="s">
        <v>1172</v>
      </c>
      <c r="B75" s="729" t="s">
        <v>1675</v>
      </c>
      <c r="C75" s="979">
        <v>0</v>
      </c>
      <c r="D75" s="729">
        <v>0</v>
      </c>
      <c r="E75" s="729">
        <v>84.456117000000006</v>
      </c>
      <c r="F75" s="980">
        <v>0</v>
      </c>
      <c r="G75" s="980">
        <v>0</v>
      </c>
      <c r="H75" s="731">
        <f>'[9]FY 2020-21 Q1'!H75*4</f>
        <v>337.82446800000002</v>
      </c>
    </row>
    <row r="76" spans="1:8">
      <c r="A76" s="732" t="s">
        <v>1172</v>
      </c>
      <c r="B76" s="729" t="s">
        <v>1676</v>
      </c>
      <c r="C76" s="979">
        <v>0</v>
      </c>
      <c r="D76" s="729">
        <v>0</v>
      </c>
      <c r="E76" s="729">
        <v>114.290228</v>
      </c>
      <c r="F76" s="980">
        <v>0</v>
      </c>
      <c r="G76" s="980">
        <v>0</v>
      </c>
      <c r="H76" s="731">
        <f>'[9]FY 2020-21 Q1'!H76*4</f>
        <v>457.160912</v>
      </c>
    </row>
    <row r="77" spans="1:8">
      <c r="A77" s="732" t="s">
        <v>1172</v>
      </c>
      <c r="B77" s="729" t="s">
        <v>2078</v>
      </c>
      <c r="C77" s="979">
        <v>0</v>
      </c>
      <c r="D77" s="729">
        <v>0</v>
      </c>
      <c r="E77" s="729">
        <v>2.544</v>
      </c>
      <c r="F77" s="980">
        <v>0</v>
      </c>
      <c r="G77" s="980">
        <v>0</v>
      </c>
      <c r="H77" s="731">
        <f>'[9]FY 2020-21 Q1'!H77*4</f>
        <v>10.176</v>
      </c>
    </row>
    <row r="78" spans="1:8">
      <c r="A78" s="732" t="s">
        <v>1172</v>
      </c>
      <c r="B78" s="729" t="s">
        <v>1677</v>
      </c>
      <c r="C78" s="979">
        <v>0</v>
      </c>
      <c r="D78" s="729">
        <v>0</v>
      </c>
      <c r="E78" s="729">
        <v>54.944513999999998</v>
      </c>
      <c r="F78" s="980">
        <v>0</v>
      </c>
      <c r="G78" s="980">
        <v>0</v>
      </c>
      <c r="H78" s="731">
        <f>'[9]FY 2020-21 Q1'!H78*4</f>
        <v>219.77805599999999</v>
      </c>
    </row>
    <row r="79" spans="1:8">
      <c r="A79" s="732" t="s">
        <v>1172</v>
      </c>
      <c r="B79" s="729" t="s">
        <v>1678</v>
      </c>
      <c r="C79" s="979">
        <v>0</v>
      </c>
      <c r="D79" s="729">
        <v>0</v>
      </c>
      <c r="E79" s="729">
        <v>23.130996</v>
      </c>
      <c r="F79" s="980">
        <v>0</v>
      </c>
      <c r="G79" s="980">
        <v>0</v>
      </c>
      <c r="H79" s="731">
        <f>'[9]FY 2020-21 Q1'!H79*4</f>
        <v>92.523983999999999</v>
      </c>
    </row>
    <row r="80" spans="1:8">
      <c r="A80" s="732" t="s">
        <v>1172</v>
      </c>
      <c r="B80" s="729" t="s">
        <v>1679</v>
      </c>
      <c r="C80" s="979">
        <v>0</v>
      </c>
      <c r="D80" s="729">
        <v>0</v>
      </c>
      <c r="E80" s="729">
        <v>58.355549000000003</v>
      </c>
      <c r="F80" s="980">
        <v>0</v>
      </c>
      <c r="G80" s="980">
        <v>0</v>
      </c>
      <c r="H80" s="731">
        <f>'[9]FY 2020-21 Q1'!H80*4</f>
        <v>233.42219600000001</v>
      </c>
    </row>
    <row r="81" spans="1:8">
      <c r="A81" s="732" t="s">
        <v>1172</v>
      </c>
      <c r="B81" s="729" t="s">
        <v>1680</v>
      </c>
      <c r="C81" s="979">
        <v>0</v>
      </c>
      <c r="D81" s="729">
        <v>0</v>
      </c>
      <c r="E81" s="729">
        <v>57.404845999999999</v>
      </c>
      <c r="F81" s="980">
        <v>0</v>
      </c>
      <c r="G81" s="980">
        <v>0</v>
      </c>
      <c r="H81" s="731">
        <f>'[9]FY 2020-21 Q1'!H81*4</f>
        <v>229.619384</v>
      </c>
    </row>
    <row r="82" spans="1:8">
      <c r="A82" s="732" t="s">
        <v>1172</v>
      </c>
      <c r="B82" s="729" t="s">
        <v>1681</v>
      </c>
      <c r="C82" s="979">
        <v>0</v>
      </c>
      <c r="D82" s="729">
        <v>0</v>
      </c>
      <c r="E82" s="729">
        <v>21.235156</v>
      </c>
      <c r="F82" s="980">
        <v>0</v>
      </c>
      <c r="G82" s="980">
        <v>0</v>
      </c>
      <c r="H82" s="731">
        <f>'[9]FY 2020-21 Q1'!H82*4</f>
        <v>84.940624</v>
      </c>
    </row>
    <row r="83" spans="1:8">
      <c r="A83" s="732" t="s">
        <v>1172</v>
      </c>
      <c r="B83" s="729" t="s">
        <v>1682</v>
      </c>
      <c r="C83" s="979">
        <v>0</v>
      </c>
      <c r="D83" s="729">
        <v>0</v>
      </c>
      <c r="E83" s="729">
        <v>39.912351999999998</v>
      </c>
      <c r="F83" s="980">
        <v>0</v>
      </c>
      <c r="G83" s="980">
        <v>0</v>
      </c>
      <c r="H83" s="731">
        <f>'[9]FY 2020-21 Q1'!H83*4</f>
        <v>159.64940799999999</v>
      </c>
    </row>
    <row r="84" spans="1:8">
      <c r="A84" s="732" t="s">
        <v>1172</v>
      </c>
      <c r="B84" s="729" t="s">
        <v>1684</v>
      </c>
      <c r="C84" s="979">
        <v>0</v>
      </c>
      <c r="D84" s="729">
        <v>0</v>
      </c>
      <c r="E84" s="729">
        <v>95.491667000000007</v>
      </c>
      <c r="F84" s="980">
        <v>0</v>
      </c>
      <c r="G84" s="980">
        <v>0</v>
      </c>
      <c r="H84" s="731">
        <f>'[9]FY 2020-21 Q1'!H84*4</f>
        <v>381.96666800000003</v>
      </c>
    </row>
    <row r="85" spans="1:8">
      <c r="A85" s="732" t="s">
        <v>1172</v>
      </c>
      <c r="B85" s="729" t="s">
        <v>1685</v>
      </c>
      <c r="C85" s="979">
        <v>0</v>
      </c>
      <c r="D85" s="729">
        <v>0</v>
      </c>
      <c r="E85" s="729">
        <v>22.020206999999999</v>
      </c>
      <c r="F85" s="980">
        <v>0</v>
      </c>
      <c r="G85" s="980">
        <v>0</v>
      </c>
      <c r="H85" s="731">
        <f>'[9]FY 2020-21 Q1'!H85*4</f>
        <v>88.080827999999997</v>
      </c>
    </row>
    <row r="86" spans="1:8">
      <c r="A86" s="732" t="s">
        <v>1172</v>
      </c>
      <c r="B86" s="729" t="s">
        <v>1630</v>
      </c>
      <c r="C86" s="979">
        <v>0</v>
      </c>
      <c r="D86" s="729">
        <v>0</v>
      </c>
      <c r="E86" s="729">
        <v>59.118429999999996</v>
      </c>
      <c r="F86" s="980">
        <v>0</v>
      </c>
      <c r="G86" s="980">
        <v>0</v>
      </c>
      <c r="H86" s="731">
        <f>'[9]FY 2020-21 Q1'!H86*4</f>
        <v>236.47371999999999</v>
      </c>
    </row>
    <row r="87" spans="1:8">
      <c r="A87" s="732" t="s">
        <v>1172</v>
      </c>
      <c r="B87" s="729" t="s">
        <v>1631</v>
      </c>
      <c r="C87" s="979">
        <v>0</v>
      </c>
      <c r="D87" s="729">
        <v>0</v>
      </c>
      <c r="E87" s="729">
        <v>37.977943000000003</v>
      </c>
      <c r="F87" s="980">
        <v>0</v>
      </c>
      <c r="G87" s="980">
        <v>0</v>
      </c>
      <c r="H87" s="731">
        <f>'[9]FY 2020-21 Q1'!H87*4</f>
        <v>151.91177200000001</v>
      </c>
    </row>
    <row r="88" spans="1:8">
      <c r="A88" s="732" t="s">
        <v>1172</v>
      </c>
      <c r="B88" s="729" t="s">
        <v>1687</v>
      </c>
      <c r="C88" s="979">
        <v>0</v>
      </c>
      <c r="D88" s="729">
        <v>0</v>
      </c>
      <c r="E88" s="729">
        <v>69.809404999999998</v>
      </c>
      <c r="F88" s="980">
        <v>0</v>
      </c>
      <c r="G88" s="980">
        <v>0</v>
      </c>
      <c r="H88" s="731">
        <f>'[9]FY 2020-21 Q1'!H88*4</f>
        <v>279.23761999999999</v>
      </c>
    </row>
    <row r="89" spans="1:8">
      <c r="A89" s="732" t="s">
        <v>1172</v>
      </c>
      <c r="B89" s="729" t="s">
        <v>1688</v>
      </c>
      <c r="C89" s="979">
        <v>0</v>
      </c>
      <c r="D89" s="729">
        <v>0</v>
      </c>
      <c r="E89" s="729">
        <v>53.162219999999998</v>
      </c>
      <c r="F89" s="980">
        <v>0</v>
      </c>
      <c r="G89" s="980">
        <v>0</v>
      </c>
      <c r="H89" s="731">
        <f>'[9]FY 2020-21 Q1'!H89*4</f>
        <v>212.64887999999999</v>
      </c>
    </row>
    <row r="90" spans="1:8">
      <c r="A90" s="732" t="s">
        <v>1172</v>
      </c>
      <c r="B90" s="729" t="s">
        <v>1632</v>
      </c>
      <c r="C90" s="979">
        <v>0</v>
      </c>
      <c r="D90" s="729">
        <v>0</v>
      </c>
      <c r="E90" s="729">
        <v>45.922583000000003</v>
      </c>
      <c r="F90" s="980">
        <v>0</v>
      </c>
      <c r="G90" s="980">
        <v>0</v>
      </c>
      <c r="H90" s="731">
        <f>'[9]FY 2020-21 Q1'!H90*4</f>
        <v>183.69033200000001</v>
      </c>
    </row>
    <row r="91" spans="1:8">
      <c r="A91" s="732" t="s">
        <v>1172</v>
      </c>
      <c r="B91" s="729" t="s">
        <v>1633</v>
      </c>
      <c r="C91" s="979">
        <v>0</v>
      </c>
      <c r="D91" s="729">
        <v>0</v>
      </c>
      <c r="E91" s="729">
        <v>46.267325999999997</v>
      </c>
      <c r="F91" s="980">
        <v>0</v>
      </c>
      <c r="G91" s="980">
        <v>0</v>
      </c>
      <c r="H91" s="731">
        <f>'[9]FY 2020-21 Q1'!H91*4</f>
        <v>185.06930399999999</v>
      </c>
    </row>
    <row r="92" spans="1:8">
      <c r="A92" s="732" t="s">
        <v>1172</v>
      </c>
      <c r="B92" s="729" t="s">
        <v>1691</v>
      </c>
      <c r="C92" s="979">
        <v>0</v>
      </c>
      <c r="D92" s="729">
        <v>0</v>
      </c>
      <c r="E92" s="729">
        <v>27.792795999999999</v>
      </c>
      <c r="F92" s="980">
        <v>0</v>
      </c>
      <c r="G92" s="980">
        <v>0</v>
      </c>
      <c r="H92" s="731">
        <f>'[9]FY 2020-21 Q1'!H92*4</f>
        <v>111.171184</v>
      </c>
    </row>
    <row r="93" spans="1:8">
      <c r="A93" s="732" t="s">
        <v>1172</v>
      </c>
      <c r="B93" s="729" t="s">
        <v>1692</v>
      </c>
      <c r="C93" s="979">
        <v>0</v>
      </c>
      <c r="D93" s="729">
        <v>0</v>
      </c>
      <c r="E93" s="729">
        <v>36.400264999999997</v>
      </c>
      <c r="F93" s="980">
        <v>0</v>
      </c>
      <c r="G93" s="980">
        <v>0</v>
      </c>
      <c r="H93" s="731">
        <f>'[9]FY 2020-21 Q1'!H93*4</f>
        <v>145.60105999999999</v>
      </c>
    </row>
    <row r="94" spans="1:8">
      <c r="A94" s="732" t="s">
        <v>1172</v>
      </c>
      <c r="B94" s="729" t="s">
        <v>1693</v>
      </c>
      <c r="C94" s="979">
        <v>0</v>
      </c>
      <c r="D94" s="729">
        <v>0</v>
      </c>
      <c r="E94" s="729">
        <v>48.799067999999998</v>
      </c>
      <c r="F94" s="980">
        <v>0</v>
      </c>
      <c r="G94" s="980">
        <v>0</v>
      </c>
      <c r="H94" s="731">
        <f>'[9]FY 2020-21 Q1'!H94*4</f>
        <v>195.19627199999999</v>
      </c>
    </row>
    <row r="95" spans="1:8">
      <c r="A95" s="732" t="s">
        <v>1172</v>
      </c>
      <c r="B95" s="729" t="s">
        <v>1694</v>
      </c>
      <c r="C95" s="979">
        <v>0</v>
      </c>
      <c r="D95" s="729">
        <v>0</v>
      </c>
      <c r="E95" s="729">
        <v>38.524140000000003</v>
      </c>
      <c r="F95" s="980">
        <v>0</v>
      </c>
      <c r="G95" s="980">
        <v>0</v>
      </c>
      <c r="H95" s="731">
        <f>'[9]FY 2020-21 Q1'!H95*4</f>
        <v>154.09656000000001</v>
      </c>
    </row>
    <row r="96" spans="1:8">
      <c r="A96" s="732" t="s">
        <v>1172</v>
      </c>
      <c r="B96" s="729" t="s">
        <v>1695</v>
      </c>
      <c r="C96" s="979">
        <v>0</v>
      </c>
      <c r="D96" s="729">
        <v>0</v>
      </c>
      <c r="E96" s="729">
        <v>21.240528999999999</v>
      </c>
      <c r="F96" s="980">
        <v>0</v>
      </c>
      <c r="G96" s="980">
        <v>0</v>
      </c>
      <c r="H96" s="731">
        <f>'[9]FY 2020-21 Q1'!H96*4</f>
        <v>84.962115999999995</v>
      </c>
    </row>
    <row r="97" spans="1:8">
      <c r="A97" s="732" t="s">
        <v>1172</v>
      </c>
      <c r="B97" s="729" t="s">
        <v>1696</v>
      </c>
      <c r="C97" s="979">
        <v>0</v>
      </c>
      <c r="D97" s="729">
        <v>0</v>
      </c>
      <c r="E97" s="729">
        <v>126.829404</v>
      </c>
      <c r="F97" s="980">
        <v>0</v>
      </c>
      <c r="G97" s="980">
        <v>0</v>
      </c>
      <c r="H97" s="731">
        <f>'[9]FY 2020-21 Q1'!H97*4</f>
        <v>507.31761599999999</v>
      </c>
    </row>
    <row r="98" spans="1:8">
      <c r="A98" s="732" t="s">
        <v>1172</v>
      </c>
      <c r="B98" s="729" t="s">
        <v>2062</v>
      </c>
      <c r="C98" s="979">
        <v>0</v>
      </c>
      <c r="D98" s="729">
        <v>0</v>
      </c>
      <c r="E98" s="729">
        <v>4.3725209999999999</v>
      </c>
      <c r="F98" s="980">
        <v>0</v>
      </c>
      <c r="G98" s="980">
        <v>0</v>
      </c>
      <c r="H98" s="731">
        <f>'[9]FY 2020-21 Q1'!H98*4</f>
        <v>17.490084</v>
      </c>
    </row>
    <row r="99" spans="1:8">
      <c r="A99" s="732" t="s">
        <v>1172</v>
      </c>
      <c r="B99" s="729" t="s">
        <v>2063</v>
      </c>
      <c r="C99" s="979">
        <v>0</v>
      </c>
      <c r="D99" s="729">
        <v>0</v>
      </c>
      <c r="E99" s="729">
        <v>29.713280000000001</v>
      </c>
      <c r="F99" s="980">
        <v>0</v>
      </c>
      <c r="G99" s="980">
        <v>0</v>
      </c>
      <c r="H99" s="731">
        <f>'[9]FY 2020-21 Q1'!H99*4</f>
        <v>118.85312</v>
      </c>
    </row>
    <row r="100" spans="1:8">
      <c r="A100" s="732" t="s">
        <v>1172</v>
      </c>
      <c r="B100" s="729" t="s">
        <v>1697</v>
      </c>
      <c r="C100" s="979">
        <v>0</v>
      </c>
      <c r="D100" s="729">
        <v>0</v>
      </c>
      <c r="E100" s="729">
        <v>27.62518</v>
      </c>
      <c r="F100" s="980">
        <v>0</v>
      </c>
      <c r="G100" s="980">
        <v>0</v>
      </c>
      <c r="H100" s="731">
        <f>'[9]FY 2020-21 Q1'!H100*4</f>
        <v>110.50072</v>
      </c>
    </row>
    <row r="101" spans="1:8">
      <c r="A101" s="732" t="s">
        <v>1172</v>
      </c>
      <c r="B101" s="729" t="s">
        <v>2064</v>
      </c>
      <c r="C101" s="979">
        <v>0</v>
      </c>
      <c r="D101" s="729">
        <v>0</v>
      </c>
      <c r="E101" s="729">
        <v>14.0899</v>
      </c>
      <c r="F101" s="980">
        <v>0</v>
      </c>
      <c r="G101" s="980">
        <v>0</v>
      </c>
      <c r="H101" s="731">
        <f>'[9]FY 2020-21 Q1'!H101*4</f>
        <v>56.3596</v>
      </c>
    </row>
    <row r="102" spans="1:8">
      <c r="A102" s="732" t="s">
        <v>1172</v>
      </c>
      <c r="B102" s="729" t="s">
        <v>2065</v>
      </c>
      <c r="C102" s="979">
        <v>0</v>
      </c>
      <c r="D102" s="729">
        <v>0</v>
      </c>
      <c r="E102" s="729">
        <v>2.6571929999999999</v>
      </c>
      <c r="F102" s="980">
        <v>0</v>
      </c>
      <c r="G102" s="980">
        <v>0</v>
      </c>
      <c r="H102" s="731">
        <f>'[9]FY 2020-21 Q1'!H102*4</f>
        <v>10.628772</v>
      </c>
    </row>
    <row r="103" spans="1:8">
      <c r="A103" s="732" t="s">
        <v>1172</v>
      </c>
      <c r="B103" s="729" t="s">
        <v>1634</v>
      </c>
      <c r="C103" s="979">
        <v>0</v>
      </c>
      <c r="D103" s="729">
        <v>0</v>
      </c>
      <c r="E103" s="729">
        <v>123.804321</v>
      </c>
      <c r="F103" s="980">
        <v>0</v>
      </c>
      <c r="G103" s="980">
        <v>0</v>
      </c>
      <c r="H103" s="731">
        <f>'[9]FY 2020-21 Q1'!H103*4</f>
        <v>495.21728400000001</v>
      </c>
    </row>
    <row r="104" spans="1:8">
      <c r="A104" s="732" t="s">
        <v>1172</v>
      </c>
      <c r="B104" s="729" t="s">
        <v>1698</v>
      </c>
      <c r="C104" s="979">
        <v>0</v>
      </c>
      <c r="D104" s="729">
        <v>0</v>
      </c>
      <c r="E104" s="729">
        <v>80.715152000000003</v>
      </c>
      <c r="F104" s="980">
        <v>0</v>
      </c>
      <c r="G104" s="980">
        <v>0</v>
      </c>
      <c r="H104" s="731">
        <f>'[9]FY 2020-21 Q1'!H104*4</f>
        <v>322.86060800000001</v>
      </c>
    </row>
    <row r="105" spans="1:8">
      <c r="A105" s="732" t="s">
        <v>1172</v>
      </c>
      <c r="B105" s="729" t="s">
        <v>1635</v>
      </c>
      <c r="C105" s="979">
        <v>0</v>
      </c>
      <c r="D105" s="729">
        <v>0</v>
      </c>
      <c r="E105" s="729">
        <v>100.032327</v>
      </c>
      <c r="F105" s="980">
        <v>0</v>
      </c>
      <c r="G105" s="980">
        <v>0</v>
      </c>
      <c r="H105" s="731">
        <f>'[9]FY 2020-21 Q1'!H105*4</f>
        <v>400.12930799999998</v>
      </c>
    </row>
    <row r="106" spans="1:8">
      <c r="A106" s="732" t="s">
        <v>1172</v>
      </c>
      <c r="B106" s="729" t="s">
        <v>1636</v>
      </c>
      <c r="C106" s="979">
        <v>0</v>
      </c>
      <c r="D106" s="729">
        <v>0</v>
      </c>
      <c r="E106" s="729">
        <v>203.67214100000001</v>
      </c>
      <c r="F106" s="980">
        <v>0</v>
      </c>
      <c r="G106" s="980">
        <v>0</v>
      </c>
      <c r="H106" s="731">
        <f>'[9]FY 2020-21 Q1'!H106*4</f>
        <v>814.68856400000004</v>
      </c>
    </row>
    <row r="107" spans="1:8">
      <c r="A107" s="732" t="s">
        <v>1172</v>
      </c>
      <c r="B107" s="729" t="s">
        <v>1637</v>
      </c>
      <c r="C107" s="979">
        <v>0</v>
      </c>
      <c r="D107" s="729">
        <v>0</v>
      </c>
      <c r="E107" s="729">
        <v>12.167064</v>
      </c>
      <c r="F107" s="980">
        <v>0</v>
      </c>
      <c r="G107" s="980">
        <v>0</v>
      </c>
      <c r="H107" s="731">
        <f>'[9]FY 2020-21 Q1'!H107*4</f>
        <v>48.668256</v>
      </c>
    </row>
    <row r="108" spans="1:8">
      <c r="A108" s="732" t="s">
        <v>1172</v>
      </c>
      <c r="B108" s="729" t="s">
        <v>1699</v>
      </c>
      <c r="C108" s="979">
        <v>0</v>
      </c>
      <c r="D108" s="729">
        <v>0</v>
      </c>
      <c r="E108" s="729">
        <v>61.115538999999998</v>
      </c>
      <c r="F108" s="980">
        <v>0</v>
      </c>
      <c r="G108" s="980">
        <v>0</v>
      </c>
      <c r="H108" s="731">
        <f>'[9]FY 2020-21 Q1'!H108*4</f>
        <v>244.46215599999999</v>
      </c>
    </row>
    <row r="109" spans="1:8">
      <c r="A109" s="732" t="s">
        <v>1172</v>
      </c>
      <c r="B109" s="729" t="s">
        <v>1700</v>
      </c>
      <c r="C109" s="979">
        <v>0</v>
      </c>
      <c r="D109" s="729">
        <v>0</v>
      </c>
      <c r="E109" s="729">
        <v>10.271806</v>
      </c>
      <c r="F109" s="980">
        <v>0</v>
      </c>
      <c r="G109" s="980">
        <v>0</v>
      </c>
      <c r="H109" s="731">
        <f>'[9]FY 2020-21 Q1'!H109*4</f>
        <v>41.087223999999999</v>
      </c>
    </row>
    <row r="110" spans="1:8">
      <c r="A110" s="732" t="s">
        <v>1172</v>
      </c>
      <c r="B110" s="729" t="s">
        <v>1701</v>
      </c>
      <c r="C110" s="979">
        <v>30.320511</v>
      </c>
      <c r="D110" s="729">
        <v>0</v>
      </c>
      <c r="E110" s="729">
        <v>0</v>
      </c>
      <c r="F110" s="980">
        <v>0</v>
      </c>
      <c r="G110" s="980">
        <v>0</v>
      </c>
      <c r="H110" s="731">
        <f>'[9]FY 2020-21 Q1'!H110*4</f>
        <v>121.282044</v>
      </c>
    </row>
    <row r="111" spans="1:8">
      <c r="A111" s="732" t="s">
        <v>1172</v>
      </c>
      <c r="B111" s="729" t="s">
        <v>1704</v>
      </c>
      <c r="C111" s="979">
        <v>11.233715</v>
      </c>
      <c r="D111" s="729">
        <v>0</v>
      </c>
      <c r="E111" s="729">
        <v>0</v>
      </c>
      <c r="F111" s="980">
        <v>0</v>
      </c>
      <c r="G111" s="980">
        <v>0</v>
      </c>
      <c r="H111" s="731">
        <f>'[9]FY 2020-21 Q1'!H111*4</f>
        <v>44.93486</v>
      </c>
    </row>
    <row r="112" spans="1:8">
      <c r="A112" s="732" t="s">
        <v>1172</v>
      </c>
      <c r="B112" s="729" t="s">
        <v>1707</v>
      </c>
      <c r="C112" s="979">
        <v>9.1884219999999992</v>
      </c>
      <c r="D112" s="729">
        <v>0</v>
      </c>
      <c r="E112" s="729">
        <v>0</v>
      </c>
      <c r="F112" s="980">
        <v>0</v>
      </c>
      <c r="G112" s="980">
        <v>0</v>
      </c>
      <c r="H112" s="731">
        <f>'[9]FY 2020-21 Q1'!H112*4</f>
        <v>36.753687999999997</v>
      </c>
    </row>
    <row r="113" spans="1:8">
      <c r="A113" s="732" t="s">
        <v>1172</v>
      </c>
      <c r="B113" s="729" t="s">
        <v>1708</v>
      </c>
      <c r="C113" s="979">
        <v>28.610451000000001</v>
      </c>
      <c r="D113" s="729">
        <v>0</v>
      </c>
      <c r="E113" s="729">
        <v>0</v>
      </c>
      <c r="F113" s="980">
        <v>0</v>
      </c>
      <c r="G113" s="980">
        <v>0</v>
      </c>
      <c r="H113" s="731">
        <f>'[9]FY 2020-21 Q1'!H113*4</f>
        <v>114.441804</v>
      </c>
    </row>
    <row r="114" spans="1:8">
      <c r="A114" s="732" t="s">
        <v>1172</v>
      </c>
      <c r="B114" s="729" t="s">
        <v>2079</v>
      </c>
      <c r="C114" s="979">
        <v>3.9123999999999999</v>
      </c>
      <c r="D114" s="729">
        <v>0</v>
      </c>
      <c r="E114" s="729">
        <v>0</v>
      </c>
      <c r="F114" s="980">
        <v>0</v>
      </c>
      <c r="G114" s="980">
        <v>0</v>
      </c>
      <c r="H114" s="731">
        <f>'[9]FY 2020-21 Q1'!H114*4</f>
        <v>15.6496</v>
      </c>
    </row>
    <row r="115" spans="1:8">
      <c r="A115" s="732" t="s">
        <v>1172</v>
      </c>
      <c r="B115" s="729" t="s">
        <v>1709</v>
      </c>
      <c r="C115" s="979">
        <v>81.630949999999999</v>
      </c>
      <c r="D115" s="729">
        <v>0</v>
      </c>
      <c r="E115" s="729">
        <v>0</v>
      </c>
      <c r="F115" s="980">
        <v>0</v>
      </c>
      <c r="G115" s="980">
        <v>0</v>
      </c>
      <c r="H115" s="731">
        <f>'[9]FY 2020-21 Q1'!H115*4</f>
        <v>326.52379999999999</v>
      </c>
    </row>
    <row r="116" spans="1:8">
      <c r="A116" s="732" t="s">
        <v>1172</v>
      </c>
      <c r="B116" s="729" t="s">
        <v>1710</v>
      </c>
      <c r="C116" s="979">
        <v>38.366461999999999</v>
      </c>
      <c r="D116" s="729">
        <v>0</v>
      </c>
      <c r="E116" s="729">
        <v>0</v>
      </c>
      <c r="F116" s="980">
        <v>0</v>
      </c>
      <c r="G116" s="980">
        <v>0</v>
      </c>
      <c r="H116" s="731">
        <f>'[9]FY 2020-21 Q1'!H116*4</f>
        <v>153.46584799999999</v>
      </c>
    </row>
    <row r="117" spans="1:8">
      <c r="A117" s="732" t="s">
        <v>1172</v>
      </c>
      <c r="B117" s="729" t="s">
        <v>1638</v>
      </c>
      <c r="C117" s="979">
        <v>63.944481000000003</v>
      </c>
      <c r="D117" s="729">
        <v>0</v>
      </c>
      <c r="E117" s="729">
        <v>0</v>
      </c>
      <c r="F117" s="980">
        <v>0</v>
      </c>
      <c r="G117" s="980">
        <v>0</v>
      </c>
      <c r="H117" s="731">
        <f>'[9]FY 2020-21 Q1'!H117*4</f>
        <v>255.77792400000001</v>
      </c>
    </row>
    <row r="118" spans="1:8">
      <c r="A118" s="732" t="s">
        <v>1172</v>
      </c>
      <c r="B118" s="729" t="s">
        <v>1639</v>
      </c>
      <c r="C118" s="979">
        <v>39.635050999999997</v>
      </c>
      <c r="D118" s="729">
        <v>0</v>
      </c>
      <c r="E118" s="729">
        <v>0</v>
      </c>
      <c r="F118" s="980">
        <v>0</v>
      </c>
      <c r="G118" s="980">
        <v>0</v>
      </c>
      <c r="H118" s="731">
        <f>'[9]FY 2020-21 Q1'!H118*4</f>
        <v>158.54020399999999</v>
      </c>
    </row>
    <row r="119" spans="1:8">
      <c r="A119" s="732" t="s">
        <v>1172</v>
      </c>
      <c r="B119" s="729" t="s">
        <v>1711</v>
      </c>
      <c r="C119" s="979">
        <v>55.761071999999999</v>
      </c>
      <c r="D119" s="729">
        <v>0</v>
      </c>
      <c r="E119" s="729">
        <v>0</v>
      </c>
      <c r="F119" s="980">
        <v>0</v>
      </c>
      <c r="G119" s="980">
        <v>0</v>
      </c>
      <c r="H119" s="731">
        <f>'[9]FY 2020-21 Q1'!H119*4</f>
        <v>223.04428799999999</v>
      </c>
    </row>
    <row r="120" spans="1:8">
      <c r="A120" s="732" t="s">
        <v>1172</v>
      </c>
      <c r="B120" s="729" t="s">
        <v>1712</v>
      </c>
      <c r="C120" s="979">
        <v>66.261922999999996</v>
      </c>
      <c r="D120" s="729">
        <v>0</v>
      </c>
      <c r="E120" s="729">
        <v>0</v>
      </c>
      <c r="F120" s="980">
        <v>0</v>
      </c>
      <c r="G120" s="980">
        <v>0</v>
      </c>
      <c r="H120" s="731">
        <f>'[9]FY 2020-21 Q1'!H120*4</f>
        <v>265.04769199999998</v>
      </c>
    </row>
    <row r="121" spans="1:8">
      <c r="A121" s="732" t="s">
        <v>1172</v>
      </c>
      <c r="B121" s="729" t="s">
        <v>1714</v>
      </c>
      <c r="C121" s="979">
        <v>-0.38800000000000001</v>
      </c>
      <c r="D121" s="729">
        <v>0</v>
      </c>
      <c r="E121" s="729">
        <v>0</v>
      </c>
      <c r="F121" s="980">
        <v>0</v>
      </c>
      <c r="G121" s="980">
        <v>0</v>
      </c>
      <c r="H121" s="731">
        <f>'[9]FY 2020-21 Q1'!H121*4</f>
        <v>-1.552</v>
      </c>
    </row>
    <row r="122" spans="1:8">
      <c r="A122" s="732" t="s">
        <v>1172</v>
      </c>
      <c r="B122" s="729" t="s">
        <v>1715</v>
      </c>
      <c r="C122" s="979">
        <v>32.213275000000003</v>
      </c>
      <c r="D122" s="729">
        <v>0</v>
      </c>
      <c r="E122" s="729">
        <v>0</v>
      </c>
      <c r="F122" s="980">
        <v>0</v>
      </c>
      <c r="G122" s="980">
        <v>0</v>
      </c>
      <c r="H122" s="731">
        <f>'[9]FY 2020-21 Q1'!H122*4</f>
        <v>128.85310000000001</v>
      </c>
    </row>
    <row r="123" spans="1:8">
      <c r="A123" s="732" t="s">
        <v>1172</v>
      </c>
      <c r="B123" s="729" t="s">
        <v>2066</v>
      </c>
      <c r="C123" s="979">
        <v>85.304682999999997</v>
      </c>
      <c r="D123" s="729">
        <v>0</v>
      </c>
      <c r="E123" s="729">
        <v>0</v>
      </c>
      <c r="F123" s="980">
        <v>0</v>
      </c>
      <c r="G123" s="980">
        <v>0</v>
      </c>
      <c r="H123" s="731">
        <f>'[9]FY 2020-21 Q1'!H123*4</f>
        <v>341.21873199999999</v>
      </c>
    </row>
    <row r="124" spans="1:8">
      <c r="A124" s="732" t="s">
        <v>1172</v>
      </c>
      <c r="B124" s="729" t="s">
        <v>1717</v>
      </c>
      <c r="C124" s="979">
        <v>44.853513</v>
      </c>
      <c r="D124" s="729">
        <v>0</v>
      </c>
      <c r="E124" s="729">
        <v>0</v>
      </c>
      <c r="F124" s="980">
        <v>0</v>
      </c>
      <c r="G124" s="980">
        <v>0</v>
      </c>
      <c r="H124" s="731">
        <f>'[9]FY 2020-21 Q1'!H124*4</f>
        <v>179.414052</v>
      </c>
    </row>
    <row r="125" spans="1:8">
      <c r="A125" s="732" t="s">
        <v>1172</v>
      </c>
      <c r="B125" s="729" t="s">
        <v>1640</v>
      </c>
      <c r="C125" s="979">
        <v>127.670483</v>
      </c>
      <c r="D125" s="729">
        <v>0</v>
      </c>
      <c r="E125" s="729">
        <v>0</v>
      </c>
      <c r="F125" s="980">
        <v>0</v>
      </c>
      <c r="G125" s="980">
        <v>0</v>
      </c>
      <c r="H125" s="731">
        <f>'[9]FY 2020-21 Q1'!H125*4</f>
        <v>510.68193200000002</v>
      </c>
    </row>
    <row r="126" spans="1:8">
      <c r="A126" s="732" t="s">
        <v>1172</v>
      </c>
      <c r="B126" s="729" t="s">
        <v>1718</v>
      </c>
      <c r="C126" s="979">
        <v>35.003143999999999</v>
      </c>
      <c r="D126" s="729">
        <v>0</v>
      </c>
      <c r="E126" s="729">
        <v>0</v>
      </c>
      <c r="F126" s="980">
        <v>0</v>
      </c>
      <c r="G126" s="980">
        <v>0</v>
      </c>
      <c r="H126" s="731">
        <f>'[9]FY 2020-21 Q1'!H126*4</f>
        <v>140.012576</v>
      </c>
    </row>
    <row r="127" spans="1:8">
      <c r="A127" s="732" t="s">
        <v>1172</v>
      </c>
      <c r="B127" s="729" t="s">
        <v>1719</v>
      </c>
      <c r="C127" s="979">
        <v>66.214440999999994</v>
      </c>
      <c r="D127" s="729">
        <v>0</v>
      </c>
      <c r="E127" s="729">
        <v>0</v>
      </c>
      <c r="F127" s="980">
        <v>0</v>
      </c>
      <c r="G127" s="980">
        <v>0</v>
      </c>
      <c r="H127" s="731">
        <f>'[9]FY 2020-21 Q1'!H127*4</f>
        <v>264.85776399999997</v>
      </c>
    </row>
    <row r="128" spans="1:8">
      <c r="A128" s="732" t="s">
        <v>1172</v>
      </c>
      <c r="B128" s="729" t="s">
        <v>1720</v>
      </c>
      <c r="C128" s="979">
        <v>14.256959999999999</v>
      </c>
      <c r="D128" s="729">
        <v>0</v>
      </c>
      <c r="E128" s="729">
        <v>0</v>
      </c>
      <c r="F128" s="980">
        <v>0</v>
      </c>
      <c r="G128" s="980">
        <v>0</v>
      </c>
      <c r="H128" s="731">
        <f>'[9]FY 2020-21 Q1'!H128*4</f>
        <v>57.027839999999998</v>
      </c>
    </row>
    <row r="129" spans="1:8">
      <c r="A129" s="732" t="s">
        <v>1172</v>
      </c>
      <c r="B129" s="729" t="s">
        <v>1641</v>
      </c>
      <c r="C129" s="979">
        <v>21.831503999999999</v>
      </c>
      <c r="D129" s="729">
        <v>0</v>
      </c>
      <c r="E129" s="729">
        <v>0</v>
      </c>
      <c r="F129" s="980">
        <v>0</v>
      </c>
      <c r="G129" s="980">
        <v>0</v>
      </c>
      <c r="H129" s="731">
        <f>'[9]FY 2020-21 Q1'!H129*4</f>
        <v>87.326015999999996</v>
      </c>
    </row>
    <row r="130" spans="1:8">
      <c r="A130" s="732" t="s">
        <v>1172</v>
      </c>
      <c r="B130" s="729" t="s">
        <v>1722</v>
      </c>
      <c r="C130" s="979">
        <v>33.266522000000002</v>
      </c>
      <c r="D130" s="729">
        <v>0</v>
      </c>
      <c r="E130" s="729">
        <v>0</v>
      </c>
      <c r="F130" s="980">
        <v>0</v>
      </c>
      <c r="G130" s="980">
        <v>0</v>
      </c>
      <c r="H130" s="731">
        <f>'[9]FY 2020-21 Q1'!H130*4</f>
        <v>133.06608800000001</v>
      </c>
    </row>
    <row r="131" spans="1:8">
      <c r="A131" s="732" t="s">
        <v>1172</v>
      </c>
      <c r="B131" s="729" t="s">
        <v>1723</v>
      </c>
      <c r="C131" s="979">
        <v>43.725079000000001</v>
      </c>
      <c r="D131" s="729">
        <v>0</v>
      </c>
      <c r="E131" s="729">
        <v>0</v>
      </c>
      <c r="F131" s="980">
        <v>0</v>
      </c>
      <c r="G131" s="980">
        <v>0</v>
      </c>
      <c r="H131" s="731">
        <f>'[9]FY 2020-21 Q1'!H131*4</f>
        <v>174.900316</v>
      </c>
    </row>
    <row r="132" spans="1:8">
      <c r="A132" s="732" t="s">
        <v>1172</v>
      </c>
      <c r="B132" s="729" t="s">
        <v>1724</v>
      </c>
      <c r="C132" s="979">
        <v>33.225340000000003</v>
      </c>
      <c r="D132" s="729">
        <v>0</v>
      </c>
      <c r="E132" s="729">
        <v>0</v>
      </c>
      <c r="F132" s="980">
        <v>0</v>
      </c>
      <c r="G132" s="980">
        <v>0</v>
      </c>
      <c r="H132" s="731">
        <f>'[9]FY 2020-21 Q1'!H132*4</f>
        <v>132.90136000000001</v>
      </c>
    </row>
    <row r="133" spans="1:8">
      <c r="A133" s="732" t="s">
        <v>1172</v>
      </c>
      <c r="B133" s="729" t="s">
        <v>1725</v>
      </c>
      <c r="C133" s="979">
        <v>15.587909</v>
      </c>
      <c r="D133" s="729">
        <v>0</v>
      </c>
      <c r="E133" s="729">
        <v>0</v>
      </c>
      <c r="F133" s="980">
        <v>0</v>
      </c>
      <c r="G133" s="980">
        <v>0</v>
      </c>
      <c r="H133" s="731">
        <f>'[9]FY 2020-21 Q1'!H133*4</f>
        <v>62.351635999999999</v>
      </c>
    </row>
    <row r="134" spans="1:8">
      <c r="A134" s="732" t="s">
        <v>1172</v>
      </c>
      <c r="B134" s="729" t="s">
        <v>1644</v>
      </c>
      <c r="C134" s="979">
        <v>88.359661000000003</v>
      </c>
      <c r="D134" s="729">
        <v>0</v>
      </c>
      <c r="E134" s="729">
        <v>0</v>
      </c>
      <c r="F134" s="980">
        <v>0</v>
      </c>
      <c r="G134" s="980">
        <v>0</v>
      </c>
      <c r="H134" s="731">
        <f>'[9]FY 2020-21 Q1'!H134*4</f>
        <v>353.43864400000001</v>
      </c>
    </row>
    <row r="135" spans="1:8">
      <c r="A135" s="732" t="s">
        <v>1172</v>
      </c>
      <c r="B135" s="729" t="s">
        <v>1727</v>
      </c>
      <c r="C135" s="979">
        <v>114.635436</v>
      </c>
      <c r="D135" s="729">
        <v>0</v>
      </c>
      <c r="E135" s="729">
        <v>0</v>
      </c>
      <c r="F135" s="980">
        <v>0</v>
      </c>
      <c r="G135" s="980">
        <v>0</v>
      </c>
      <c r="H135" s="731">
        <f>'[9]FY 2020-21 Q1'!H135*4</f>
        <v>458.54174399999999</v>
      </c>
    </row>
    <row r="136" spans="1:8">
      <c r="A136" s="732" t="s">
        <v>1172</v>
      </c>
      <c r="B136" s="729" t="s">
        <v>1728</v>
      </c>
      <c r="C136" s="979">
        <v>20.468119999999999</v>
      </c>
      <c r="D136" s="729">
        <v>0</v>
      </c>
      <c r="E136" s="729">
        <v>0</v>
      </c>
      <c r="F136" s="980">
        <v>0</v>
      </c>
      <c r="G136" s="980">
        <v>0</v>
      </c>
      <c r="H136" s="731">
        <f>'[9]FY 2020-21 Q1'!H136*4</f>
        <v>81.872479999999996</v>
      </c>
    </row>
    <row r="137" spans="1:8">
      <c r="A137" s="732" t="s">
        <v>1172</v>
      </c>
      <c r="B137" s="729" t="s">
        <v>1729</v>
      </c>
      <c r="C137" s="979">
        <v>7.2078389999999999</v>
      </c>
      <c r="D137" s="729">
        <v>0</v>
      </c>
      <c r="E137" s="729">
        <v>0</v>
      </c>
      <c r="F137" s="980">
        <v>0</v>
      </c>
      <c r="G137" s="980">
        <v>0</v>
      </c>
      <c r="H137" s="731">
        <f>'[9]FY 2020-21 Q1'!H137*4</f>
        <v>28.831356</v>
      </c>
    </row>
    <row r="138" spans="1:8">
      <c r="A138" s="732" t="s">
        <v>1172</v>
      </c>
      <c r="B138" s="729" t="s">
        <v>1730</v>
      </c>
      <c r="C138" s="979">
        <v>6.0276690000000004</v>
      </c>
      <c r="D138" s="729">
        <v>0</v>
      </c>
      <c r="E138" s="729">
        <v>0</v>
      </c>
      <c r="F138" s="980">
        <v>0</v>
      </c>
      <c r="G138" s="980">
        <v>0</v>
      </c>
      <c r="H138" s="731">
        <f>'[9]FY 2020-21 Q1'!H138*4</f>
        <v>24.110676000000002</v>
      </c>
    </row>
    <row r="139" spans="1:8">
      <c r="A139" s="732" t="s">
        <v>1172</v>
      </c>
      <c r="B139" s="729" t="s">
        <v>1731</v>
      </c>
      <c r="C139" s="979">
        <v>55.874841000000004</v>
      </c>
      <c r="D139" s="729">
        <v>0</v>
      </c>
      <c r="E139" s="729">
        <v>0</v>
      </c>
      <c r="F139" s="980">
        <v>0</v>
      </c>
      <c r="G139" s="980">
        <v>0</v>
      </c>
      <c r="H139" s="731">
        <f>'[9]FY 2020-21 Q1'!H139*4</f>
        <v>223.49936400000001</v>
      </c>
    </row>
    <row r="140" spans="1:8">
      <c r="A140" s="732" t="s">
        <v>1172</v>
      </c>
      <c r="B140" s="729" t="s">
        <v>1732</v>
      </c>
      <c r="C140" s="979">
        <v>32.771301999999999</v>
      </c>
      <c r="D140" s="729">
        <v>0</v>
      </c>
      <c r="E140" s="729">
        <v>0</v>
      </c>
      <c r="F140" s="980">
        <v>0</v>
      </c>
      <c r="G140" s="980">
        <v>0</v>
      </c>
      <c r="H140" s="731">
        <f>'[9]FY 2020-21 Q1'!H140*4</f>
        <v>131.08520799999999</v>
      </c>
    </row>
    <row r="141" spans="1:8">
      <c r="A141" s="732" t="s">
        <v>1172</v>
      </c>
      <c r="B141" s="729" t="s">
        <v>1733</v>
      </c>
      <c r="C141" s="979">
        <v>27.565131999999998</v>
      </c>
      <c r="D141" s="729">
        <v>0</v>
      </c>
      <c r="E141" s="729">
        <v>0</v>
      </c>
      <c r="F141" s="980">
        <v>0</v>
      </c>
      <c r="G141" s="980">
        <v>0</v>
      </c>
      <c r="H141" s="731">
        <f>'[9]FY 2020-21 Q1'!H141*4</f>
        <v>110.26052799999999</v>
      </c>
    </row>
    <row r="142" spans="1:8">
      <c r="A142" s="732" t="s">
        <v>1172</v>
      </c>
      <c r="B142" s="729" t="s">
        <v>1645</v>
      </c>
      <c r="C142" s="979">
        <v>54.542642999999998</v>
      </c>
      <c r="D142" s="729">
        <v>0</v>
      </c>
      <c r="E142" s="729">
        <v>0</v>
      </c>
      <c r="F142" s="980">
        <v>0</v>
      </c>
      <c r="G142" s="980">
        <v>0</v>
      </c>
      <c r="H142" s="731">
        <f>'[9]FY 2020-21 Q1'!H142*4</f>
        <v>218.17057199999999</v>
      </c>
    </row>
    <row r="143" spans="1:8">
      <c r="A143" s="732" t="s">
        <v>1172</v>
      </c>
      <c r="B143" s="729" t="s">
        <v>1646</v>
      </c>
      <c r="C143" s="979">
        <v>34.438845999999998</v>
      </c>
      <c r="D143" s="729">
        <v>0</v>
      </c>
      <c r="E143" s="729">
        <v>0</v>
      </c>
      <c r="F143" s="980">
        <v>0</v>
      </c>
      <c r="G143" s="980">
        <v>0</v>
      </c>
      <c r="H143" s="731">
        <f>'[9]FY 2020-21 Q1'!H143*4</f>
        <v>137.75538399999999</v>
      </c>
    </row>
    <row r="144" spans="1:8">
      <c r="A144" s="732" t="s">
        <v>1172</v>
      </c>
      <c r="B144" s="729" t="s">
        <v>1735</v>
      </c>
      <c r="C144" s="979">
        <v>33.633232</v>
      </c>
      <c r="D144" s="729">
        <v>0</v>
      </c>
      <c r="E144" s="729">
        <v>0</v>
      </c>
      <c r="F144" s="980">
        <v>0</v>
      </c>
      <c r="G144" s="980">
        <v>0</v>
      </c>
      <c r="H144" s="731">
        <f>'[9]FY 2020-21 Q1'!H144*4</f>
        <v>134.532928</v>
      </c>
    </row>
    <row r="145" spans="1:8">
      <c r="A145" s="732" t="s">
        <v>1172</v>
      </c>
      <c r="B145" s="729" t="s">
        <v>1741</v>
      </c>
      <c r="C145" s="979">
        <v>101.1978</v>
      </c>
      <c r="D145" s="729">
        <v>0</v>
      </c>
      <c r="E145" s="729">
        <v>0</v>
      </c>
      <c r="F145" s="980">
        <v>0</v>
      </c>
      <c r="G145" s="980">
        <v>0</v>
      </c>
      <c r="H145" s="731">
        <f>'[9]FY 2020-21 Q1'!H145*4</f>
        <v>404.7912</v>
      </c>
    </row>
    <row r="146" spans="1:8">
      <c r="A146" s="732" t="s">
        <v>1172</v>
      </c>
      <c r="B146" s="729" t="s">
        <v>1736</v>
      </c>
      <c r="C146" s="979">
        <v>47.059370999999999</v>
      </c>
      <c r="D146" s="729">
        <v>0</v>
      </c>
      <c r="E146" s="729">
        <v>0</v>
      </c>
      <c r="F146" s="980">
        <v>0</v>
      </c>
      <c r="G146" s="980">
        <v>0</v>
      </c>
      <c r="H146" s="731">
        <f>'[9]FY 2020-21 Q1'!H146*4</f>
        <v>188.23748399999999</v>
      </c>
    </row>
    <row r="147" spans="1:8">
      <c r="A147" s="732" t="s">
        <v>1172</v>
      </c>
      <c r="B147" s="729" t="s">
        <v>1737</v>
      </c>
      <c r="C147" s="979">
        <v>15.55911</v>
      </c>
      <c r="D147" s="729">
        <v>0</v>
      </c>
      <c r="E147" s="729">
        <v>0</v>
      </c>
      <c r="F147" s="980">
        <v>0</v>
      </c>
      <c r="G147" s="980">
        <v>0</v>
      </c>
      <c r="H147" s="731">
        <f>'[9]FY 2020-21 Q1'!H147*4</f>
        <v>62.236440000000002</v>
      </c>
    </row>
    <row r="148" spans="1:8">
      <c r="A148" s="732" t="s">
        <v>1172</v>
      </c>
      <c r="B148" s="729" t="s">
        <v>1647</v>
      </c>
      <c r="C148" s="979">
        <v>39.640501</v>
      </c>
      <c r="D148" s="729">
        <v>0</v>
      </c>
      <c r="E148" s="729">
        <v>0</v>
      </c>
      <c r="F148" s="980">
        <v>0</v>
      </c>
      <c r="G148" s="980">
        <v>0</v>
      </c>
      <c r="H148" s="731">
        <f>'[9]FY 2020-21 Q1'!H148*4</f>
        <v>158.562004</v>
      </c>
    </row>
    <row r="149" spans="1:8">
      <c r="A149" s="732" t="s">
        <v>1172</v>
      </c>
      <c r="B149" s="729" t="s">
        <v>1738</v>
      </c>
      <c r="C149" s="979">
        <v>30.745683</v>
      </c>
      <c r="D149" s="729">
        <v>0</v>
      </c>
      <c r="E149" s="729">
        <v>0</v>
      </c>
      <c r="F149" s="980">
        <v>0</v>
      </c>
      <c r="G149" s="980">
        <v>0</v>
      </c>
      <c r="H149" s="731">
        <f>'[9]FY 2020-21 Q1'!H149*4</f>
        <v>122.982732</v>
      </c>
    </row>
    <row r="150" spans="1:8">
      <c r="A150" s="732" t="s">
        <v>1172</v>
      </c>
      <c r="B150" s="729" t="s">
        <v>1739</v>
      </c>
      <c r="C150" s="979">
        <v>18.868763999999999</v>
      </c>
      <c r="D150" s="729">
        <v>0</v>
      </c>
      <c r="E150" s="729">
        <v>0</v>
      </c>
      <c r="F150" s="980">
        <v>0</v>
      </c>
      <c r="G150" s="980">
        <v>0</v>
      </c>
      <c r="H150" s="731">
        <f>'[9]FY 2020-21 Q1'!H150*4</f>
        <v>75.475055999999995</v>
      </c>
    </row>
    <row r="151" spans="1:8">
      <c r="A151" s="732" t="s">
        <v>1172</v>
      </c>
      <c r="B151" s="729" t="s">
        <v>1740</v>
      </c>
      <c r="C151" s="979">
        <v>91.394508999999999</v>
      </c>
      <c r="D151" s="729">
        <v>0</v>
      </c>
      <c r="E151" s="729">
        <v>0</v>
      </c>
      <c r="F151" s="980">
        <v>0</v>
      </c>
      <c r="G151" s="980">
        <v>0</v>
      </c>
      <c r="H151" s="731">
        <f>'[9]FY 2020-21 Q1'!H151*4</f>
        <v>365.578036</v>
      </c>
    </row>
    <row r="152" spans="1:8">
      <c r="A152" s="732" t="s">
        <v>1172</v>
      </c>
      <c r="B152" s="729" t="s">
        <v>1648</v>
      </c>
      <c r="C152" s="979">
        <v>112.98813199999999</v>
      </c>
      <c r="D152" s="729">
        <v>0</v>
      </c>
      <c r="E152" s="729">
        <v>0</v>
      </c>
      <c r="F152" s="980">
        <v>0</v>
      </c>
      <c r="G152" s="980">
        <v>0</v>
      </c>
      <c r="H152" s="731">
        <f>'[9]FY 2020-21 Q1'!H152*4</f>
        <v>451.95252799999997</v>
      </c>
    </row>
    <row r="153" spans="1:8">
      <c r="A153" s="732" t="s">
        <v>1172</v>
      </c>
      <c r="B153" s="729" t="s">
        <v>1742</v>
      </c>
      <c r="C153" s="979">
        <v>22.269770999999999</v>
      </c>
      <c r="D153" s="729">
        <v>0</v>
      </c>
      <c r="E153" s="729">
        <v>0</v>
      </c>
      <c r="F153" s="980">
        <v>0</v>
      </c>
      <c r="G153" s="980">
        <v>0</v>
      </c>
      <c r="H153" s="731">
        <f>'[9]FY 2020-21 Q1'!H153*4</f>
        <v>89.079083999999995</v>
      </c>
    </row>
    <row r="154" spans="1:8">
      <c r="A154" s="732" t="s">
        <v>1172</v>
      </c>
      <c r="B154" s="729" t="s">
        <v>1743</v>
      </c>
      <c r="C154" s="979">
        <v>46.043944000000003</v>
      </c>
      <c r="D154" s="729">
        <v>0</v>
      </c>
      <c r="E154" s="729">
        <v>0</v>
      </c>
      <c r="F154" s="980">
        <v>0</v>
      </c>
      <c r="G154" s="980">
        <v>0</v>
      </c>
      <c r="H154" s="731">
        <f>'[9]FY 2020-21 Q1'!H154*4</f>
        <v>184.17577600000001</v>
      </c>
    </row>
    <row r="155" spans="1:8">
      <c r="A155" s="732" t="s">
        <v>1172</v>
      </c>
      <c r="B155" s="729" t="s">
        <v>1745</v>
      </c>
      <c r="C155" s="979">
        <v>15.523288000000001</v>
      </c>
      <c r="D155" s="729">
        <v>0</v>
      </c>
      <c r="E155" s="729">
        <v>0</v>
      </c>
      <c r="F155" s="980">
        <v>0</v>
      </c>
      <c r="G155" s="980">
        <v>0</v>
      </c>
      <c r="H155" s="731">
        <f>'[9]FY 2020-21 Q1'!H155*4</f>
        <v>62.093152000000003</v>
      </c>
    </row>
    <row r="156" spans="1:8">
      <c r="A156" s="732" t="s">
        <v>1172</v>
      </c>
      <c r="B156" s="729" t="s">
        <v>1746</v>
      </c>
      <c r="C156" s="979">
        <v>44.101281</v>
      </c>
      <c r="D156" s="729">
        <v>0</v>
      </c>
      <c r="E156" s="729">
        <v>0</v>
      </c>
      <c r="F156" s="980">
        <v>0</v>
      </c>
      <c r="G156" s="980">
        <v>0</v>
      </c>
      <c r="H156" s="731">
        <f>'[9]FY 2020-21 Q1'!H156*4</f>
        <v>176.405124</v>
      </c>
    </row>
    <row r="157" spans="1:8">
      <c r="A157" s="732" t="s">
        <v>1172</v>
      </c>
      <c r="B157" s="729" t="s">
        <v>1649</v>
      </c>
      <c r="C157" s="979">
        <v>74.466286999999994</v>
      </c>
      <c r="D157" s="729">
        <v>0</v>
      </c>
      <c r="E157" s="729">
        <v>0</v>
      </c>
      <c r="F157" s="980">
        <v>0</v>
      </c>
      <c r="G157" s="980">
        <v>0</v>
      </c>
      <c r="H157" s="731">
        <f>'[9]FY 2020-21 Q1'!H157*4</f>
        <v>297.86514799999998</v>
      </c>
    </row>
    <row r="158" spans="1:8">
      <c r="A158" s="732" t="s">
        <v>1172</v>
      </c>
      <c r="B158" s="729" t="s">
        <v>2058</v>
      </c>
      <c r="C158" s="979">
        <v>45.317601000000003</v>
      </c>
      <c r="D158" s="729">
        <v>0</v>
      </c>
      <c r="E158" s="729">
        <v>0</v>
      </c>
      <c r="F158" s="980">
        <v>0</v>
      </c>
      <c r="G158" s="980">
        <v>0</v>
      </c>
      <c r="H158" s="731">
        <f>'[9]FY 2020-21 Q1'!H158*4</f>
        <v>181.27040400000001</v>
      </c>
    </row>
    <row r="159" spans="1:8">
      <c r="A159" s="732" t="s">
        <v>1172</v>
      </c>
      <c r="B159" s="729" t="s">
        <v>2059</v>
      </c>
      <c r="C159" s="979">
        <v>71.689487999999997</v>
      </c>
      <c r="D159" s="729">
        <v>0</v>
      </c>
      <c r="E159" s="729">
        <v>0</v>
      </c>
      <c r="F159" s="980">
        <v>0</v>
      </c>
      <c r="G159" s="980">
        <v>0</v>
      </c>
      <c r="H159" s="731">
        <f>'[9]FY 2020-21 Q1'!H159*4</f>
        <v>286.75795199999999</v>
      </c>
    </row>
    <row r="160" spans="1:8">
      <c r="A160" s="732" t="s">
        <v>1172</v>
      </c>
      <c r="B160" s="729" t="s">
        <v>1650</v>
      </c>
      <c r="C160" s="979">
        <v>103.65455799999999</v>
      </c>
      <c r="D160" s="729">
        <v>0</v>
      </c>
      <c r="E160" s="729">
        <v>0</v>
      </c>
      <c r="F160" s="980">
        <v>0</v>
      </c>
      <c r="G160" s="980">
        <v>0</v>
      </c>
      <c r="H160" s="731">
        <f>'[9]FY 2020-21 Q1'!H160*4</f>
        <v>414.61823199999998</v>
      </c>
    </row>
    <row r="161" spans="1:8">
      <c r="A161" s="732" t="s">
        <v>1172</v>
      </c>
      <c r="B161" s="729" t="s">
        <v>1747</v>
      </c>
      <c r="C161" s="979">
        <v>46.641710000000003</v>
      </c>
      <c r="D161" s="729">
        <v>0</v>
      </c>
      <c r="E161" s="729">
        <v>0</v>
      </c>
      <c r="F161" s="980">
        <v>0</v>
      </c>
      <c r="G161" s="980">
        <v>0</v>
      </c>
      <c r="H161" s="731">
        <f>'[9]FY 2020-21 Q1'!H161*4</f>
        <v>186.56684000000001</v>
      </c>
    </row>
    <row r="162" spans="1:8">
      <c r="A162" s="732" t="s">
        <v>1172</v>
      </c>
      <c r="B162" s="729" t="s">
        <v>2060</v>
      </c>
      <c r="C162" s="979">
        <v>4.9420000000000002</v>
      </c>
      <c r="D162" s="729">
        <v>0</v>
      </c>
      <c r="E162" s="729">
        <v>0</v>
      </c>
      <c r="F162" s="980">
        <v>0</v>
      </c>
      <c r="G162" s="980">
        <v>0</v>
      </c>
      <c r="H162" s="731">
        <f>'[9]FY 2020-21 Q1'!H162*4</f>
        <v>19.768000000000001</v>
      </c>
    </row>
    <row r="163" spans="1:8">
      <c r="A163" s="732" t="s">
        <v>1172</v>
      </c>
      <c r="B163" s="729" t="s">
        <v>1748</v>
      </c>
      <c r="C163" s="979">
        <v>15.242286</v>
      </c>
      <c r="D163" s="729">
        <v>0</v>
      </c>
      <c r="E163" s="729">
        <v>0</v>
      </c>
      <c r="F163" s="980">
        <v>0</v>
      </c>
      <c r="G163" s="980">
        <v>0</v>
      </c>
      <c r="H163" s="731">
        <f>'[9]FY 2020-21 Q1'!H163*4</f>
        <v>60.969144</v>
      </c>
    </row>
    <row r="164" spans="1:8">
      <c r="A164" s="732" t="s">
        <v>1172</v>
      </c>
      <c r="B164" s="729" t="s">
        <v>2067</v>
      </c>
      <c r="C164" s="979">
        <v>62.303449999999998</v>
      </c>
      <c r="D164" s="729">
        <v>0</v>
      </c>
      <c r="E164" s="729">
        <v>0</v>
      </c>
      <c r="F164" s="980">
        <v>0</v>
      </c>
      <c r="G164" s="980">
        <v>0</v>
      </c>
      <c r="H164" s="731">
        <f>'[9]FY 2020-21 Q1'!H164*4</f>
        <v>249.21379999999999</v>
      </c>
    </row>
    <row r="165" spans="1:8">
      <c r="A165" s="732" t="s">
        <v>1172</v>
      </c>
      <c r="B165" s="729" t="s">
        <v>1651</v>
      </c>
      <c r="C165" s="979">
        <v>113.934736</v>
      </c>
      <c r="D165" s="729">
        <v>0</v>
      </c>
      <c r="E165" s="729">
        <v>0</v>
      </c>
      <c r="F165" s="980">
        <v>0</v>
      </c>
      <c r="G165" s="980">
        <v>0</v>
      </c>
      <c r="H165" s="731">
        <f>'[9]FY 2020-21 Q1'!H165*4</f>
        <v>455.738944</v>
      </c>
    </row>
    <row r="166" spans="1:8">
      <c r="A166" s="732" t="s">
        <v>1172</v>
      </c>
      <c r="B166" s="729" t="s">
        <v>1751</v>
      </c>
      <c r="C166" s="979">
        <v>15.481222000000001</v>
      </c>
      <c r="D166" s="729">
        <v>0</v>
      </c>
      <c r="E166" s="729">
        <v>0</v>
      </c>
      <c r="F166" s="980">
        <v>0</v>
      </c>
      <c r="G166" s="980">
        <v>0</v>
      </c>
      <c r="H166" s="731">
        <f>'[9]FY 2020-21 Q1'!H166*4</f>
        <v>61.924888000000003</v>
      </c>
    </row>
    <row r="167" spans="1:8">
      <c r="A167" s="732" t="s">
        <v>1172</v>
      </c>
      <c r="B167" s="729" t="s">
        <v>1652</v>
      </c>
      <c r="C167" s="979">
        <v>49.492203000000003</v>
      </c>
      <c r="D167" s="729">
        <v>0</v>
      </c>
      <c r="E167" s="729">
        <v>0</v>
      </c>
      <c r="F167" s="980">
        <v>0</v>
      </c>
      <c r="G167" s="980">
        <v>0</v>
      </c>
      <c r="H167" s="731">
        <f>'[9]FY 2020-21 Q1'!H167*4</f>
        <v>197.96881200000001</v>
      </c>
    </row>
    <row r="168" spans="1:8">
      <c r="A168" s="732" t="s">
        <v>1172</v>
      </c>
      <c r="B168" s="729" t="s">
        <v>1653</v>
      </c>
      <c r="C168" s="979">
        <v>41.149963</v>
      </c>
      <c r="D168" s="729">
        <v>0</v>
      </c>
      <c r="E168" s="729">
        <v>0</v>
      </c>
      <c r="F168" s="980">
        <v>0</v>
      </c>
      <c r="G168" s="980">
        <v>0</v>
      </c>
      <c r="H168" s="731">
        <f>'[9]FY 2020-21 Q1'!H168*4</f>
        <v>164.599852</v>
      </c>
    </row>
    <row r="169" spans="1:8">
      <c r="A169" s="732" t="s">
        <v>1172</v>
      </c>
      <c r="B169" s="729" t="s">
        <v>1752</v>
      </c>
      <c r="C169" s="979">
        <v>56.875988</v>
      </c>
      <c r="D169" s="729">
        <v>0</v>
      </c>
      <c r="E169" s="729">
        <v>0</v>
      </c>
      <c r="F169" s="980">
        <v>0</v>
      </c>
      <c r="G169" s="980">
        <v>0</v>
      </c>
      <c r="H169" s="731">
        <f>'[9]FY 2020-21 Q1'!H169*4</f>
        <v>227.503952</v>
      </c>
    </row>
    <row r="170" spans="1:8">
      <c r="A170" s="732" t="s">
        <v>1172</v>
      </c>
      <c r="B170" s="729" t="s">
        <v>1753</v>
      </c>
      <c r="C170" s="979">
        <v>28.224844999999998</v>
      </c>
      <c r="D170" s="729">
        <v>0</v>
      </c>
      <c r="E170" s="729">
        <v>0</v>
      </c>
      <c r="F170" s="980">
        <v>0</v>
      </c>
      <c r="G170" s="980">
        <v>0</v>
      </c>
      <c r="H170" s="731">
        <f>'[9]FY 2020-21 Q1'!H170*4</f>
        <v>112.89937999999999</v>
      </c>
    </row>
    <row r="171" spans="1:8">
      <c r="A171" s="732" t="s">
        <v>1172</v>
      </c>
      <c r="B171" s="729" t="s">
        <v>1702</v>
      </c>
      <c r="C171" s="979">
        <v>32.766146999999997</v>
      </c>
      <c r="D171" s="729">
        <v>0</v>
      </c>
      <c r="E171" s="729">
        <v>0</v>
      </c>
      <c r="F171" s="980">
        <v>0</v>
      </c>
      <c r="G171" s="980">
        <v>0</v>
      </c>
      <c r="H171" s="731">
        <f>'[9]FY 2020-21 Q1'!H171*4</f>
        <v>131.06458799999999</v>
      </c>
    </row>
    <row r="172" spans="1:8">
      <c r="A172" s="732" t="s">
        <v>1172</v>
      </c>
      <c r="B172" s="729" t="s">
        <v>1703</v>
      </c>
      <c r="C172" s="979">
        <v>11.236822</v>
      </c>
      <c r="D172" s="729">
        <v>0</v>
      </c>
      <c r="E172" s="729">
        <v>0</v>
      </c>
      <c r="F172" s="980">
        <v>0</v>
      </c>
      <c r="G172" s="980">
        <v>0</v>
      </c>
      <c r="H172" s="731">
        <f>'[9]FY 2020-21 Q1'!H172*4</f>
        <v>44.947288</v>
      </c>
    </row>
    <row r="173" spans="1:8">
      <c r="A173" s="732" t="s">
        <v>1172</v>
      </c>
      <c r="B173" s="729" t="s">
        <v>1656</v>
      </c>
      <c r="C173" s="979">
        <v>0</v>
      </c>
      <c r="D173" s="729">
        <v>0</v>
      </c>
      <c r="E173" s="729">
        <v>74.717833999999996</v>
      </c>
      <c r="F173" s="980">
        <v>0</v>
      </c>
      <c r="G173" s="980">
        <v>0</v>
      </c>
      <c r="H173" s="731">
        <f>'[9]FY 2020-21 Q1'!H173*4</f>
        <v>298.87133599999999</v>
      </c>
    </row>
    <row r="174" spans="1:8">
      <c r="A174" s="732" t="s">
        <v>1172</v>
      </c>
      <c r="B174" s="729" t="s">
        <v>1657</v>
      </c>
      <c r="C174" s="979">
        <v>0</v>
      </c>
      <c r="D174" s="729">
        <v>0</v>
      </c>
      <c r="E174" s="729">
        <v>14.707276</v>
      </c>
      <c r="F174" s="980">
        <v>0</v>
      </c>
      <c r="G174" s="980">
        <v>0</v>
      </c>
      <c r="H174" s="731">
        <f>'[9]FY 2020-21 Q1'!H174*4</f>
        <v>58.829104000000001</v>
      </c>
    </row>
    <row r="175" spans="1:8">
      <c r="A175" s="732" t="s">
        <v>1172</v>
      </c>
      <c r="B175" s="729" t="s">
        <v>1705</v>
      </c>
      <c r="C175" s="979">
        <v>23.876832</v>
      </c>
      <c r="D175" s="729">
        <v>0</v>
      </c>
      <c r="E175" s="729">
        <v>0</v>
      </c>
      <c r="F175" s="980">
        <v>0</v>
      </c>
      <c r="G175" s="980">
        <v>0</v>
      </c>
      <c r="H175" s="731">
        <f>'[9]FY 2020-21 Q1'!H175*4</f>
        <v>95.507328000000001</v>
      </c>
    </row>
    <row r="176" spans="1:8">
      <c r="A176" s="732" t="s">
        <v>1172</v>
      </c>
      <c r="B176" s="729" t="s">
        <v>1706</v>
      </c>
      <c r="C176" s="979">
        <v>37.577133000000003</v>
      </c>
      <c r="D176" s="729">
        <v>0</v>
      </c>
      <c r="E176" s="729">
        <v>0</v>
      </c>
      <c r="F176" s="980">
        <v>0</v>
      </c>
      <c r="G176" s="980">
        <v>0</v>
      </c>
      <c r="H176" s="731">
        <f>'[9]FY 2020-21 Q1'!H176*4</f>
        <v>150.30853200000001</v>
      </c>
    </row>
    <row r="177" spans="1:8">
      <c r="A177" s="732" t="s">
        <v>1172</v>
      </c>
      <c r="B177" s="729" t="s">
        <v>2070</v>
      </c>
      <c r="C177" s="979">
        <v>0</v>
      </c>
      <c r="D177" s="729">
        <v>0</v>
      </c>
      <c r="E177" s="729">
        <v>10.755000000000001</v>
      </c>
      <c r="F177" s="980">
        <v>0</v>
      </c>
      <c r="G177" s="980">
        <v>0</v>
      </c>
      <c r="H177" s="731">
        <f>'[9]FY 2020-21 Q1'!H177*4</f>
        <v>43.02</v>
      </c>
    </row>
    <row r="178" spans="1:8">
      <c r="A178" s="732" t="s">
        <v>1172</v>
      </c>
      <c r="B178" s="729" t="s">
        <v>1713</v>
      </c>
      <c r="C178" s="979">
        <v>24.955373999999999</v>
      </c>
      <c r="D178" s="729">
        <v>0</v>
      </c>
      <c r="E178" s="729">
        <v>0</v>
      </c>
      <c r="F178" s="980">
        <v>0</v>
      </c>
      <c r="G178" s="980">
        <v>0</v>
      </c>
      <c r="H178" s="731">
        <f>'[9]FY 2020-21 Q1'!H178*4</f>
        <v>99.821495999999996</v>
      </c>
    </row>
    <row r="179" spans="1:8">
      <c r="A179" s="732" t="s">
        <v>1172</v>
      </c>
      <c r="B179" s="729" t="s">
        <v>1716</v>
      </c>
      <c r="C179" s="979">
        <v>69.116547999999995</v>
      </c>
      <c r="D179" s="729">
        <v>0</v>
      </c>
      <c r="E179" s="729">
        <v>0</v>
      </c>
      <c r="F179" s="980">
        <v>0</v>
      </c>
      <c r="G179" s="980">
        <v>0</v>
      </c>
      <c r="H179" s="731">
        <f>'[9]FY 2020-21 Q1'!H179*4</f>
        <v>276.46619199999998</v>
      </c>
    </row>
    <row r="180" spans="1:8">
      <c r="A180" s="732" t="s">
        <v>1172</v>
      </c>
      <c r="B180" s="729" t="s">
        <v>1672</v>
      </c>
      <c r="C180" s="979">
        <v>0</v>
      </c>
      <c r="D180" s="729">
        <v>0</v>
      </c>
      <c r="E180" s="729">
        <v>75.171397999999996</v>
      </c>
      <c r="F180" s="980">
        <v>0</v>
      </c>
      <c r="G180" s="980">
        <v>0</v>
      </c>
      <c r="H180" s="731">
        <f>'[9]FY 2020-21 Q1'!H180*4</f>
        <v>300.68559199999999</v>
      </c>
    </row>
    <row r="181" spans="1:8">
      <c r="A181" s="732" t="s">
        <v>1172</v>
      </c>
      <c r="B181" s="729" t="s">
        <v>1626</v>
      </c>
      <c r="C181" s="979">
        <v>0</v>
      </c>
      <c r="D181" s="729">
        <v>0</v>
      </c>
      <c r="E181" s="729">
        <v>88.140405999999999</v>
      </c>
      <c r="F181" s="980">
        <v>0</v>
      </c>
      <c r="G181" s="980">
        <v>0</v>
      </c>
      <c r="H181" s="731">
        <f>'[9]FY 2020-21 Q1'!H181*4</f>
        <v>352.56162399999999</v>
      </c>
    </row>
    <row r="182" spans="1:8">
      <c r="A182" s="732" t="s">
        <v>1172</v>
      </c>
      <c r="B182" s="729" t="s">
        <v>1673</v>
      </c>
      <c r="C182" s="979">
        <v>0</v>
      </c>
      <c r="D182" s="729">
        <v>0</v>
      </c>
      <c r="E182" s="729">
        <v>24.225021000000002</v>
      </c>
      <c r="F182" s="980">
        <v>0</v>
      </c>
      <c r="G182" s="980">
        <v>0</v>
      </c>
      <c r="H182" s="731">
        <f>'[9]FY 2020-21 Q1'!H182*4</f>
        <v>96.900084000000007</v>
      </c>
    </row>
    <row r="183" spans="1:8">
      <c r="A183" s="732" t="s">
        <v>1172</v>
      </c>
      <c r="B183" s="729" t="s">
        <v>1674</v>
      </c>
      <c r="C183" s="979">
        <v>0</v>
      </c>
      <c r="D183" s="729">
        <v>0</v>
      </c>
      <c r="E183" s="729">
        <v>70.263108000000003</v>
      </c>
      <c r="F183" s="980">
        <v>0</v>
      </c>
      <c r="G183" s="980">
        <v>0</v>
      </c>
      <c r="H183" s="731">
        <f>'[9]FY 2020-21 Q1'!H183*4</f>
        <v>281.05243200000001</v>
      </c>
    </row>
    <row r="184" spans="1:8">
      <c r="A184" s="732" t="s">
        <v>1172</v>
      </c>
      <c r="B184" s="729" t="s">
        <v>1642</v>
      </c>
      <c r="C184" s="979">
        <v>66.145173999999997</v>
      </c>
      <c r="D184" s="729">
        <v>0</v>
      </c>
      <c r="E184" s="729">
        <v>0</v>
      </c>
      <c r="F184" s="980">
        <v>0</v>
      </c>
      <c r="G184" s="980">
        <v>0</v>
      </c>
      <c r="H184" s="731">
        <f>'[9]FY 2020-21 Q1'!H184*4</f>
        <v>264.58069599999999</v>
      </c>
    </row>
    <row r="185" spans="1:8">
      <c r="A185" s="732" t="s">
        <v>1172</v>
      </c>
      <c r="B185" s="729" t="s">
        <v>1721</v>
      </c>
      <c r="C185" s="979">
        <v>44.276724000000002</v>
      </c>
      <c r="D185" s="729">
        <v>0</v>
      </c>
      <c r="E185" s="729">
        <v>0</v>
      </c>
      <c r="F185" s="980">
        <v>0</v>
      </c>
      <c r="G185" s="980">
        <v>0</v>
      </c>
      <c r="H185" s="731">
        <f>'[9]FY 2020-21 Q1'!H185*4</f>
        <v>177.10689600000001</v>
      </c>
    </row>
    <row r="186" spans="1:8">
      <c r="A186" s="732" t="s">
        <v>1172</v>
      </c>
      <c r="B186" s="729" t="s">
        <v>1629</v>
      </c>
      <c r="C186" s="979">
        <v>0</v>
      </c>
      <c r="D186" s="729">
        <v>0</v>
      </c>
      <c r="E186" s="729">
        <v>84.315150000000003</v>
      </c>
      <c r="F186" s="980">
        <v>0</v>
      </c>
      <c r="G186" s="980">
        <v>0</v>
      </c>
      <c r="H186" s="731">
        <f>'[9]FY 2020-21 Q1'!H186*4</f>
        <v>337.26060000000001</v>
      </c>
    </row>
    <row r="187" spans="1:8">
      <c r="A187" s="732" t="s">
        <v>1172</v>
      </c>
      <c r="B187" s="729" t="s">
        <v>1683</v>
      </c>
      <c r="C187" s="979">
        <v>0</v>
      </c>
      <c r="D187" s="729">
        <v>0</v>
      </c>
      <c r="E187" s="729">
        <v>47.597712000000001</v>
      </c>
      <c r="F187" s="980">
        <v>0</v>
      </c>
      <c r="G187" s="980">
        <v>0</v>
      </c>
      <c r="H187" s="731">
        <f>'[9]FY 2020-21 Q1'!H187*4</f>
        <v>190.39084800000001</v>
      </c>
    </row>
    <row r="188" spans="1:8">
      <c r="A188" s="732" t="s">
        <v>1172</v>
      </c>
      <c r="B188" s="729" t="s">
        <v>1734</v>
      </c>
      <c r="C188" s="979">
        <v>105.653696</v>
      </c>
      <c r="D188" s="729">
        <v>0</v>
      </c>
      <c r="E188" s="729">
        <v>0</v>
      </c>
      <c r="F188" s="980">
        <v>0</v>
      </c>
      <c r="G188" s="980">
        <v>0</v>
      </c>
      <c r="H188" s="731">
        <f>'[9]FY 2020-21 Q1'!H188*4</f>
        <v>422.61478399999999</v>
      </c>
    </row>
    <row r="189" spans="1:8">
      <c r="A189" s="732" t="s">
        <v>1172</v>
      </c>
      <c r="B189" s="729" t="s">
        <v>1686</v>
      </c>
      <c r="C189" s="979">
        <v>0</v>
      </c>
      <c r="D189" s="729">
        <v>0</v>
      </c>
      <c r="E189" s="729">
        <v>99.886221000000006</v>
      </c>
      <c r="F189" s="980">
        <v>0</v>
      </c>
      <c r="G189" s="980">
        <v>0</v>
      </c>
      <c r="H189" s="731">
        <f>'[9]FY 2020-21 Q1'!H189*4</f>
        <v>399.54488400000002</v>
      </c>
    </row>
    <row r="190" spans="1:8">
      <c r="A190" s="732" t="s">
        <v>1172</v>
      </c>
      <c r="B190" s="729" t="s">
        <v>1689</v>
      </c>
      <c r="C190" s="979">
        <v>0</v>
      </c>
      <c r="D190" s="729">
        <v>0</v>
      </c>
      <c r="E190" s="729">
        <v>56.726281999999998</v>
      </c>
      <c r="F190" s="980">
        <v>0</v>
      </c>
      <c r="G190" s="980">
        <v>0</v>
      </c>
      <c r="H190" s="731">
        <f>'[9]FY 2020-21 Q1'!H190*4</f>
        <v>226.90512799999999</v>
      </c>
    </row>
    <row r="191" spans="1:8" ht="15.75" customHeight="1">
      <c r="A191" s="732" t="s">
        <v>1172</v>
      </c>
      <c r="B191" s="729" t="s">
        <v>1690</v>
      </c>
      <c r="C191" s="979">
        <v>0</v>
      </c>
      <c r="D191" s="729">
        <v>0</v>
      </c>
      <c r="E191" s="729">
        <v>30.730996000000001</v>
      </c>
      <c r="F191" s="980">
        <v>0</v>
      </c>
      <c r="G191" s="980">
        <v>0</v>
      </c>
      <c r="H191" s="731">
        <f>'[9]FY 2020-21 Q1'!H191*4</f>
        <v>122.923984</v>
      </c>
    </row>
    <row r="192" spans="1:8">
      <c r="A192" s="732" t="s">
        <v>1172</v>
      </c>
      <c r="B192" s="729" t="s">
        <v>2071</v>
      </c>
      <c r="C192" s="979">
        <v>15.651751000000001</v>
      </c>
      <c r="D192" s="729">
        <v>0</v>
      </c>
      <c r="E192" s="729">
        <v>0</v>
      </c>
      <c r="F192" s="980">
        <v>0</v>
      </c>
      <c r="G192" s="980">
        <v>0</v>
      </c>
      <c r="H192" s="731">
        <f>'[9]FY 2020-21 Q1'!H192*4</f>
        <v>62.607004000000003</v>
      </c>
    </row>
    <row r="193" spans="1:8">
      <c r="A193" s="732" t="s">
        <v>1172</v>
      </c>
      <c r="B193" s="729" t="s">
        <v>2072</v>
      </c>
      <c r="C193" s="979">
        <v>0</v>
      </c>
      <c r="D193" s="729">
        <v>0</v>
      </c>
      <c r="E193" s="729">
        <v>15.270799999999999</v>
      </c>
      <c r="F193" s="980">
        <v>0</v>
      </c>
      <c r="G193" s="980">
        <v>0</v>
      </c>
      <c r="H193" s="731">
        <f>'[9]FY 2020-21 Q1'!H193*4</f>
        <v>61.083199999999998</v>
      </c>
    </row>
    <row r="194" spans="1:8">
      <c r="A194" s="732" t="s">
        <v>1172</v>
      </c>
      <c r="B194" s="729" t="s">
        <v>2073</v>
      </c>
      <c r="C194" s="979">
        <v>0</v>
      </c>
      <c r="D194" s="729">
        <v>0</v>
      </c>
      <c r="E194" s="729">
        <v>2.99695</v>
      </c>
      <c r="F194" s="980">
        <v>0</v>
      </c>
      <c r="G194" s="980">
        <v>0</v>
      </c>
      <c r="H194" s="731">
        <f>'[9]FY 2020-21 Q1'!H194*4</f>
        <v>11.9878</v>
      </c>
    </row>
    <row r="195" spans="1:8" ht="15" customHeight="1">
      <c r="A195" s="732" t="s">
        <v>1172</v>
      </c>
      <c r="B195" s="729" t="s">
        <v>1750</v>
      </c>
      <c r="C195" s="979">
        <v>20.002728999999999</v>
      </c>
      <c r="D195" s="729">
        <v>0</v>
      </c>
      <c r="E195" s="729">
        <v>0</v>
      </c>
      <c r="F195" s="980">
        <v>0</v>
      </c>
      <c r="G195" s="980">
        <v>0</v>
      </c>
      <c r="H195" s="731">
        <f>'[9]FY 2020-21 Q1'!H195*4</f>
        <v>80.010915999999995</v>
      </c>
    </row>
    <row r="196" spans="1:8">
      <c r="A196" s="732" t="s">
        <v>1172</v>
      </c>
      <c r="B196" s="729" t="s">
        <v>1643</v>
      </c>
      <c r="C196" s="979">
        <v>67.378499000000005</v>
      </c>
      <c r="D196" s="729">
        <v>0</v>
      </c>
      <c r="E196" s="729">
        <v>0</v>
      </c>
      <c r="F196" s="980">
        <v>0</v>
      </c>
      <c r="G196" s="980">
        <v>0</v>
      </c>
      <c r="H196" s="731">
        <f>'[9]FY 2020-21 Q1'!H196*4</f>
        <v>269.51399600000002</v>
      </c>
    </row>
    <row r="197" spans="1:8">
      <c r="A197" s="732" t="s">
        <v>1172</v>
      </c>
      <c r="B197" s="729" t="s">
        <v>1726</v>
      </c>
      <c r="C197" s="979">
        <v>40.672145</v>
      </c>
      <c r="D197" s="729">
        <v>0</v>
      </c>
      <c r="E197" s="729">
        <v>0</v>
      </c>
      <c r="F197" s="980">
        <v>0</v>
      </c>
      <c r="G197" s="980">
        <v>0</v>
      </c>
      <c r="H197" s="731">
        <f>'[9]FY 2020-21 Q1'!H197*4</f>
        <v>162.68858</v>
      </c>
    </row>
    <row r="198" spans="1:8">
      <c r="A198" s="732" t="s">
        <v>1172</v>
      </c>
      <c r="B198" s="729" t="s">
        <v>1744</v>
      </c>
      <c r="C198" s="979">
        <v>4.1515409999999999</v>
      </c>
      <c r="D198" s="729">
        <v>0</v>
      </c>
      <c r="E198" s="729">
        <v>0</v>
      </c>
      <c r="F198" s="980">
        <v>0</v>
      </c>
      <c r="G198" s="980">
        <v>0</v>
      </c>
      <c r="H198" s="731">
        <f>'[9]FY 2020-21 Q1'!H198*4</f>
        <v>16.606164</v>
      </c>
    </row>
    <row r="199" spans="1:8">
      <c r="A199" s="732" t="s">
        <v>1172</v>
      </c>
      <c r="B199" s="729" t="s">
        <v>2074</v>
      </c>
      <c r="C199" s="979">
        <v>35.873345999999998</v>
      </c>
      <c r="D199" s="729">
        <v>0</v>
      </c>
      <c r="E199" s="729">
        <v>0</v>
      </c>
      <c r="F199" s="980">
        <v>0</v>
      </c>
      <c r="G199" s="980">
        <v>0</v>
      </c>
      <c r="H199" s="731">
        <f>'[9]FY 2020-21 Q1'!H199*4</f>
        <v>143.49338399999999</v>
      </c>
    </row>
    <row r="200" spans="1:8">
      <c r="A200" s="732" t="s">
        <v>1172</v>
      </c>
      <c r="B200" s="729" t="s">
        <v>1749</v>
      </c>
      <c r="C200" s="979">
        <v>101.50344200000001</v>
      </c>
      <c r="D200" s="729">
        <v>0</v>
      </c>
      <c r="E200" s="729">
        <v>0</v>
      </c>
      <c r="F200" s="980">
        <v>0</v>
      </c>
      <c r="G200" s="980">
        <v>0</v>
      </c>
      <c r="H200" s="731">
        <f>'[9]FY 2020-21 Q1'!H200*4</f>
        <v>406.01376800000003</v>
      </c>
    </row>
    <row r="201" spans="1:8" ht="15.75" thickBot="1">
      <c r="A201" s="732" t="s">
        <v>1172</v>
      </c>
      <c r="B201" s="729" t="s">
        <v>2080</v>
      </c>
      <c r="C201" s="979">
        <v>3.0859999999999999</v>
      </c>
      <c r="D201" s="729">
        <v>0</v>
      </c>
      <c r="E201" s="729">
        <v>0</v>
      </c>
      <c r="F201" s="980">
        <v>0</v>
      </c>
      <c r="G201" s="980">
        <v>0</v>
      </c>
      <c r="H201" s="731">
        <f>'[9]FY 2020-21 Q1'!H201*4</f>
        <v>12.343999999999999</v>
      </c>
    </row>
    <row r="202" spans="1:8" ht="15.75" thickBot="1">
      <c r="A202" s="735" t="s">
        <v>1754</v>
      </c>
      <c r="B202" s="736" t="s">
        <v>1755</v>
      </c>
      <c r="C202" s="983">
        <v>3505.002716</v>
      </c>
      <c r="D202" s="736">
        <v>13.938094</v>
      </c>
      <c r="E202" s="736">
        <v>4207.1299069999995</v>
      </c>
      <c r="F202" s="984">
        <v>4.4899100000000001</v>
      </c>
      <c r="G202" s="984">
        <v>104.836795</v>
      </c>
      <c r="H202" s="989">
        <f>'[9]FY 2020-21 Q1'!H202*4</f>
        <v>31341.589688</v>
      </c>
    </row>
    <row r="203" spans="1:8" ht="15.75" thickBot="1">
      <c r="A203" s="1900" t="s">
        <v>2075</v>
      </c>
      <c r="B203" s="1901"/>
      <c r="C203" s="1901"/>
      <c r="D203" s="1901"/>
      <c r="E203" s="1901"/>
      <c r="F203" s="1901"/>
      <c r="G203" s="1902"/>
      <c r="H203" s="735">
        <f>'[9]FY 2020-21 Q1'!H203*4</f>
        <v>3.148876</v>
      </c>
    </row>
    <row r="204" spans="1:8" ht="15.75" thickBot="1">
      <c r="A204" s="983" t="s">
        <v>1073</v>
      </c>
      <c r="B204" s="734"/>
      <c r="C204" s="734"/>
      <c r="D204" s="734"/>
      <c r="E204" s="734"/>
      <c r="F204" s="734"/>
      <c r="G204" s="734"/>
      <c r="H204" s="990">
        <f>'[9]FY 2020-21 Q1'!H204*4</f>
        <v>31344.738563999999</v>
      </c>
    </row>
  </sheetData>
  <mergeCells count="12">
    <mergeCell ref="A1:H1"/>
    <mergeCell ref="A2:H2"/>
    <mergeCell ref="A3:H3"/>
    <mergeCell ref="A4:H4"/>
    <mergeCell ref="H5:H7"/>
    <mergeCell ref="A203:G203"/>
    <mergeCell ref="A5:A7"/>
    <mergeCell ref="B5:B7"/>
    <mergeCell ref="C5:F5"/>
    <mergeCell ref="G5:G7"/>
    <mergeCell ref="C6:D6"/>
    <mergeCell ref="E6:F6"/>
  </mergeCells>
  <pageMargins left="0.70866141732283472" right="0.70866141732283472" top="0.74803149606299213" bottom="0.74803149606299213" header="0.31496062992125984" footer="0.31496062992125984"/>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4"/>
  <sheetViews>
    <sheetView view="pageBreakPreview" zoomScale="60" zoomScaleNormal="70" workbookViewId="0">
      <selection activeCell="G67" sqref="G67"/>
    </sheetView>
  </sheetViews>
  <sheetFormatPr defaultRowHeight="15"/>
  <cols>
    <col min="1" max="1" width="15.28515625" style="51" customWidth="1"/>
    <col min="2" max="2" width="32.28515625" style="51" customWidth="1"/>
    <col min="3" max="6" width="16.140625" style="51" customWidth="1"/>
    <col min="7" max="7" width="17" style="855" customWidth="1"/>
    <col min="8" max="8" width="17" style="51" customWidth="1"/>
    <col min="9" max="249" width="9.140625" style="51"/>
    <col min="250" max="250" width="10.85546875" style="51" customWidth="1"/>
    <col min="251" max="251" width="31.42578125" style="51" customWidth="1"/>
    <col min="252" max="252" width="13.140625" style="51" customWidth="1"/>
    <col min="253" max="253" width="13.28515625" style="51" customWidth="1"/>
    <col min="254" max="254" width="14" style="51" customWidth="1"/>
    <col min="255" max="255" width="12.42578125" style="51" customWidth="1"/>
    <col min="256" max="256" width="17" style="51" customWidth="1"/>
    <col min="257" max="505" width="9.140625" style="51"/>
    <col min="506" max="506" width="10.85546875" style="51" customWidth="1"/>
    <col min="507" max="507" width="31.42578125" style="51" customWidth="1"/>
    <col min="508" max="508" width="13.140625" style="51" customWidth="1"/>
    <col min="509" max="509" width="13.28515625" style="51" customWidth="1"/>
    <col min="510" max="510" width="14" style="51" customWidth="1"/>
    <col min="511" max="511" width="12.42578125" style="51" customWidth="1"/>
    <col min="512" max="512" width="17" style="51" customWidth="1"/>
    <col min="513" max="761" width="9.140625" style="51"/>
    <col min="762" max="762" width="10.85546875" style="51" customWidth="1"/>
    <col min="763" max="763" width="31.42578125" style="51" customWidth="1"/>
    <col min="764" max="764" width="13.140625" style="51" customWidth="1"/>
    <col min="765" max="765" width="13.28515625" style="51" customWidth="1"/>
    <col min="766" max="766" width="14" style="51" customWidth="1"/>
    <col min="767" max="767" width="12.42578125" style="51" customWidth="1"/>
    <col min="768" max="768" width="17" style="51" customWidth="1"/>
    <col min="769" max="1017" width="9.140625" style="51"/>
    <col min="1018" max="1018" width="10.85546875" style="51" customWidth="1"/>
    <col min="1019" max="1019" width="31.42578125" style="51" customWidth="1"/>
    <col min="1020" max="1020" width="13.140625" style="51" customWidth="1"/>
    <col min="1021" max="1021" width="13.28515625" style="51" customWidth="1"/>
    <col min="1022" max="1022" width="14" style="51" customWidth="1"/>
    <col min="1023" max="1023" width="12.42578125" style="51" customWidth="1"/>
    <col min="1024" max="1024" width="17" style="51" customWidth="1"/>
    <col min="1025" max="1273" width="9.140625" style="51"/>
    <col min="1274" max="1274" width="10.85546875" style="51" customWidth="1"/>
    <col min="1275" max="1275" width="31.42578125" style="51" customWidth="1"/>
    <col min="1276" max="1276" width="13.140625" style="51" customWidth="1"/>
    <col min="1277" max="1277" width="13.28515625" style="51" customWidth="1"/>
    <col min="1278" max="1278" width="14" style="51" customWidth="1"/>
    <col min="1279" max="1279" width="12.42578125" style="51" customWidth="1"/>
    <col min="1280" max="1280" width="17" style="51" customWidth="1"/>
    <col min="1281" max="1529" width="9.140625" style="51"/>
    <col min="1530" max="1530" width="10.85546875" style="51" customWidth="1"/>
    <col min="1531" max="1531" width="31.42578125" style="51" customWidth="1"/>
    <col min="1532" max="1532" width="13.140625" style="51" customWidth="1"/>
    <col min="1533" max="1533" width="13.28515625" style="51" customWidth="1"/>
    <col min="1534" max="1534" width="14" style="51" customWidth="1"/>
    <col min="1535" max="1535" width="12.42578125" style="51" customWidth="1"/>
    <col min="1536" max="1536" width="17" style="51" customWidth="1"/>
    <col min="1537" max="1785" width="9.140625" style="51"/>
    <col min="1786" max="1786" width="10.85546875" style="51" customWidth="1"/>
    <col min="1787" max="1787" width="31.42578125" style="51" customWidth="1"/>
    <col min="1788" max="1788" width="13.140625" style="51" customWidth="1"/>
    <col min="1789" max="1789" width="13.28515625" style="51" customWidth="1"/>
    <col min="1790" max="1790" width="14" style="51" customWidth="1"/>
    <col min="1791" max="1791" width="12.42578125" style="51" customWidth="1"/>
    <col min="1792" max="1792" width="17" style="51" customWidth="1"/>
    <col min="1793" max="2041" width="9.140625" style="51"/>
    <col min="2042" max="2042" width="10.85546875" style="51" customWidth="1"/>
    <col min="2043" max="2043" width="31.42578125" style="51" customWidth="1"/>
    <col min="2044" max="2044" width="13.140625" style="51" customWidth="1"/>
    <col min="2045" max="2045" width="13.28515625" style="51" customWidth="1"/>
    <col min="2046" max="2046" width="14" style="51" customWidth="1"/>
    <col min="2047" max="2047" width="12.42578125" style="51" customWidth="1"/>
    <col min="2048" max="2048" width="17" style="51" customWidth="1"/>
    <col min="2049" max="2297" width="9.140625" style="51"/>
    <col min="2298" max="2298" width="10.85546875" style="51" customWidth="1"/>
    <col min="2299" max="2299" width="31.42578125" style="51" customWidth="1"/>
    <col min="2300" max="2300" width="13.140625" style="51" customWidth="1"/>
    <col min="2301" max="2301" width="13.28515625" style="51" customWidth="1"/>
    <col min="2302" max="2302" width="14" style="51" customWidth="1"/>
    <col min="2303" max="2303" width="12.42578125" style="51" customWidth="1"/>
    <col min="2304" max="2304" width="17" style="51" customWidth="1"/>
    <col min="2305" max="2553" width="9.140625" style="51"/>
    <col min="2554" max="2554" width="10.85546875" style="51" customWidth="1"/>
    <col min="2555" max="2555" width="31.42578125" style="51" customWidth="1"/>
    <col min="2556" max="2556" width="13.140625" style="51" customWidth="1"/>
    <col min="2557" max="2557" width="13.28515625" style="51" customWidth="1"/>
    <col min="2558" max="2558" width="14" style="51" customWidth="1"/>
    <col min="2559" max="2559" width="12.42578125" style="51" customWidth="1"/>
    <col min="2560" max="2560" width="17" style="51" customWidth="1"/>
    <col min="2561" max="2809" width="9.140625" style="51"/>
    <col min="2810" max="2810" width="10.85546875" style="51" customWidth="1"/>
    <col min="2811" max="2811" width="31.42578125" style="51" customWidth="1"/>
    <col min="2812" max="2812" width="13.140625" style="51" customWidth="1"/>
    <col min="2813" max="2813" width="13.28515625" style="51" customWidth="1"/>
    <col min="2814" max="2814" width="14" style="51" customWidth="1"/>
    <col min="2815" max="2815" width="12.42578125" style="51" customWidth="1"/>
    <col min="2816" max="2816" width="17" style="51" customWidth="1"/>
    <col min="2817" max="3065" width="9.140625" style="51"/>
    <col min="3066" max="3066" width="10.85546875" style="51" customWidth="1"/>
    <col min="3067" max="3067" width="31.42578125" style="51" customWidth="1"/>
    <col min="3068" max="3068" width="13.140625" style="51" customWidth="1"/>
    <col min="3069" max="3069" width="13.28515625" style="51" customWidth="1"/>
    <col min="3070" max="3070" width="14" style="51" customWidth="1"/>
    <col min="3071" max="3071" width="12.42578125" style="51" customWidth="1"/>
    <col min="3072" max="3072" width="17" style="51" customWidth="1"/>
    <col min="3073" max="3321" width="9.140625" style="51"/>
    <col min="3322" max="3322" width="10.85546875" style="51" customWidth="1"/>
    <col min="3323" max="3323" width="31.42578125" style="51" customWidth="1"/>
    <col min="3324" max="3324" width="13.140625" style="51" customWidth="1"/>
    <col min="3325" max="3325" width="13.28515625" style="51" customWidth="1"/>
    <col min="3326" max="3326" width="14" style="51" customWidth="1"/>
    <col min="3327" max="3327" width="12.42578125" style="51" customWidth="1"/>
    <col min="3328" max="3328" width="17" style="51" customWidth="1"/>
    <col min="3329" max="3577" width="9.140625" style="51"/>
    <col min="3578" max="3578" width="10.85546875" style="51" customWidth="1"/>
    <col min="3579" max="3579" width="31.42578125" style="51" customWidth="1"/>
    <col min="3580" max="3580" width="13.140625" style="51" customWidth="1"/>
    <col min="3581" max="3581" width="13.28515625" style="51" customWidth="1"/>
    <col min="3582" max="3582" width="14" style="51" customWidth="1"/>
    <col min="3583" max="3583" width="12.42578125" style="51" customWidth="1"/>
    <col min="3584" max="3584" width="17" style="51" customWidth="1"/>
    <col min="3585" max="3833" width="9.140625" style="51"/>
    <col min="3834" max="3834" width="10.85546875" style="51" customWidth="1"/>
    <col min="3835" max="3835" width="31.42578125" style="51" customWidth="1"/>
    <col min="3836" max="3836" width="13.140625" style="51" customWidth="1"/>
    <col min="3837" max="3837" width="13.28515625" style="51" customWidth="1"/>
    <col min="3838" max="3838" width="14" style="51" customWidth="1"/>
    <col min="3839" max="3839" width="12.42578125" style="51" customWidth="1"/>
    <col min="3840" max="3840" width="17" style="51" customWidth="1"/>
    <col min="3841" max="4089" width="9.140625" style="51"/>
    <col min="4090" max="4090" width="10.85546875" style="51" customWidth="1"/>
    <col min="4091" max="4091" width="31.42578125" style="51" customWidth="1"/>
    <col min="4092" max="4092" width="13.140625" style="51" customWidth="1"/>
    <col min="4093" max="4093" width="13.28515625" style="51" customWidth="1"/>
    <col min="4094" max="4094" width="14" style="51" customWidth="1"/>
    <col min="4095" max="4095" width="12.42578125" style="51" customWidth="1"/>
    <col min="4096" max="4096" width="17" style="51" customWidth="1"/>
    <col min="4097" max="4345" width="9.140625" style="51"/>
    <col min="4346" max="4346" width="10.85546875" style="51" customWidth="1"/>
    <col min="4347" max="4347" width="31.42578125" style="51" customWidth="1"/>
    <col min="4348" max="4348" width="13.140625" style="51" customWidth="1"/>
    <col min="4349" max="4349" width="13.28515625" style="51" customWidth="1"/>
    <col min="4350" max="4350" width="14" style="51" customWidth="1"/>
    <col min="4351" max="4351" width="12.42578125" style="51" customWidth="1"/>
    <col min="4352" max="4352" width="17" style="51" customWidth="1"/>
    <col min="4353" max="4601" width="9.140625" style="51"/>
    <col min="4602" max="4602" width="10.85546875" style="51" customWidth="1"/>
    <col min="4603" max="4603" width="31.42578125" style="51" customWidth="1"/>
    <col min="4604" max="4604" width="13.140625" style="51" customWidth="1"/>
    <col min="4605" max="4605" width="13.28515625" style="51" customWidth="1"/>
    <col min="4606" max="4606" width="14" style="51" customWidth="1"/>
    <col min="4607" max="4607" width="12.42578125" style="51" customWidth="1"/>
    <col min="4608" max="4608" width="17" style="51" customWidth="1"/>
    <col min="4609" max="4857" width="9.140625" style="51"/>
    <col min="4858" max="4858" width="10.85546875" style="51" customWidth="1"/>
    <col min="4859" max="4859" width="31.42578125" style="51" customWidth="1"/>
    <col min="4860" max="4860" width="13.140625" style="51" customWidth="1"/>
    <col min="4861" max="4861" width="13.28515625" style="51" customWidth="1"/>
    <col min="4862" max="4862" width="14" style="51" customWidth="1"/>
    <col min="4863" max="4863" width="12.42578125" style="51" customWidth="1"/>
    <col min="4864" max="4864" width="17" style="51" customWidth="1"/>
    <col min="4865" max="5113" width="9.140625" style="51"/>
    <col min="5114" max="5114" width="10.85546875" style="51" customWidth="1"/>
    <col min="5115" max="5115" width="31.42578125" style="51" customWidth="1"/>
    <col min="5116" max="5116" width="13.140625" style="51" customWidth="1"/>
    <col min="5117" max="5117" width="13.28515625" style="51" customWidth="1"/>
    <col min="5118" max="5118" width="14" style="51" customWidth="1"/>
    <col min="5119" max="5119" width="12.42578125" style="51" customWidth="1"/>
    <col min="5120" max="5120" width="17" style="51" customWidth="1"/>
    <col min="5121" max="5369" width="9.140625" style="51"/>
    <col min="5370" max="5370" width="10.85546875" style="51" customWidth="1"/>
    <col min="5371" max="5371" width="31.42578125" style="51" customWidth="1"/>
    <col min="5372" max="5372" width="13.140625" style="51" customWidth="1"/>
    <col min="5373" max="5373" width="13.28515625" style="51" customWidth="1"/>
    <col min="5374" max="5374" width="14" style="51" customWidth="1"/>
    <col min="5375" max="5375" width="12.42578125" style="51" customWidth="1"/>
    <col min="5376" max="5376" width="17" style="51" customWidth="1"/>
    <col min="5377" max="5625" width="9.140625" style="51"/>
    <col min="5626" max="5626" width="10.85546875" style="51" customWidth="1"/>
    <col min="5627" max="5627" width="31.42578125" style="51" customWidth="1"/>
    <col min="5628" max="5628" width="13.140625" style="51" customWidth="1"/>
    <col min="5629" max="5629" width="13.28515625" style="51" customWidth="1"/>
    <col min="5630" max="5630" width="14" style="51" customWidth="1"/>
    <col min="5631" max="5631" width="12.42578125" style="51" customWidth="1"/>
    <col min="5632" max="5632" width="17" style="51" customWidth="1"/>
    <col min="5633" max="5881" width="9.140625" style="51"/>
    <col min="5882" max="5882" width="10.85546875" style="51" customWidth="1"/>
    <col min="5883" max="5883" width="31.42578125" style="51" customWidth="1"/>
    <col min="5884" max="5884" width="13.140625" style="51" customWidth="1"/>
    <col min="5885" max="5885" width="13.28515625" style="51" customWidth="1"/>
    <col min="5886" max="5886" width="14" style="51" customWidth="1"/>
    <col min="5887" max="5887" width="12.42578125" style="51" customWidth="1"/>
    <col min="5888" max="5888" width="17" style="51" customWidth="1"/>
    <col min="5889" max="6137" width="9.140625" style="51"/>
    <col min="6138" max="6138" width="10.85546875" style="51" customWidth="1"/>
    <col min="6139" max="6139" width="31.42578125" style="51" customWidth="1"/>
    <col min="6140" max="6140" width="13.140625" style="51" customWidth="1"/>
    <col min="6141" max="6141" width="13.28515625" style="51" customWidth="1"/>
    <col min="6142" max="6142" width="14" style="51" customWidth="1"/>
    <col min="6143" max="6143" width="12.42578125" style="51" customWidth="1"/>
    <col min="6144" max="6144" width="17" style="51" customWidth="1"/>
    <col min="6145" max="6393" width="9.140625" style="51"/>
    <col min="6394" max="6394" width="10.85546875" style="51" customWidth="1"/>
    <col min="6395" max="6395" width="31.42578125" style="51" customWidth="1"/>
    <col min="6396" max="6396" width="13.140625" style="51" customWidth="1"/>
    <col min="6397" max="6397" width="13.28515625" style="51" customWidth="1"/>
    <col min="6398" max="6398" width="14" style="51" customWidth="1"/>
    <col min="6399" max="6399" width="12.42578125" style="51" customWidth="1"/>
    <col min="6400" max="6400" width="17" style="51" customWidth="1"/>
    <col min="6401" max="6649" width="9.140625" style="51"/>
    <col min="6650" max="6650" width="10.85546875" style="51" customWidth="1"/>
    <col min="6651" max="6651" width="31.42578125" style="51" customWidth="1"/>
    <col min="6652" max="6652" width="13.140625" style="51" customWidth="1"/>
    <col min="6653" max="6653" width="13.28515625" style="51" customWidth="1"/>
    <col min="6654" max="6654" width="14" style="51" customWidth="1"/>
    <col min="6655" max="6655" width="12.42578125" style="51" customWidth="1"/>
    <col min="6656" max="6656" width="17" style="51" customWidth="1"/>
    <col min="6657" max="6905" width="9.140625" style="51"/>
    <col min="6906" max="6906" width="10.85546875" style="51" customWidth="1"/>
    <col min="6907" max="6907" width="31.42578125" style="51" customWidth="1"/>
    <col min="6908" max="6908" width="13.140625" style="51" customWidth="1"/>
    <col min="6909" max="6909" width="13.28515625" style="51" customWidth="1"/>
    <col min="6910" max="6910" width="14" style="51" customWidth="1"/>
    <col min="6911" max="6911" width="12.42578125" style="51" customWidth="1"/>
    <col min="6912" max="6912" width="17" style="51" customWidth="1"/>
    <col min="6913" max="7161" width="9.140625" style="51"/>
    <col min="7162" max="7162" width="10.85546875" style="51" customWidth="1"/>
    <col min="7163" max="7163" width="31.42578125" style="51" customWidth="1"/>
    <col min="7164" max="7164" width="13.140625" style="51" customWidth="1"/>
    <col min="7165" max="7165" width="13.28515625" style="51" customWidth="1"/>
    <col min="7166" max="7166" width="14" style="51" customWidth="1"/>
    <col min="7167" max="7167" width="12.42578125" style="51" customWidth="1"/>
    <col min="7168" max="7168" width="17" style="51" customWidth="1"/>
    <col min="7169" max="7417" width="9.140625" style="51"/>
    <col min="7418" max="7418" width="10.85546875" style="51" customWidth="1"/>
    <col min="7419" max="7419" width="31.42578125" style="51" customWidth="1"/>
    <col min="7420" max="7420" width="13.140625" style="51" customWidth="1"/>
    <col min="7421" max="7421" width="13.28515625" style="51" customWidth="1"/>
    <col min="7422" max="7422" width="14" style="51" customWidth="1"/>
    <col min="7423" max="7423" width="12.42578125" style="51" customWidth="1"/>
    <col min="7424" max="7424" width="17" style="51" customWidth="1"/>
    <col min="7425" max="7673" width="9.140625" style="51"/>
    <col min="7674" max="7674" width="10.85546875" style="51" customWidth="1"/>
    <col min="7675" max="7675" width="31.42578125" style="51" customWidth="1"/>
    <col min="7676" max="7676" width="13.140625" style="51" customWidth="1"/>
    <col min="7677" max="7677" width="13.28515625" style="51" customWidth="1"/>
    <col min="7678" max="7678" width="14" style="51" customWidth="1"/>
    <col min="7679" max="7679" width="12.42578125" style="51" customWidth="1"/>
    <col min="7680" max="7680" width="17" style="51" customWidth="1"/>
    <col min="7681" max="7929" width="9.140625" style="51"/>
    <col min="7930" max="7930" width="10.85546875" style="51" customWidth="1"/>
    <col min="7931" max="7931" width="31.42578125" style="51" customWidth="1"/>
    <col min="7932" max="7932" width="13.140625" style="51" customWidth="1"/>
    <col min="7933" max="7933" width="13.28515625" style="51" customWidth="1"/>
    <col min="7934" max="7934" width="14" style="51" customWidth="1"/>
    <col min="7935" max="7935" width="12.42578125" style="51" customWidth="1"/>
    <col min="7936" max="7936" width="17" style="51" customWidth="1"/>
    <col min="7937" max="8185" width="9.140625" style="51"/>
    <col min="8186" max="8186" width="10.85546875" style="51" customWidth="1"/>
    <col min="8187" max="8187" width="31.42578125" style="51" customWidth="1"/>
    <col min="8188" max="8188" width="13.140625" style="51" customWidth="1"/>
    <col min="8189" max="8189" width="13.28515625" style="51" customWidth="1"/>
    <col min="8190" max="8190" width="14" style="51" customWidth="1"/>
    <col min="8191" max="8191" width="12.42578125" style="51" customWidth="1"/>
    <col min="8192" max="8192" width="17" style="51" customWidth="1"/>
    <col min="8193" max="8441" width="9.140625" style="51"/>
    <col min="8442" max="8442" width="10.85546875" style="51" customWidth="1"/>
    <col min="8443" max="8443" width="31.42578125" style="51" customWidth="1"/>
    <col min="8444" max="8444" width="13.140625" style="51" customWidth="1"/>
    <col min="8445" max="8445" width="13.28515625" style="51" customWidth="1"/>
    <col min="8446" max="8446" width="14" style="51" customWidth="1"/>
    <col min="8447" max="8447" width="12.42578125" style="51" customWidth="1"/>
    <col min="8448" max="8448" width="17" style="51" customWidth="1"/>
    <col min="8449" max="8697" width="9.140625" style="51"/>
    <col min="8698" max="8698" width="10.85546875" style="51" customWidth="1"/>
    <col min="8699" max="8699" width="31.42578125" style="51" customWidth="1"/>
    <col min="8700" max="8700" width="13.140625" style="51" customWidth="1"/>
    <col min="8701" max="8701" width="13.28515625" style="51" customWidth="1"/>
    <col min="8702" max="8702" width="14" style="51" customWidth="1"/>
    <col min="8703" max="8703" width="12.42578125" style="51" customWidth="1"/>
    <col min="8704" max="8704" width="17" style="51" customWidth="1"/>
    <col min="8705" max="8953" width="9.140625" style="51"/>
    <col min="8954" max="8954" width="10.85546875" style="51" customWidth="1"/>
    <col min="8955" max="8955" width="31.42578125" style="51" customWidth="1"/>
    <col min="8956" max="8956" width="13.140625" style="51" customWidth="1"/>
    <col min="8957" max="8957" width="13.28515625" style="51" customWidth="1"/>
    <col min="8958" max="8958" width="14" style="51" customWidth="1"/>
    <col min="8959" max="8959" width="12.42578125" style="51" customWidth="1"/>
    <col min="8960" max="8960" width="17" style="51" customWidth="1"/>
    <col min="8961" max="9209" width="9.140625" style="51"/>
    <col min="9210" max="9210" width="10.85546875" style="51" customWidth="1"/>
    <col min="9211" max="9211" width="31.42578125" style="51" customWidth="1"/>
    <col min="9212" max="9212" width="13.140625" style="51" customWidth="1"/>
    <col min="9213" max="9213" width="13.28515625" style="51" customWidth="1"/>
    <col min="9214" max="9214" width="14" style="51" customWidth="1"/>
    <col min="9215" max="9215" width="12.42578125" style="51" customWidth="1"/>
    <col min="9216" max="9216" width="17" style="51" customWidth="1"/>
    <col min="9217" max="9465" width="9.140625" style="51"/>
    <col min="9466" max="9466" width="10.85546875" style="51" customWidth="1"/>
    <col min="9467" max="9467" width="31.42578125" style="51" customWidth="1"/>
    <col min="9468" max="9468" width="13.140625" style="51" customWidth="1"/>
    <col min="9469" max="9469" width="13.28515625" style="51" customWidth="1"/>
    <col min="9470" max="9470" width="14" style="51" customWidth="1"/>
    <col min="9471" max="9471" width="12.42578125" style="51" customWidth="1"/>
    <col min="9472" max="9472" width="17" style="51" customWidth="1"/>
    <col min="9473" max="9721" width="9.140625" style="51"/>
    <col min="9722" max="9722" width="10.85546875" style="51" customWidth="1"/>
    <col min="9723" max="9723" width="31.42578125" style="51" customWidth="1"/>
    <col min="9724" max="9724" width="13.140625" style="51" customWidth="1"/>
    <col min="9725" max="9725" width="13.28515625" style="51" customWidth="1"/>
    <col min="9726" max="9726" width="14" style="51" customWidth="1"/>
    <col min="9727" max="9727" width="12.42578125" style="51" customWidth="1"/>
    <col min="9728" max="9728" width="17" style="51" customWidth="1"/>
    <col min="9729" max="9977" width="9.140625" style="51"/>
    <col min="9978" max="9978" width="10.85546875" style="51" customWidth="1"/>
    <col min="9979" max="9979" width="31.42578125" style="51" customWidth="1"/>
    <col min="9980" max="9980" width="13.140625" style="51" customWidth="1"/>
    <col min="9981" max="9981" width="13.28515625" style="51" customWidth="1"/>
    <col min="9982" max="9982" width="14" style="51" customWidth="1"/>
    <col min="9983" max="9983" width="12.42578125" style="51" customWidth="1"/>
    <col min="9984" max="9984" width="17" style="51" customWidth="1"/>
    <col min="9985" max="10233" width="9.140625" style="51"/>
    <col min="10234" max="10234" width="10.85546875" style="51" customWidth="1"/>
    <col min="10235" max="10235" width="31.42578125" style="51" customWidth="1"/>
    <col min="10236" max="10236" width="13.140625" style="51" customWidth="1"/>
    <col min="10237" max="10237" width="13.28515625" style="51" customWidth="1"/>
    <col min="10238" max="10238" width="14" style="51" customWidth="1"/>
    <col min="10239" max="10239" width="12.42578125" style="51" customWidth="1"/>
    <col min="10240" max="10240" width="17" style="51" customWidth="1"/>
    <col min="10241" max="10489" width="9.140625" style="51"/>
    <col min="10490" max="10490" width="10.85546875" style="51" customWidth="1"/>
    <col min="10491" max="10491" width="31.42578125" style="51" customWidth="1"/>
    <col min="10492" max="10492" width="13.140625" style="51" customWidth="1"/>
    <col min="10493" max="10493" width="13.28515625" style="51" customWidth="1"/>
    <col min="10494" max="10494" width="14" style="51" customWidth="1"/>
    <col min="10495" max="10495" width="12.42578125" style="51" customWidth="1"/>
    <col min="10496" max="10496" width="17" style="51" customWidth="1"/>
    <col min="10497" max="10745" width="9.140625" style="51"/>
    <col min="10746" max="10746" width="10.85546875" style="51" customWidth="1"/>
    <col min="10747" max="10747" width="31.42578125" style="51" customWidth="1"/>
    <col min="10748" max="10748" width="13.140625" style="51" customWidth="1"/>
    <col min="10749" max="10749" width="13.28515625" style="51" customWidth="1"/>
    <col min="10750" max="10750" width="14" style="51" customWidth="1"/>
    <col min="10751" max="10751" width="12.42578125" style="51" customWidth="1"/>
    <col min="10752" max="10752" width="17" style="51" customWidth="1"/>
    <col min="10753" max="11001" width="9.140625" style="51"/>
    <col min="11002" max="11002" width="10.85546875" style="51" customWidth="1"/>
    <col min="11003" max="11003" width="31.42578125" style="51" customWidth="1"/>
    <col min="11004" max="11004" width="13.140625" style="51" customWidth="1"/>
    <col min="11005" max="11005" width="13.28515625" style="51" customWidth="1"/>
    <col min="11006" max="11006" width="14" style="51" customWidth="1"/>
    <col min="11007" max="11007" width="12.42578125" style="51" customWidth="1"/>
    <col min="11008" max="11008" width="17" style="51" customWidth="1"/>
    <col min="11009" max="11257" width="9.140625" style="51"/>
    <col min="11258" max="11258" width="10.85546875" style="51" customWidth="1"/>
    <col min="11259" max="11259" width="31.42578125" style="51" customWidth="1"/>
    <col min="11260" max="11260" width="13.140625" style="51" customWidth="1"/>
    <col min="11261" max="11261" width="13.28515625" style="51" customWidth="1"/>
    <col min="11262" max="11262" width="14" style="51" customWidth="1"/>
    <col min="11263" max="11263" width="12.42578125" style="51" customWidth="1"/>
    <col min="11264" max="11264" width="17" style="51" customWidth="1"/>
    <col min="11265" max="11513" width="9.140625" style="51"/>
    <col min="11514" max="11514" width="10.85546875" style="51" customWidth="1"/>
    <col min="11515" max="11515" width="31.42578125" style="51" customWidth="1"/>
    <col min="11516" max="11516" width="13.140625" style="51" customWidth="1"/>
    <col min="11517" max="11517" width="13.28515625" style="51" customWidth="1"/>
    <col min="11518" max="11518" width="14" style="51" customWidth="1"/>
    <col min="11519" max="11519" width="12.42578125" style="51" customWidth="1"/>
    <col min="11520" max="11520" width="17" style="51" customWidth="1"/>
    <col min="11521" max="11769" width="9.140625" style="51"/>
    <col min="11770" max="11770" width="10.85546875" style="51" customWidth="1"/>
    <col min="11771" max="11771" width="31.42578125" style="51" customWidth="1"/>
    <col min="11772" max="11772" width="13.140625" style="51" customWidth="1"/>
    <col min="11773" max="11773" width="13.28515625" style="51" customWidth="1"/>
    <col min="11774" max="11774" width="14" style="51" customWidth="1"/>
    <col min="11775" max="11775" width="12.42578125" style="51" customWidth="1"/>
    <col min="11776" max="11776" width="17" style="51" customWidth="1"/>
    <col min="11777" max="12025" width="9.140625" style="51"/>
    <col min="12026" max="12026" width="10.85546875" style="51" customWidth="1"/>
    <col min="12027" max="12027" width="31.42578125" style="51" customWidth="1"/>
    <col min="12028" max="12028" width="13.140625" style="51" customWidth="1"/>
    <col min="12029" max="12029" width="13.28515625" style="51" customWidth="1"/>
    <col min="12030" max="12030" width="14" style="51" customWidth="1"/>
    <col min="12031" max="12031" width="12.42578125" style="51" customWidth="1"/>
    <col min="12032" max="12032" width="17" style="51" customWidth="1"/>
    <col min="12033" max="12281" width="9.140625" style="51"/>
    <col min="12282" max="12282" width="10.85546875" style="51" customWidth="1"/>
    <col min="12283" max="12283" width="31.42578125" style="51" customWidth="1"/>
    <col min="12284" max="12284" width="13.140625" style="51" customWidth="1"/>
    <col min="12285" max="12285" width="13.28515625" style="51" customWidth="1"/>
    <col min="12286" max="12286" width="14" style="51" customWidth="1"/>
    <col min="12287" max="12287" width="12.42578125" style="51" customWidth="1"/>
    <col min="12288" max="12288" width="17" style="51" customWidth="1"/>
    <col min="12289" max="12537" width="9.140625" style="51"/>
    <col min="12538" max="12538" width="10.85546875" style="51" customWidth="1"/>
    <col min="12539" max="12539" width="31.42578125" style="51" customWidth="1"/>
    <col min="12540" max="12540" width="13.140625" style="51" customWidth="1"/>
    <col min="12541" max="12541" width="13.28515625" style="51" customWidth="1"/>
    <col min="12542" max="12542" width="14" style="51" customWidth="1"/>
    <col min="12543" max="12543" width="12.42578125" style="51" customWidth="1"/>
    <col min="12544" max="12544" width="17" style="51" customWidth="1"/>
    <col min="12545" max="12793" width="9.140625" style="51"/>
    <col min="12794" max="12794" width="10.85546875" style="51" customWidth="1"/>
    <col min="12795" max="12795" width="31.42578125" style="51" customWidth="1"/>
    <col min="12796" max="12796" width="13.140625" style="51" customWidth="1"/>
    <col min="12797" max="12797" width="13.28515625" style="51" customWidth="1"/>
    <col min="12798" max="12798" width="14" style="51" customWidth="1"/>
    <col min="12799" max="12799" width="12.42578125" style="51" customWidth="1"/>
    <col min="12800" max="12800" width="17" style="51" customWidth="1"/>
    <col min="12801" max="13049" width="9.140625" style="51"/>
    <col min="13050" max="13050" width="10.85546875" style="51" customWidth="1"/>
    <col min="13051" max="13051" width="31.42578125" style="51" customWidth="1"/>
    <col min="13052" max="13052" width="13.140625" style="51" customWidth="1"/>
    <col min="13053" max="13053" width="13.28515625" style="51" customWidth="1"/>
    <col min="13054" max="13054" width="14" style="51" customWidth="1"/>
    <col min="13055" max="13055" width="12.42578125" style="51" customWidth="1"/>
    <col min="13056" max="13056" width="17" style="51" customWidth="1"/>
    <col min="13057" max="13305" width="9.140625" style="51"/>
    <col min="13306" max="13306" width="10.85546875" style="51" customWidth="1"/>
    <col min="13307" max="13307" width="31.42578125" style="51" customWidth="1"/>
    <col min="13308" max="13308" width="13.140625" style="51" customWidth="1"/>
    <col min="13309" max="13309" width="13.28515625" style="51" customWidth="1"/>
    <col min="13310" max="13310" width="14" style="51" customWidth="1"/>
    <col min="13311" max="13311" width="12.42578125" style="51" customWidth="1"/>
    <col min="13312" max="13312" width="17" style="51" customWidth="1"/>
    <col min="13313" max="13561" width="9.140625" style="51"/>
    <col min="13562" max="13562" width="10.85546875" style="51" customWidth="1"/>
    <col min="13563" max="13563" width="31.42578125" style="51" customWidth="1"/>
    <col min="13564" max="13564" width="13.140625" style="51" customWidth="1"/>
    <col min="13565" max="13565" width="13.28515625" style="51" customWidth="1"/>
    <col min="13566" max="13566" width="14" style="51" customWidth="1"/>
    <col min="13567" max="13567" width="12.42578125" style="51" customWidth="1"/>
    <col min="13568" max="13568" width="17" style="51" customWidth="1"/>
    <col min="13569" max="13817" width="9.140625" style="51"/>
    <col min="13818" max="13818" width="10.85546875" style="51" customWidth="1"/>
    <col min="13819" max="13819" width="31.42578125" style="51" customWidth="1"/>
    <col min="13820" max="13820" width="13.140625" style="51" customWidth="1"/>
    <col min="13821" max="13821" width="13.28515625" style="51" customWidth="1"/>
    <col min="13822" max="13822" width="14" style="51" customWidth="1"/>
    <col min="13823" max="13823" width="12.42578125" style="51" customWidth="1"/>
    <col min="13824" max="13824" width="17" style="51" customWidth="1"/>
    <col min="13825" max="14073" width="9.140625" style="51"/>
    <col min="14074" max="14074" width="10.85546875" style="51" customWidth="1"/>
    <col min="14075" max="14075" width="31.42578125" style="51" customWidth="1"/>
    <col min="14076" max="14076" width="13.140625" style="51" customWidth="1"/>
    <col min="14077" max="14077" width="13.28515625" style="51" customWidth="1"/>
    <col min="14078" max="14078" width="14" style="51" customWidth="1"/>
    <col min="14079" max="14079" width="12.42578125" style="51" customWidth="1"/>
    <col min="14080" max="14080" width="17" style="51" customWidth="1"/>
    <col min="14081" max="14329" width="9.140625" style="51"/>
    <col min="14330" max="14330" width="10.85546875" style="51" customWidth="1"/>
    <col min="14331" max="14331" width="31.42578125" style="51" customWidth="1"/>
    <col min="14332" max="14332" width="13.140625" style="51" customWidth="1"/>
    <col min="14333" max="14333" width="13.28515625" style="51" customWidth="1"/>
    <col min="14334" max="14334" width="14" style="51" customWidth="1"/>
    <col min="14335" max="14335" width="12.42578125" style="51" customWidth="1"/>
    <col min="14336" max="14336" width="17" style="51" customWidth="1"/>
    <col min="14337" max="14585" width="9.140625" style="51"/>
    <col min="14586" max="14586" width="10.85546875" style="51" customWidth="1"/>
    <col min="14587" max="14587" width="31.42578125" style="51" customWidth="1"/>
    <col min="14588" max="14588" width="13.140625" style="51" customWidth="1"/>
    <col min="14589" max="14589" width="13.28515625" style="51" customWidth="1"/>
    <col min="14590" max="14590" width="14" style="51" customWidth="1"/>
    <col min="14591" max="14591" width="12.42578125" style="51" customWidth="1"/>
    <col min="14592" max="14592" width="17" style="51" customWidth="1"/>
    <col min="14593" max="14841" width="9.140625" style="51"/>
    <col min="14842" max="14842" width="10.85546875" style="51" customWidth="1"/>
    <col min="14843" max="14843" width="31.42578125" style="51" customWidth="1"/>
    <col min="14844" max="14844" width="13.140625" style="51" customWidth="1"/>
    <col min="14845" max="14845" width="13.28515625" style="51" customWidth="1"/>
    <col min="14846" max="14846" width="14" style="51" customWidth="1"/>
    <col min="14847" max="14847" width="12.42578125" style="51" customWidth="1"/>
    <col min="14848" max="14848" width="17" style="51" customWidth="1"/>
    <col min="14849" max="15097" width="9.140625" style="51"/>
    <col min="15098" max="15098" width="10.85546875" style="51" customWidth="1"/>
    <col min="15099" max="15099" width="31.42578125" style="51" customWidth="1"/>
    <col min="15100" max="15100" width="13.140625" style="51" customWidth="1"/>
    <col min="15101" max="15101" width="13.28515625" style="51" customWidth="1"/>
    <col min="15102" max="15102" width="14" style="51" customWidth="1"/>
    <col min="15103" max="15103" width="12.42578125" style="51" customWidth="1"/>
    <col min="15104" max="15104" width="17" style="51" customWidth="1"/>
    <col min="15105" max="15353" width="9.140625" style="51"/>
    <col min="15354" max="15354" width="10.85546875" style="51" customWidth="1"/>
    <col min="15355" max="15355" width="31.42578125" style="51" customWidth="1"/>
    <col min="15356" max="15356" width="13.140625" style="51" customWidth="1"/>
    <col min="15357" max="15357" width="13.28515625" style="51" customWidth="1"/>
    <col min="15358" max="15358" width="14" style="51" customWidth="1"/>
    <col min="15359" max="15359" width="12.42578125" style="51" customWidth="1"/>
    <col min="15360" max="15360" width="17" style="51" customWidth="1"/>
    <col min="15361" max="15609" width="9.140625" style="51"/>
    <col min="15610" max="15610" width="10.85546875" style="51" customWidth="1"/>
    <col min="15611" max="15611" width="31.42578125" style="51" customWidth="1"/>
    <col min="15612" max="15612" width="13.140625" style="51" customWidth="1"/>
    <col min="15613" max="15613" width="13.28515625" style="51" customWidth="1"/>
    <col min="15614" max="15614" width="14" style="51" customWidth="1"/>
    <col min="15615" max="15615" width="12.42578125" style="51" customWidth="1"/>
    <col min="15616" max="15616" width="17" style="51" customWidth="1"/>
    <col min="15617" max="15865" width="9.140625" style="51"/>
    <col min="15866" max="15866" width="10.85546875" style="51" customWidth="1"/>
    <col min="15867" max="15867" width="31.42578125" style="51" customWidth="1"/>
    <col min="15868" max="15868" width="13.140625" style="51" customWidth="1"/>
    <col min="15869" max="15869" width="13.28515625" style="51" customWidth="1"/>
    <col min="15870" max="15870" width="14" style="51" customWidth="1"/>
    <col min="15871" max="15871" width="12.42578125" style="51" customWidth="1"/>
    <col min="15872" max="15872" width="17" style="51" customWidth="1"/>
    <col min="15873" max="16121" width="9.140625" style="51"/>
    <col min="16122" max="16122" width="10.85546875" style="51" customWidth="1"/>
    <col min="16123" max="16123" width="31.42578125" style="51" customWidth="1"/>
    <col min="16124" max="16124" width="13.140625" style="51" customWidth="1"/>
    <col min="16125" max="16125" width="13.28515625" style="51" customWidth="1"/>
    <col min="16126" max="16126" width="14" style="51" customWidth="1"/>
    <col min="16127" max="16127" width="12.42578125" style="51" customWidth="1"/>
    <col min="16128" max="16128" width="17" style="51" customWidth="1"/>
    <col min="16129" max="16384" width="9.140625" style="51"/>
  </cols>
  <sheetData>
    <row r="1" spans="1:8" ht="27.75" customHeight="1" thickBot="1">
      <c r="A1" s="1888" t="s">
        <v>2083</v>
      </c>
      <c r="B1" s="1889"/>
      <c r="C1" s="1889"/>
      <c r="D1" s="1889"/>
      <c r="E1" s="1889"/>
      <c r="F1" s="1889"/>
      <c r="G1" s="1889"/>
      <c r="H1" s="1890"/>
    </row>
    <row r="2" spans="1:8" ht="16.5" customHeight="1" thickBot="1">
      <c r="A2" s="1891" t="s">
        <v>2056</v>
      </c>
      <c r="B2" s="1892"/>
      <c r="C2" s="1892"/>
      <c r="D2" s="1892"/>
      <c r="E2" s="1892"/>
      <c r="F2" s="1892"/>
      <c r="G2" s="1892"/>
      <c r="H2" s="1893"/>
    </row>
    <row r="3" spans="1:8" ht="15" customHeight="1">
      <c r="A3" s="1894" t="s">
        <v>1164</v>
      </c>
      <c r="B3" s="1895"/>
      <c r="C3" s="1895"/>
      <c r="D3" s="1895"/>
      <c r="E3" s="1895"/>
      <c r="F3" s="1895"/>
      <c r="G3" s="1895"/>
      <c r="H3" s="1896"/>
    </row>
    <row r="4" spans="1:8" ht="15.75" customHeight="1" thickBot="1">
      <c r="A4" s="1897" t="s">
        <v>1165</v>
      </c>
      <c r="B4" s="1898"/>
      <c r="C4" s="1898"/>
      <c r="D4" s="1898"/>
      <c r="E4" s="1898"/>
      <c r="F4" s="1898"/>
      <c r="G4" s="1898"/>
      <c r="H4" s="1899"/>
    </row>
    <row r="5" spans="1:8" ht="15.75" customHeight="1" thickBot="1">
      <c r="A5" s="1877" t="s">
        <v>483</v>
      </c>
      <c r="B5" s="1879" t="s">
        <v>461</v>
      </c>
      <c r="C5" s="1881" t="s">
        <v>462</v>
      </c>
      <c r="D5" s="1882"/>
      <c r="E5" s="1882"/>
      <c r="F5" s="1883"/>
      <c r="G5" s="1877" t="s">
        <v>2057</v>
      </c>
      <c r="H5" s="1877" t="s">
        <v>1166</v>
      </c>
    </row>
    <row r="6" spans="1:8" ht="15" customHeight="1" thickBot="1">
      <c r="A6" s="1878"/>
      <c r="B6" s="1880"/>
      <c r="C6" s="1885" t="s">
        <v>1167</v>
      </c>
      <c r="D6" s="1886"/>
      <c r="E6" s="1885" t="s">
        <v>1168</v>
      </c>
      <c r="F6" s="1887"/>
      <c r="G6" s="1878"/>
      <c r="H6" s="1878"/>
    </row>
    <row r="7" spans="1:8" ht="15.75" customHeight="1" thickBot="1">
      <c r="A7" s="1878"/>
      <c r="B7" s="1880"/>
      <c r="C7" s="362" t="s">
        <v>1169</v>
      </c>
      <c r="D7" s="362" t="s">
        <v>1170</v>
      </c>
      <c r="E7" s="362" t="s">
        <v>1171</v>
      </c>
      <c r="F7" s="970" t="s">
        <v>1170</v>
      </c>
      <c r="G7" s="1884"/>
      <c r="H7" s="1878"/>
    </row>
    <row r="8" spans="1:8" ht="15.75" thickBot="1">
      <c r="A8" s="730" t="s">
        <v>389</v>
      </c>
      <c r="B8" s="971" t="s">
        <v>1015</v>
      </c>
      <c r="C8" s="972" t="s">
        <v>1015</v>
      </c>
      <c r="D8" s="363" t="s">
        <v>1015</v>
      </c>
      <c r="E8" s="363" t="s">
        <v>1015</v>
      </c>
      <c r="F8" s="973" t="s">
        <v>1015</v>
      </c>
      <c r="G8" s="974"/>
      <c r="H8" s="364" t="s">
        <v>1015</v>
      </c>
    </row>
    <row r="9" spans="1:8" ht="15.75" thickBot="1">
      <c r="A9" s="367"/>
      <c r="B9" s="975"/>
      <c r="C9" s="976"/>
      <c r="D9" s="365"/>
      <c r="E9" s="365"/>
      <c r="F9" s="977"/>
      <c r="G9" s="978"/>
      <c r="H9" s="366"/>
    </row>
    <row r="10" spans="1:8">
      <c r="A10" s="731" t="s">
        <v>1004</v>
      </c>
      <c r="B10" s="729" t="s">
        <v>1621</v>
      </c>
      <c r="C10" s="979">
        <v>0</v>
      </c>
      <c r="D10" s="729">
        <v>0</v>
      </c>
      <c r="E10" s="729">
        <v>0</v>
      </c>
      <c r="F10" s="980">
        <v>0</v>
      </c>
      <c r="G10" s="980">
        <v>3.9416600000000002</v>
      </c>
      <c r="H10" s="731">
        <f>'[9]FY 2020-21 Q1'!H10*4*1.1</f>
        <v>17.343304000000003</v>
      </c>
    </row>
    <row r="11" spans="1:8">
      <c r="A11" s="732" t="s">
        <v>1004</v>
      </c>
      <c r="B11" s="729" t="s">
        <v>1620</v>
      </c>
      <c r="C11" s="979">
        <v>0</v>
      </c>
      <c r="D11" s="729">
        <v>0</v>
      </c>
      <c r="E11" s="729">
        <v>28.318542999999998</v>
      </c>
      <c r="F11" s="980">
        <v>0</v>
      </c>
      <c r="G11" s="980">
        <v>0</v>
      </c>
      <c r="H11" s="731">
        <f>'[9]FY 2020-21 Q1'!H11*4*1.1</f>
        <v>124.60158920000001</v>
      </c>
    </row>
    <row r="12" spans="1:8">
      <c r="A12" s="732" t="s">
        <v>1004</v>
      </c>
      <c r="B12" s="729" t="s">
        <v>1622</v>
      </c>
      <c r="C12" s="979">
        <v>0</v>
      </c>
      <c r="D12" s="729">
        <v>0</v>
      </c>
      <c r="E12" s="729">
        <v>2.0240640000000001</v>
      </c>
      <c r="F12" s="980">
        <v>0</v>
      </c>
      <c r="G12" s="980">
        <v>0</v>
      </c>
      <c r="H12" s="731">
        <f>'[9]FY 2020-21 Q1'!H12*4*1.1</f>
        <v>8.9058816000000007</v>
      </c>
    </row>
    <row r="13" spans="1:8">
      <c r="A13" s="732" t="s">
        <v>1004</v>
      </c>
      <c r="B13" s="729" t="s">
        <v>1623</v>
      </c>
      <c r="C13" s="979">
        <v>0</v>
      </c>
      <c r="D13" s="729">
        <v>0</v>
      </c>
      <c r="E13" s="729">
        <v>0</v>
      </c>
      <c r="F13" s="980">
        <v>0</v>
      </c>
      <c r="G13" s="980">
        <v>6.3949299999999996</v>
      </c>
      <c r="H13" s="731">
        <f>'[9]FY 2020-21 Q1'!H13*4*1.1</f>
        <v>28.137692000000001</v>
      </c>
    </row>
    <row r="14" spans="1:8">
      <c r="A14" s="732" t="s">
        <v>1004</v>
      </c>
      <c r="B14" s="729" t="s">
        <v>1624</v>
      </c>
      <c r="C14" s="979">
        <v>0</v>
      </c>
      <c r="D14" s="729">
        <v>0</v>
      </c>
      <c r="E14" s="729">
        <v>0</v>
      </c>
      <c r="F14" s="980">
        <v>0</v>
      </c>
      <c r="G14" s="980">
        <v>3.9257900000000001</v>
      </c>
      <c r="H14" s="731">
        <f>'[9]FY 2020-21 Q1'!H14*4*1.1</f>
        <v>17.273476000000002</v>
      </c>
    </row>
    <row r="15" spans="1:8">
      <c r="A15" s="732" t="s">
        <v>1004</v>
      </c>
      <c r="B15" s="729" t="s">
        <v>1625</v>
      </c>
      <c r="C15" s="979">
        <v>0</v>
      </c>
      <c r="D15" s="729">
        <v>0</v>
      </c>
      <c r="E15" s="729">
        <v>0</v>
      </c>
      <c r="F15" s="980">
        <v>0</v>
      </c>
      <c r="G15" s="980">
        <v>3.2708599999999999</v>
      </c>
      <c r="H15" s="731">
        <f>'[9]FY 2020-21 Q1'!H15*4*1.1</f>
        <v>14.391784000000001</v>
      </c>
    </row>
    <row r="16" spans="1:8">
      <c r="A16" s="732" t="s">
        <v>1004</v>
      </c>
      <c r="B16" s="729" t="s">
        <v>1627</v>
      </c>
      <c r="C16" s="979">
        <v>0</v>
      </c>
      <c r="D16" s="729">
        <v>0</v>
      </c>
      <c r="E16" s="729">
        <v>0</v>
      </c>
      <c r="F16" s="980">
        <v>0</v>
      </c>
      <c r="G16" s="980">
        <v>1.12541</v>
      </c>
      <c r="H16" s="731">
        <f>'[9]FY 2020-21 Q1'!H16*4*1.1</f>
        <v>4.9518040000000001</v>
      </c>
    </row>
    <row r="17" spans="1:8">
      <c r="A17" s="732" t="s">
        <v>1004</v>
      </c>
      <c r="B17" s="729" t="s">
        <v>1628</v>
      </c>
      <c r="C17" s="979">
        <v>0</v>
      </c>
      <c r="D17" s="729">
        <v>0</v>
      </c>
      <c r="E17" s="729">
        <v>0</v>
      </c>
      <c r="F17" s="980">
        <v>0</v>
      </c>
      <c r="G17" s="980">
        <v>4.1582299999999996</v>
      </c>
      <c r="H17" s="731">
        <f>'[9]FY 2020-21 Q1'!H17*4*1.1</f>
        <v>18.296212000000001</v>
      </c>
    </row>
    <row r="18" spans="1:8">
      <c r="A18" s="732" t="s">
        <v>1004</v>
      </c>
      <c r="B18" s="729" t="s">
        <v>1678</v>
      </c>
      <c r="C18" s="979">
        <v>0</v>
      </c>
      <c r="D18" s="729">
        <v>0</v>
      </c>
      <c r="E18" s="729">
        <v>0</v>
      </c>
      <c r="F18" s="980">
        <v>0</v>
      </c>
      <c r="G18" s="980">
        <v>10.566839999999999</v>
      </c>
      <c r="H18" s="731">
        <f>'[9]FY 2020-21 Q1'!H18*4*1.1</f>
        <v>46.494095999999999</v>
      </c>
    </row>
    <row r="19" spans="1:8">
      <c r="A19" s="732" t="s">
        <v>1004</v>
      </c>
      <c r="B19" s="729" t="s">
        <v>1630</v>
      </c>
      <c r="C19" s="979">
        <v>0</v>
      </c>
      <c r="D19" s="729">
        <v>0</v>
      </c>
      <c r="E19" s="729">
        <v>6.7683999999999994E-2</v>
      </c>
      <c r="F19" s="980">
        <v>0</v>
      </c>
      <c r="G19" s="980">
        <v>4.2187400000000004</v>
      </c>
      <c r="H19" s="731">
        <f>'[9]FY 2020-21 Q1'!H19*4*1.1</f>
        <v>18.860265600000002</v>
      </c>
    </row>
    <row r="20" spans="1:8">
      <c r="A20" s="732" t="s">
        <v>1004</v>
      </c>
      <c r="B20" s="729" t="s">
        <v>1631</v>
      </c>
      <c r="C20" s="979">
        <v>0</v>
      </c>
      <c r="D20" s="729">
        <v>0</v>
      </c>
      <c r="E20" s="729">
        <v>0.52659999999999996</v>
      </c>
      <c r="F20" s="980">
        <v>0</v>
      </c>
      <c r="G20" s="980">
        <v>0</v>
      </c>
      <c r="H20" s="731">
        <f>'[9]FY 2020-21 Q1'!H20*4*1.1</f>
        <v>2.31704</v>
      </c>
    </row>
    <row r="21" spans="1:8">
      <c r="A21" s="732" t="s">
        <v>1004</v>
      </c>
      <c r="B21" s="729" t="s">
        <v>1632</v>
      </c>
      <c r="C21" s="979">
        <v>0</v>
      </c>
      <c r="D21" s="729">
        <v>0</v>
      </c>
      <c r="E21" s="729">
        <v>6.2725000000000003E-2</v>
      </c>
      <c r="F21" s="980">
        <v>0</v>
      </c>
      <c r="G21" s="980">
        <v>0</v>
      </c>
      <c r="H21" s="731">
        <f>'[9]FY 2020-21 Q1'!H21*4*1.1</f>
        <v>0.27599000000000001</v>
      </c>
    </row>
    <row r="22" spans="1:8">
      <c r="A22" s="732" t="s">
        <v>1004</v>
      </c>
      <c r="B22" s="729" t="s">
        <v>1633</v>
      </c>
      <c r="C22" s="979">
        <v>0</v>
      </c>
      <c r="D22" s="729">
        <v>0</v>
      </c>
      <c r="E22" s="729">
        <v>0</v>
      </c>
      <c r="F22" s="980">
        <v>0</v>
      </c>
      <c r="G22" s="980">
        <v>11.875109</v>
      </c>
      <c r="H22" s="731">
        <f>'[9]FY 2020-21 Q1'!H22*4*1.1</f>
        <v>52.250479600000006</v>
      </c>
    </row>
    <row r="23" spans="1:8">
      <c r="A23" s="732" t="s">
        <v>1004</v>
      </c>
      <c r="B23" s="729" t="s">
        <v>1634</v>
      </c>
      <c r="C23" s="979">
        <v>0</v>
      </c>
      <c r="D23" s="729">
        <v>0</v>
      </c>
      <c r="E23" s="729">
        <v>0</v>
      </c>
      <c r="F23" s="980">
        <v>4.4899100000000001</v>
      </c>
      <c r="G23" s="980">
        <v>0</v>
      </c>
      <c r="H23" s="731">
        <f>'[9]FY 2020-21 Q1'!H23*4*1.1</f>
        <v>19.755604000000002</v>
      </c>
    </row>
    <row r="24" spans="1:8">
      <c r="A24" s="732" t="s">
        <v>1004</v>
      </c>
      <c r="B24" s="729" t="s">
        <v>1635</v>
      </c>
      <c r="C24" s="979">
        <v>0</v>
      </c>
      <c r="D24" s="729">
        <v>0</v>
      </c>
      <c r="E24" s="729">
        <v>0</v>
      </c>
      <c r="F24" s="980">
        <v>0</v>
      </c>
      <c r="G24" s="980">
        <v>5.3916250000000003</v>
      </c>
      <c r="H24" s="731">
        <f>'[9]FY 2020-21 Q1'!H24*4*1.1</f>
        <v>23.723150000000004</v>
      </c>
    </row>
    <row r="25" spans="1:8">
      <c r="A25" s="732" t="s">
        <v>1004</v>
      </c>
      <c r="B25" s="729" t="s">
        <v>1636</v>
      </c>
      <c r="C25" s="979">
        <v>0</v>
      </c>
      <c r="D25" s="729">
        <v>0</v>
      </c>
      <c r="E25" s="729">
        <v>0</v>
      </c>
      <c r="F25" s="980">
        <v>0</v>
      </c>
      <c r="G25" s="980">
        <v>4.1992900000000004</v>
      </c>
      <c r="H25" s="731">
        <f>'[9]FY 2020-21 Q1'!H25*4*1.1</f>
        <v>18.476876000000004</v>
      </c>
    </row>
    <row r="26" spans="1:8">
      <c r="A26" s="732" t="s">
        <v>1004</v>
      </c>
      <c r="B26" s="729" t="s">
        <v>1709</v>
      </c>
      <c r="C26" s="979">
        <v>0</v>
      </c>
      <c r="D26" s="729">
        <v>3.4904959999999998</v>
      </c>
      <c r="E26" s="729">
        <v>0</v>
      </c>
      <c r="F26" s="980">
        <v>0</v>
      </c>
      <c r="G26" s="980">
        <v>0</v>
      </c>
      <c r="H26" s="731">
        <f>'[9]FY 2020-21 Q1'!H26*4*1.1</f>
        <v>15.3581824</v>
      </c>
    </row>
    <row r="27" spans="1:8">
      <c r="A27" s="732" t="s">
        <v>1004</v>
      </c>
      <c r="B27" s="729" t="s">
        <v>1638</v>
      </c>
      <c r="C27" s="979">
        <v>0</v>
      </c>
      <c r="D27" s="729">
        <v>0</v>
      </c>
      <c r="E27" s="729">
        <v>0</v>
      </c>
      <c r="F27" s="980">
        <v>0</v>
      </c>
      <c r="G27" s="980">
        <v>4.25413</v>
      </c>
      <c r="H27" s="731">
        <f>'[9]FY 2020-21 Q1'!H27*4*1.1</f>
        <v>18.718172000000003</v>
      </c>
    </row>
    <row r="28" spans="1:8">
      <c r="A28" s="732" t="s">
        <v>1004</v>
      </c>
      <c r="B28" s="729" t="s">
        <v>1639</v>
      </c>
      <c r="C28" s="979">
        <v>0</v>
      </c>
      <c r="D28" s="729">
        <v>0</v>
      </c>
      <c r="E28" s="729">
        <v>0</v>
      </c>
      <c r="F28" s="980">
        <v>0</v>
      </c>
      <c r="G28" s="980">
        <v>5.4553599999999998</v>
      </c>
      <c r="H28" s="731">
        <f>'[9]FY 2020-21 Q1'!H28*4*1.1</f>
        <v>24.003584</v>
      </c>
    </row>
    <row r="29" spans="1:8">
      <c r="A29" s="732" t="s">
        <v>1004</v>
      </c>
      <c r="B29" s="729" t="s">
        <v>1640</v>
      </c>
      <c r="C29" s="979">
        <v>0</v>
      </c>
      <c r="D29" s="729">
        <v>0</v>
      </c>
      <c r="E29" s="729">
        <v>0</v>
      </c>
      <c r="F29" s="980">
        <v>0</v>
      </c>
      <c r="G29" s="980">
        <v>5.4522300000000001</v>
      </c>
      <c r="H29" s="731">
        <f>'[9]FY 2020-21 Q1'!H29*4*1.1</f>
        <v>23.989812000000004</v>
      </c>
    </row>
    <row r="30" spans="1:8">
      <c r="A30" s="732" t="s">
        <v>1004</v>
      </c>
      <c r="B30" s="729" t="s">
        <v>1641</v>
      </c>
      <c r="C30" s="979">
        <v>20.566455999999999</v>
      </c>
      <c r="D30" s="729">
        <v>0</v>
      </c>
      <c r="E30" s="729">
        <v>0</v>
      </c>
      <c r="F30" s="980">
        <v>0</v>
      </c>
      <c r="G30" s="980">
        <v>0</v>
      </c>
      <c r="H30" s="731">
        <f>'[9]FY 2020-21 Q1'!H30*4*1.1</f>
        <v>90.492406400000007</v>
      </c>
    </row>
    <row r="31" spans="1:8">
      <c r="A31" s="732" t="s">
        <v>1004</v>
      </c>
      <c r="B31" s="729" t="s">
        <v>1644</v>
      </c>
      <c r="C31" s="979">
        <v>0.298039</v>
      </c>
      <c r="D31" s="729">
        <v>0</v>
      </c>
      <c r="E31" s="729">
        <v>0</v>
      </c>
      <c r="F31" s="980">
        <v>0</v>
      </c>
      <c r="G31" s="980">
        <v>0</v>
      </c>
      <c r="H31" s="731">
        <f>'[9]FY 2020-21 Q1'!H31*4*1.1</f>
        <v>1.3113716000000002</v>
      </c>
    </row>
    <row r="32" spans="1:8">
      <c r="A32" s="732" t="s">
        <v>1004</v>
      </c>
      <c r="B32" s="729" t="s">
        <v>1731</v>
      </c>
      <c r="C32" s="979">
        <v>2.1663999999999999E-2</v>
      </c>
      <c r="D32" s="729">
        <v>0</v>
      </c>
      <c r="E32" s="729">
        <v>0</v>
      </c>
      <c r="F32" s="980">
        <v>0</v>
      </c>
      <c r="G32" s="980">
        <v>0</v>
      </c>
      <c r="H32" s="731">
        <f>'[9]FY 2020-21 Q1'!H32*4*1.1</f>
        <v>9.5321600000000006E-2</v>
      </c>
    </row>
    <row r="33" spans="1:8">
      <c r="A33" s="732" t="s">
        <v>1004</v>
      </c>
      <c r="B33" s="729" t="s">
        <v>1645</v>
      </c>
      <c r="C33" s="979">
        <v>0.108012</v>
      </c>
      <c r="D33" s="729">
        <v>0</v>
      </c>
      <c r="E33" s="729">
        <v>0</v>
      </c>
      <c r="F33" s="980">
        <v>0</v>
      </c>
      <c r="G33" s="980">
        <v>0</v>
      </c>
      <c r="H33" s="731">
        <f>'[9]FY 2020-21 Q1'!H33*4*1.1</f>
        <v>0.47525280000000003</v>
      </c>
    </row>
    <row r="34" spans="1:8">
      <c r="A34" s="732" t="s">
        <v>1004</v>
      </c>
      <c r="B34" s="729" t="s">
        <v>1646</v>
      </c>
      <c r="C34" s="979">
        <v>0.27913300000000002</v>
      </c>
      <c r="D34" s="729">
        <v>0</v>
      </c>
      <c r="E34" s="729">
        <v>0</v>
      </c>
      <c r="F34" s="980">
        <v>0</v>
      </c>
      <c r="G34" s="980">
        <v>0</v>
      </c>
      <c r="H34" s="731">
        <f>'[9]FY 2020-21 Q1'!H34*4*1.1</f>
        <v>1.2281852000000002</v>
      </c>
    </row>
    <row r="35" spans="1:8">
      <c r="A35" s="732" t="s">
        <v>1004</v>
      </c>
      <c r="B35" s="729" t="s">
        <v>1647</v>
      </c>
      <c r="C35" s="979">
        <v>0</v>
      </c>
      <c r="D35" s="729">
        <v>0.86239100000000002</v>
      </c>
      <c r="E35" s="729">
        <v>0</v>
      </c>
      <c r="F35" s="980">
        <v>0</v>
      </c>
      <c r="G35" s="980">
        <v>0</v>
      </c>
      <c r="H35" s="731">
        <f>'[9]FY 2020-21 Q1'!H35*4*1.1</f>
        <v>3.7945204000000006</v>
      </c>
    </row>
    <row r="36" spans="1:8">
      <c r="A36" s="732" t="s">
        <v>1004</v>
      </c>
      <c r="B36" s="729" t="s">
        <v>1648</v>
      </c>
      <c r="C36" s="979">
        <v>0</v>
      </c>
      <c r="D36" s="729">
        <v>0</v>
      </c>
      <c r="E36" s="729">
        <v>0</v>
      </c>
      <c r="F36" s="980">
        <v>0</v>
      </c>
      <c r="G36" s="980">
        <v>2.9523980000000001</v>
      </c>
      <c r="H36" s="731">
        <f>'[9]FY 2020-21 Q1'!H36*4*1.1</f>
        <v>12.990551200000001</v>
      </c>
    </row>
    <row r="37" spans="1:8">
      <c r="A37" s="732" t="s">
        <v>1004</v>
      </c>
      <c r="B37" s="729" t="s">
        <v>1649</v>
      </c>
      <c r="C37" s="979">
        <v>0</v>
      </c>
      <c r="D37" s="729">
        <v>9.5852070000000005</v>
      </c>
      <c r="E37" s="729">
        <v>0</v>
      </c>
      <c r="F37" s="980">
        <v>0</v>
      </c>
      <c r="G37" s="980">
        <v>0</v>
      </c>
      <c r="H37" s="731">
        <f>'[9]FY 2020-21 Q1'!H37*4*1.1</f>
        <v>42.174910800000006</v>
      </c>
    </row>
    <row r="38" spans="1:8">
      <c r="A38" s="732" t="s">
        <v>1004</v>
      </c>
      <c r="B38" s="729" t="s">
        <v>2058</v>
      </c>
      <c r="C38" s="979">
        <v>0.32886900000000002</v>
      </c>
      <c r="D38" s="729">
        <v>0</v>
      </c>
      <c r="E38" s="729">
        <v>0</v>
      </c>
      <c r="F38" s="980">
        <v>0</v>
      </c>
      <c r="G38" s="980">
        <v>0</v>
      </c>
      <c r="H38" s="731">
        <f>'[9]FY 2020-21 Q1'!H38*4*1.1</f>
        <v>1.4470236000000003</v>
      </c>
    </row>
    <row r="39" spans="1:8">
      <c r="A39" s="732" t="s">
        <v>1004</v>
      </c>
      <c r="B39" s="729" t="s">
        <v>2059</v>
      </c>
      <c r="C39" s="979">
        <v>1.4449700000000001</v>
      </c>
      <c r="D39" s="729">
        <v>0</v>
      </c>
      <c r="E39" s="729">
        <v>0</v>
      </c>
      <c r="F39" s="980">
        <v>0</v>
      </c>
      <c r="G39" s="980">
        <v>0</v>
      </c>
      <c r="H39" s="731">
        <f>'[9]FY 2020-21 Q1'!H39*4*1.1</f>
        <v>6.3578680000000007</v>
      </c>
    </row>
    <row r="40" spans="1:8">
      <c r="A40" s="732" t="s">
        <v>1004</v>
      </c>
      <c r="B40" s="729" t="s">
        <v>1650</v>
      </c>
      <c r="C40" s="979">
        <v>0</v>
      </c>
      <c r="D40" s="729">
        <v>0</v>
      </c>
      <c r="E40" s="729">
        <v>0</v>
      </c>
      <c r="F40" s="980">
        <v>0</v>
      </c>
      <c r="G40" s="980">
        <v>6.7579750000000001</v>
      </c>
      <c r="H40" s="731">
        <f>'[9]FY 2020-21 Q1'!H40*4*1.1</f>
        <v>29.735090000000003</v>
      </c>
    </row>
    <row r="41" spans="1:8">
      <c r="A41" s="732" t="s">
        <v>1004</v>
      </c>
      <c r="B41" s="729" t="s">
        <v>2060</v>
      </c>
      <c r="C41" s="979">
        <v>0.467976</v>
      </c>
      <c r="D41" s="729">
        <v>0</v>
      </c>
      <c r="E41" s="729">
        <v>0</v>
      </c>
      <c r="F41" s="980">
        <v>0</v>
      </c>
      <c r="G41" s="980">
        <v>0</v>
      </c>
      <c r="H41" s="731">
        <f>'[9]FY 2020-21 Q1'!H41*4*1.1</f>
        <v>2.0590944000000002</v>
      </c>
    </row>
    <row r="42" spans="1:8">
      <c r="A42" s="732" t="s">
        <v>1004</v>
      </c>
      <c r="B42" s="729" t="s">
        <v>1651</v>
      </c>
      <c r="C42" s="979">
        <v>0.36499999999999999</v>
      </c>
      <c r="D42" s="729">
        <v>0</v>
      </c>
      <c r="E42" s="729">
        <v>0</v>
      </c>
      <c r="F42" s="980">
        <v>0</v>
      </c>
      <c r="G42" s="980">
        <v>0</v>
      </c>
      <c r="H42" s="731">
        <f>'[9]FY 2020-21 Q1'!H42*4*1.1</f>
        <v>1.6060000000000001</v>
      </c>
    </row>
    <row r="43" spans="1:8">
      <c r="A43" s="732" t="s">
        <v>1004</v>
      </c>
      <c r="B43" s="729" t="s">
        <v>1652</v>
      </c>
      <c r="C43" s="979">
        <v>0</v>
      </c>
      <c r="D43" s="729">
        <v>0</v>
      </c>
      <c r="E43" s="729">
        <v>0</v>
      </c>
      <c r="F43" s="980">
        <v>0</v>
      </c>
      <c r="G43" s="980">
        <v>1.463773</v>
      </c>
      <c r="H43" s="731">
        <f>'[9]FY 2020-21 Q1'!H43*4*1.1</f>
        <v>6.4406012000000006</v>
      </c>
    </row>
    <row r="44" spans="1:8">
      <c r="A44" s="732" t="s">
        <v>1004</v>
      </c>
      <c r="B44" s="729" t="s">
        <v>1653</v>
      </c>
      <c r="C44" s="979">
        <v>0</v>
      </c>
      <c r="D44" s="729">
        <v>0</v>
      </c>
      <c r="E44" s="729">
        <v>0</v>
      </c>
      <c r="F44" s="980">
        <v>0</v>
      </c>
      <c r="G44" s="980">
        <v>2.1009660000000001</v>
      </c>
      <c r="H44" s="731">
        <f>'[9]FY 2020-21 Q1'!H44*4*1.1</f>
        <v>9.2442504000000021</v>
      </c>
    </row>
    <row r="45" spans="1:8">
      <c r="A45" s="732" t="s">
        <v>1004</v>
      </c>
      <c r="B45" s="729" t="s">
        <v>1626</v>
      </c>
      <c r="C45" s="979">
        <v>0</v>
      </c>
      <c r="D45" s="729">
        <v>0</v>
      </c>
      <c r="E45" s="729">
        <v>0</v>
      </c>
      <c r="F45" s="980">
        <v>0</v>
      </c>
      <c r="G45" s="980">
        <v>2.7957000000000001</v>
      </c>
      <c r="H45" s="731">
        <f>'[9]FY 2020-21 Q1'!H45*4*1.1</f>
        <v>12.301080000000001</v>
      </c>
    </row>
    <row r="46" spans="1:8">
      <c r="A46" s="732" t="s">
        <v>1004</v>
      </c>
      <c r="B46" s="729" t="s">
        <v>1642</v>
      </c>
      <c r="C46" s="979">
        <v>0</v>
      </c>
      <c r="D46" s="729">
        <v>0</v>
      </c>
      <c r="E46" s="729">
        <v>0</v>
      </c>
      <c r="F46" s="980">
        <v>0</v>
      </c>
      <c r="G46" s="980">
        <v>5.552079</v>
      </c>
      <c r="H46" s="731">
        <f>'[9]FY 2020-21 Q1'!H46*4*1.1</f>
        <v>24.4291476</v>
      </c>
    </row>
    <row r="47" spans="1:8">
      <c r="A47" s="732" t="s">
        <v>1004</v>
      </c>
      <c r="B47" s="729" t="s">
        <v>1629</v>
      </c>
      <c r="C47" s="979">
        <v>0</v>
      </c>
      <c r="D47" s="729">
        <v>0</v>
      </c>
      <c r="E47" s="729">
        <v>0</v>
      </c>
      <c r="F47" s="980">
        <v>0</v>
      </c>
      <c r="G47" s="980">
        <v>3.431</v>
      </c>
      <c r="H47" s="731">
        <f>'[9]FY 2020-21 Q1'!H47*4*1.1</f>
        <v>15.096400000000001</v>
      </c>
    </row>
    <row r="48" spans="1:8">
      <c r="A48" s="986" t="s">
        <v>1004</v>
      </c>
      <c r="B48" s="729" t="s">
        <v>1643</v>
      </c>
      <c r="C48" s="979">
        <v>0</v>
      </c>
      <c r="D48" s="729">
        <v>0</v>
      </c>
      <c r="E48" s="729">
        <v>0</v>
      </c>
      <c r="F48" s="980">
        <v>0</v>
      </c>
      <c r="G48" s="980">
        <v>5.5526999999999997</v>
      </c>
      <c r="H48" s="731">
        <f>'[9]FY 2020-21 Q1'!H48*4*1.1</f>
        <v>24.43188</v>
      </c>
    </row>
    <row r="49" spans="1:8" ht="15.75" thickBot="1">
      <c r="A49" s="986" t="s">
        <v>1004</v>
      </c>
      <c r="B49" s="987" t="s">
        <v>2061</v>
      </c>
      <c r="C49" s="979">
        <v>5.2351910000000004</v>
      </c>
      <c r="D49" s="729">
        <v>0</v>
      </c>
      <c r="E49" s="729">
        <v>0</v>
      </c>
      <c r="F49" s="980">
        <v>0</v>
      </c>
      <c r="G49" s="980"/>
      <c r="H49" s="731">
        <f>'[9]FY 2020-21 Q1'!H49*4*1.1</f>
        <v>23.034840400000004</v>
      </c>
    </row>
    <row r="50" spans="1:8" ht="15.75" thickBot="1">
      <c r="A50" s="988"/>
      <c r="B50" s="734"/>
      <c r="C50" s="981"/>
      <c r="D50" s="734"/>
      <c r="E50" s="734"/>
      <c r="F50" s="982"/>
      <c r="G50" s="982"/>
      <c r="H50" s="735"/>
    </row>
    <row r="51" spans="1:8">
      <c r="A51" s="731" t="s">
        <v>1172</v>
      </c>
      <c r="B51" s="729" t="s">
        <v>1654</v>
      </c>
      <c r="C51" s="979">
        <v>0</v>
      </c>
      <c r="D51" s="729">
        <v>0</v>
      </c>
      <c r="E51" s="729">
        <v>43.675274999999999</v>
      </c>
      <c r="F51" s="980">
        <v>0</v>
      </c>
      <c r="G51" s="980">
        <v>0</v>
      </c>
      <c r="H51" s="731">
        <f>'[9]FY 2020-21 Q1'!H51*4*1.1</f>
        <v>192.17121</v>
      </c>
    </row>
    <row r="52" spans="1:8">
      <c r="A52" s="732" t="s">
        <v>1172</v>
      </c>
      <c r="B52" s="729" t="s">
        <v>1621</v>
      </c>
      <c r="C52" s="979">
        <v>0</v>
      </c>
      <c r="D52" s="729">
        <v>0</v>
      </c>
      <c r="E52" s="729">
        <v>111.964128</v>
      </c>
      <c r="F52" s="980">
        <v>0</v>
      </c>
      <c r="G52" s="980">
        <v>0</v>
      </c>
      <c r="H52" s="731">
        <f>'[9]FY 2020-21 Q1'!H52*4*1.1</f>
        <v>492.64216320000003</v>
      </c>
    </row>
    <row r="53" spans="1:8">
      <c r="A53" s="732" t="s">
        <v>1172</v>
      </c>
      <c r="B53" s="729" t="s">
        <v>1655</v>
      </c>
      <c r="C53" s="979">
        <v>0</v>
      </c>
      <c r="D53" s="729">
        <v>0</v>
      </c>
      <c r="E53" s="729">
        <v>69.400575000000003</v>
      </c>
      <c r="F53" s="980">
        <v>0</v>
      </c>
      <c r="G53" s="980">
        <v>0</v>
      </c>
      <c r="H53" s="731">
        <f>'[9]FY 2020-21 Q1'!H53*4*1.1</f>
        <v>305.36253000000005</v>
      </c>
    </row>
    <row r="54" spans="1:8">
      <c r="A54" s="732" t="s">
        <v>1172</v>
      </c>
      <c r="B54" s="729" t="s">
        <v>1620</v>
      </c>
      <c r="C54" s="979">
        <v>0</v>
      </c>
      <c r="D54" s="729">
        <v>0</v>
      </c>
      <c r="E54" s="729">
        <v>84.564485000000005</v>
      </c>
      <c r="F54" s="980">
        <v>0</v>
      </c>
      <c r="G54" s="980">
        <v>0</v>
      </c>
      <c r="H54" s="731">
        <f>'[9]FY 2020-21 Q1'!H54*4*1.1</f>
        <v>372.08373400000005</v>
      </c>
    </row>
    <row r="55" spans="1:8">
      <c r="A55" s="732" t="s">
        <v>1172</v>
      </c>
      <c r="B55" s="729" t="s">
        <v>1622</v>
      </c>
      <c r="C55" s="979">
        <v>0</v>
      </c>
      <c r="D55" s="729">
        <v>0</v>
      </c>
      <c r="E55" s="729">
        <v>28.067952999999999</v>
      </c>
      <c r="F55" s="980">
        <v>0</v>
      </c>
      <c r="G55" s="980">
        <v>0</v>
      </c>
      <c r="H55" s="731">
        <f>'[9]FY 2020-21 Q1'!H55*4*1.1</f>
        <v>123.4989932</v>
      </c>
    </row>
    <row r="56" spans="1:8">
      <c r="A56" s="732" t="s">
        <v>1172</v>
      </c>
      <c r="B56" s="729" t="s">
        <v>1658</v>
      </c>
      <c r="C56" s="979">
        <v>0</v>
      </c>
      <c r="D56" s="729">
        <v>0</v>
      </c>
      <c r="E56" s="729">
        <v>43.656165999999999</v>
      </c>
      <c r="F56" s="980">
        <v>0</v>
      </c>
      <c r="G56" s="980">
        <v>0</v>
      </c>
      <c r="H56" s="731">
        <f>'[9]FY 2020-21 Q1'!H56*4*1.1</f>
        <v>192.08713040000001</v>
      </c>
    </row>
    <row r="57" spans="1:8">
      <c r="A57" s="732" t="s">
        <v>1172</v>
      </c>
      <c r="B57" s="729" t="s">
        <v>1659</v>
      </c>
      <c r="C57" s="979">
        <v>0</v>
      </c>
      <c r="D57" s="729">
        <v>0</v>
      </c>
      <c r="E57" s="729">
        <v>114.791946</v>
      </c>
      <c r="F57" s="980">
        <v>0</v>
      </c>
      <c r="G57" s="980">
        <v>0</v>
      </c>
      <c r="H57" s="731">
        <f>'[9]FY 2020-21 Q1'!H57*4*1.1</f>
        <v>505.08456240000004</v>
      </c>
    </row>
    <row r="58" spans="1:8">
      <c r="A58" s="732" t="s">
        <v>1172</v>
      </c>
      <c r="B58" s="729" t="s">
        <v>1660</v>
      </c>
      <c r="C58" s="979">
        <v>0</v>
      </c>
      <c r="D58" s="729">
        <v>0</v>
      </c>
      <c r="E58" s="729">
        <v>34.671393000000002</v>
      </c>
      <c r="F58" s="980">
        <v>0</v>
      </c>
      <c r="G58" s="980">
        <v>0</v>
      </c>
      <c r="H58" s="731">
        <f>'[9]FY 2020-21 Q1'!H58*4*1.1</f>
        <v>152.55412920000003</v>
      </c>
    </row>
    <row r="59" spans="1:8">
      <c r="A59" s="732" t="s">
        <v>1172</v>
      </c>
      <c r="B59" s="729" t="s">
        <v>1661</v>
      </c>
      <c r="C59" s="979">
        <v>0</v>
      </c>
      <c r="D59" s="729">
        <v>0</v>
      </c>
      <c r="E59" s="729">
        <v>88.064126000000002</v>
      </c>
      <c r="F59" s="980">
        <v>0</v>
      </c>
      <c r="G59" s="980">
        <v>0</v>
      </c>
      <c r="H59" s="731">
        <f>'[9]FY 2020-21 Q1'!H59*4*1.1</f>
        <v>387.48215440000001</v>
      </c>
    </row>
    <row r="60" spans="1:8">
      <c r="A60" s="732" t="s">
        <v>1172</v>
      </c>
      <c r="B60" s="729" t="s">
        <v>1662</v>
      </c>
      <c r="C60" s="979">
        <v>0</v>
      </c>
      <c r="D60" s="729">
        <v>0</v>
      </c>
      <c r="E60" s="729">
        <v>61.622318999999997</v>
      </c>
      <c r="F60" s="980">
        <v>0</v>
      </c>
      <c r="G60" s="980">
        <v>0</v>
      </c>
      <c r="H60" s="731">
        <f>'[9]FY 2020-21 Q1'!H60*4*1.1</f>
        <v>271.1382036</v>
      </c>
    </row>
    <row r="61" spans="1:8">
      <c r="A61" s="732" t="s">
        <v>1172</v>
      </c>
      <c r="B61" s="729" t="s">
        <v>1623</v>
      </c>
      <c r="C61" s="979">
        <v>0</v>
      </c>
      <c r="D61" s="729">
        <v>0</v>
      </c>
      <c r="E61" s="729">
        <v>103.65616799999999</v>
      </c>
      <c r="F61" s="980">
        <v>0</v>
      </c>
      <c r="G61" s="980">
        <v>0</v>
      </c>
      <c r="H61" s="731">
        <f>'[9]FY 2020-21 Q1'!H61*4*1.1</f>
        <v>456.08713920000002</v>
      </c>
    </row>
    <row r="62" spans="1:8">
      <c r="A62" s="732" t="s">
        <v>1172</v>
      </c>
      <c r="B62" s="729" t="s">
        <v>1663</v>
      </c>
      <c r="C62" s="979">
        <v>0</v>
      </c>
      <c r="D62" s="729">
        <v>0</v>
      </c>
      <c r="E62" s="729">
        <v>105.254347</v>
      </c>
      <c r="F62" s="980">
        <v>0</v>
      </c>
      <c r="G62" s="980">
        <v>0</v>
      </c>
      <c r="H62" s="731">
        <f>'[9]FY 2020-21 Q1'!H62*4*1.1</f>
        <v>463.1191268</v>
      </c>
    </row>
    <row r="63" spans="1:8">
      <c r="A63" s="732" t="s">
        <v>1172</v>
      </c>
      <c r="B63" s="729" t="s">
        <v>1624</v>
      </c>
      <c r="C63" s="979">
        <v>0</v>
      </c>
      <c r="D63" s="729">
        <v>0</v>
      </c>
      <c r="E63" s="729">
        <v>82.120994999999994</v>
      </c>
      <c r="F63" s="980">
        <v>0</v>
      </c>
      <c r="G63" s="980">
        <v>0</v>
      </c>
      <c r="H63" s="731">
        <f>'[9]FY 2020-21 Q1'!H63*4*1.1</f>
        <v>361.33237800000001</v>
      </c>
    </row>
    <row r="64" spans="1:8">
      <c r="A64" s="732" t="s">
        <v>1172</v>
      </c>
      <c r="B64" s="729" t="s">
        <v>1664</v>
      </c>
      <c r="C64" s="979">
        <v>0</v>
      </c>
      <c r="D64" s="729">
        <v>0</v>
      </c>
      <c r="E64" s="729">
        <v>61.213523000000002</v>
      </c>
      <c r="F64" s="980">
        <v>0</v>
      </c>
      <c r="G64" s="980">
        <v>0</v>
      </c>
      <c r="H64" s="731">
        <f>'[9]FY 2020-21 Q1'!H64*4*1.1</f>
        <v>269.33950120000003</v>
      </c>
    </row>
    <row r="65" spans="1:8">
      <c r="A65" s="732" t="s">
        <v>1172</v>
      </c>
      <c r="B65" s="729" t="s">
        <v>1665</v>
      </c>
      <c r="C65" s="979">
        <v>0</v>
      </c>
      <c r="D65" s="729">
        <v>0</v>
      </c>
      <c r="E65" s="729">
        <v>100.63155999999999</v>
      </c>
      <c r="F65" s="980">
        <v>0</v>
      </c>
      <c r="G65" s="980">
        <v>0</v>
      </c>
      <c r="H65" s="731">
        <f>'[9]FY 2020-21 Q1'!H65*4*1.1</f>
        <v>442.778864</v>
      </c>
    </row>
    <row r="66" spans="1:8">
      <c r="A66" s="732" t="s">
        <v>1172</v>
      </c>
      <c r="B66" s="729" t="s">
        <v>1666</v>
      </c>
      <c r="C66" s="979">
        <v>0</v>
      </c>
      <c r="D66" s="729">
        <v>0</v>
      </c>
      <c r="E66" s="729">
        <v>35.537472999999999</v>
      </c>
      <c r="F66" s="980">
        <v>0</v>
      </c>
      <c r="G66" s="980">
        <v>0</v>
      </c>
      <c r="H66" s="731">
        <f>'[9]FY 2020-21 Q1'!H66*4*1.1</f>
        <v>156.36488120000001</v>
      </c>
    </row>
    <row r="67" spans="1:8">
      <c r="A67" s="732" t="s">
        <v>1172</v>
      </c>
      <c r="B67" s="729" t="s">
        <v>1667</v>
      </c>
      <c r="C67" s="979">
        <v>0</v>
      </c>
      <c r="D67" s="729">
        <v>0</v>
      </c>
      <c r="E67" s="729">
        <v>67.527320000000003</v>
      </c>
      <c r="F67" s="980">
        <v>0</v>
      </c>
      <c r="G67" s="980">
        <v>0</v>
      </c>
      <c r="H67" s="731">
        <f>'[9]FY 2020-21 Q1'!H67*4*1.1</f>
        <v>297.12020800000005</v>
      </c>
    </row>
    <row r="68" spans="1:8">
      <c r="A68" s="732" t="s">
        <v>1172</v>
      </c>
      <c r="B68" s="729" t="s">
        <v>1625</v>
      </c>
      <c r="C68" s="979">
        <v>0</v>
      </c>
      <c r="D68" s="729">
        <v>0</v>
      </c>
      <c r="E68" s="729">
        <v>42.567140999999999</v>
      </c>
      <c r="F68" s="980">
        <v>0</v>
      </c>
      <c r="G68" s="980">
        <v>0</v>
      </c>
      <c r="H68" s="731">
        <f>'[9]FY 2020-21 Q1'!H68*4*1.1</f>
        <v>187.29542040000001</v>
      </c>
    </row>
    <row r="69" spans="1:8">
      <c r="A69" s="732" t="s">
        <v>1172</v>
      </c>
      <c r="B69" s="729" t="s">
        <v>1668</v>
      </c>
      <c r="C69" s="979">
        <v>0</v>
      </c>
      <c r="D69" s="729">
        <v>0</v>
      </c>
      <c r="E69" s="729">
        <v>28.436040999999999</v>
      </c>
      <c r="F69" s="980">
        <v>0</v>
      </c>
      <c r="G69" s="980">
        <v>0</v>
      </c>
      <c r="H69" s="731">
        <f>'[9]FY 2020-21 Q1'!H69*4*1.1</f>
        <v>125.11858040000001</v>
      </c>
    </row>
    <row r="70" spans="1:8">
      <c r="A70" s="732" t="s">
        <v>1172</v>
      </c>
      <c r="B70" s="729" t="s">
        <v>1669</v>
      </c>
      <c r="C70" s="979">
        <v>0</v>
      </c>
      <c r="D70" s="729">
        <v>0</v>
      </c>
      <c r="E70" s="729">
        <v>36.330922000000001</v>
      </c>
      <c r="F70" s="980">
        <v>0</v>
      </c>
      <c r="G70" s="980">
        <v>0</v>
      </c>
      <c r="H70" s="731">
        <f>'[9]FY 2020-21 Q1'!H70*4*1.1</f>
        <v>159.8560568</v>
      </c>
    </row>
    <row r="71" spans="1:8">
      <c r="A71" s="732" t="s">
        <v>1172</v>
      </c>
      <c r="B71" s="729" t="s">
        <v>1670</v>
      </c>
      <c r="C71" s="979">
        <v>0</v>
      </c>
      <c r="D71" s="729">
        <v>0</v>
      </c>
      <c r="E71" s="729">
        <v>68.066854000000006</v>
      </c>
      <c r="F71" s="980">
        <v>0</v>
      </c>
      <c r="G71" s="980">
        <v>0</v>
      </c>
      <c r="H71" s="731">
        <f>'[9]FY 2020-21 Q1'!H71*4*1.1</f>
        <v>299.49415760000005</v>
      </c>
    </row>
    <row r="72" spans="1:8">
      <c r="A72" s="732" t="s">
        <v>1172</v>
      </c>
      <c r="B72" s="729" t="s">
        <v>1671</v>
      </c>
      <c r="C72" s="979">
        <v>0</v>
      </c>
      <c r="D72" s="729">
        <v>0</v>
      </c>
      <c r="E72" s="729">
        <v>113.052603</v>
      </c>
      <c r="F72" s="980">
        <v>0</v>
      </c>
      <c r="G72" s="980">
        <v>0</v>
      </c>
      <c r="H72" s="731">
        <f>'[9]FY 2020-21 Q1'!H72*4*1.1</f>
        <v>497.43145320000008</v>
      </c>
    </row>
    <row r="73" spans="1:8">
      <c r="A73" s="732" t="s">
        <v>1172</v>
      </c>
      <c r="B73" s="729" t="s">
        <v>1627</v>
      </c>
      <c r="C73" s="979">
        <v>0</v>
      </c>
      <c r="D73" s="729">
        <v>0</v>
      </c>
      <c r="E73" s="729">
        <v>62.592188</v>
      </c>
      <c r="F73" s="980">
        <v>0</v>
      </c>
      <c r="G73" s="980">
        <v>0</v>
      </c>
      <c r="H73" s="731">
        <f>'[9]FY 2020-21 Q1'!H73*4*1.1</f>
        <v>275.40562720000003</v>
      </c>
    </row>
    <row r="74" spans="1:8">
      <c r="A74" s="732" t="s">
        <v>1172</v>
      </c>
      <c r="B74" s="729" t="s">
        <v>1628</v>
      </c>
      <c r="C74" s="979">
        <v>0</v>
      </c>
      <c r="D74" s="729">
        <v>0</v>
      </c>
      <c r="E74" s="729">
        <v>37.294471000000001</v>
      </c>
      <c r="F74" s="980">
        <v>0</v>
      </c>
      <c r="G74" s="980">
        <v>0</v>
      </c>
      <c r="H74" s="731">
        <f>'[9]FY 2020-21 Q1'!H74*4*1.1</f>
        <v>164.09567240000001</v>
      </c>
    </row>
    <row r="75" spans="1:8">
      <c r="A75" s="732" t="s">
        <v>1172</v>
      </c>
      <c r="B75" s="729" t="s">
        <v>1675</v>
      </c>
      <c r="C75" s="979">
        <v>0</v>
      </c>
      <c r="D75" s="729">
        <v>0</v>
      </c>
      <c r="E75" s="729">
        <v>84.456117000000006</v>
      </c>
      <c r="F75" s="980">
        <v>0</v>
      </c>
      <c r="G75" s="980">
        <v>0</v>
      </c>
      <c r="H75" s="731">
        <f>'[9]FY 2020-21 Q1'!H75*4*1.1</f>
        <v>371.60691480000008</v>
      </c>
    </row>
    <row r="76" spans="1:8">
      <c r="A76" s="732" t="s">
        <v>1172</v>
      </c>
      <c r="B76" s="729" t="s">
        <v>1676</v>
      </c>
      <c r="C76" s="979">
        <v>0</v>
      </c>
      <c r="D76" s="729">
        <v>0</v>
      </c>
      <c r="E76" s="729">
        <v>114.290228</v>
      </c>
      <c r="F76" s="980">
        <v>0</v>
      </c>
      <c r="G76" s="980">
        <v>0</v>
      </c>
      <c r="H76" s="731">
        <f>'[9]FY 2020-21 Q1'!H76*4*1.1</f>
        <v>502.87700320000005</v>
      </c>
    </row>
    <row r="77" spans="1:8">
      <c r="A77" s="732" t="s">
        <v>1172</v>
      </c>
      <c r="B77" s="729" t="s">
        <v>2078</v>
      </c>
      <c r="C77" s="979">
        <v>0</v>
      </c>
      <c r="D77" s="729">
        <v>0</v>
      </c>
      <c r="E77" s="729">
        <v>2.544</v>
      </c>
      <c r="F77" s="980">
        <v>0</v>
      </c>
      <c r="G77" s="980">
        <v>0</v>
      </c>
      <c r="H77" s="731">
        <f>'[9]FY 2020-21 Q1'!H77*4*1.1</f>
        <v>11.193600000000002</v>
      </c>
    </row>
    <row r="78" spans="1:8">
      <c r="A78" s="732" t="s">
        <v>1172</v>
      </c>
      <c r="B78" s="729" t="s">
        <v>1677</v>
      </c>
      <c r="C78" s="979">
        <v>0</v>
      </c>
      <c r="D78" s="729">
        <v>0</v>
      </c>
      <c r="E78" s="729">
        <v>54.944513999999998</v>
      </c>
      <c r="F78" s="980">
        <v>0</v>
      </c>
      <c r="G78" s="980">
        <v>0</v>
      </c>
      <c r="H78" s="731">
        <f>'[9]FY 2020-21 Q1'!H78*4*1.1</f>
        <v>241.7558616</v>
      </c>
    </row>
    <row r="79" spans="1:8">
      <c r="A79" s="732" t="s">
        <v>1172</v>
      </c>
      <c r="B79" s="729" t="s">
        <v>1678</v>
      </c>
      <c r="C79" s="979">
        <v>0</v>
      </c>
      <c r="D79" s="729">
        <v>0</v>
      </c>
      <c r="E79" s="729">
        <v>23.130996</v>
      </c>
      <c r="F79" s="980">
        <v>0</v>
      </c>
      <c r="G79" s="980">
        <v>0</v>
      </c>
      <c r="H79" s="731">
        <f>'[9]FY 2020-21 Q1'!H79*4*1.1</f>
        <v>101.7763824</v>
      </c>
    </row>
    <row r="80" spans="1:8">
      <c r="A80" s="732" t="s">
        <v>1172</v>
      </c>
      <c r="B80" s="729" t="s">
        <v>1679</v>
      </c>
      <c r="C80" s="979">
        <v>0</v>
      </c>
      <c r="D80" s="729">
        <v>0</v>
      </c>
      <c r="E80" s="729">
        <v>58.355549000000003</v>
      </c>
      <c r="F80" s="980">
        <v>0</v>
      </c>
      <c r="G80" s="980">
        <v>0</v>
      </c>
      <c r="H80" s="731">
        <f>'[9]FY 2020-21 Q1'!H80*4*1.1</f>
        <v>256.76441560000006</v>
      </c>
    </row>
    <row r="81" spans="1:8">
      <c r="A81" s="732" t="s">
        <v>1172</v>
      </c>
      <c r="B81" s="729" t="s">
        <v>1680</v>
      </c>
      <c r="C81" s="979">
        <v>0</v>
      </c>
      <c r="D81" s="729">
        <v>0</v>
      </c>
      <c r="E81" s="729">
        <v>57.404845999999999</v>
      </c>
      <c r="F81" s="980">
        <v>0</v>
      </c>
      <c r="G81" s="980">
        <v>0</v>
      </c>
      <c r="H81" s="731">
        <f>'[9]FY 2020-21 Q1'!H81*4*1.1</f>
        <v>252.5813224</v>
      </c>
    </row>
    <row r="82" spans="1:8">
      <c r="A82" s="732" t="s">
        <v>1172</v>
      </c>
      <c r="B82" s="729" t="s">
        <v>1681</v>
      </c>
      <c r="C82" s="979">
        <v>0</v>
      </c>
      <c r="D82" s="729">
        <v>0</v>
      </c>
      <c r="E82" s="729">
        <v>21.235156</v>
      </c>
      <c r="F82" s="980">
        <v>0</v>
      </c>
      <c r="G82" s="980">
        <v>0</v>
      </c>
      <c r="H82" s="731">
        <f>'[9]FY 2020-21 Q1'!H82*4*1.1</f>
        <v>93.434686400000004</v>
      </c>
    </row>
    <row r="83" spans="1:8">
      <c r="A83" s="732" t="s">
        <v>1172</v>
      </c>
      <c r="B83" s="729" t="s">
        <v>1682</v>
      </c>
      <c r="C83" s="979">
        <v>0</v>
      </c>
      <c r="D83" s="729">
        <v>0</v>
      </c>
      <c r="E83" s="729">
        <v>39.912351999999998</v>
      </c>
      <c r="F83" s="980">
        <v>0</v>
      </c>
      <c r="G83" s="980">
        <v>0</v>
      </c>
      <c r="H83" s="731">
        <f>'[9]FY 2020-21 Q1'!H83*4*1.1</f>
        <v>175.61434880000002</v>
      </c>
    </row>
    <row r="84" spans="1:8">
      <c r="A84" s="732" t="s">
        <v>1172</v>
      </c>
      <c r="B84" s="729" t="s">
        <v>1684</v>
      </c>
      <c r="C84" s="979">
        <v>0</v>
      </c>
      <c r="D84" s="729">
        <v>0</v>
      </c>
      <c r="E84" s="729">
        <v>95.491667000000007</v>
      </c>
      <c r="F84" s="980">
        <v>0</v>
      </c>
      <c r="G84" s="980">
        <v>0</v>
      </c>
      <c r="H84" s="731">
        <f>'[9]FY 2020-21 Q1'!H84*4*1.1</f>
        <v>420.16333480000009</v>
      </c>
    </row>
    <row r="85" spans="1:8">
      <c r="A85" s="732" t="s">
        <v>1172</v>
      </c>
      <c r="B85" s="729" t="s">
        <v>1685</v>
      </c>
      <c r="C85" s="979">
        <v>0</v>
      </c>
      <c r="D85" s="729">
        <v>0</v>
      </c>
      <c r="E85" s="729">
        <v>22.020206999999999</v>
      </c>
      <c r="F85" s="980">
        <v>0</v>
      </c>
      <c r="G85" s="980">
        <v>0</v>
      </c>
      <c r="H85" s="731">
        <f>'[9]FY 2020-21 Q1'!H85*4*1.1</f>
        <v>96.888910800000005</v>
      </c>
    </row>
    <row r="86" spans="1:8">
      <c r="A86" s="732" t="s">
        <v>1172</v>
      </c>
      <c r="B86" s="729" t="s">
        <v>1630</v>
      </c>
      <c r="C86" s="979">
        <v>0</v>
      </c>
      <c r="D86" s="729">
        <v>0</v>
      </c>
      <c r="E86" s="729">
        <v>59.118429999999996</v>
      </c>
      <c r="F86" s="980">
        <v>0</v>
      </c>
      <c r="G86" s="980">
        <v>0</v>
      </c>
      <c r="H86" s="731">
        <f>'[9]FY 2020-21 Q1'!H86*4*1.1</f>
        <v>260.12109200000003</v>
      </c>
    </row>
    <row r="87" spans="1:8">
      <c r="A87" s="732" t="s">
        <v>1172</v>
      </c>
      <c r="B87" s="729" t="s">
        <v>1631</v>
      </c>
      <c r="C87" s="979">
        <v>0</v>
      </c>
      <c r="D87" s="729">
        <v>0</v>
      </c>
      <c r="E87" s="729">
        <v>37.977943000000003</v>
      </c>
      <c r="F87" s="980">
        <v>0</v>
      </c>
      <c r="G87" s="980">
        <v>0</v>
      </c>
      <c r="H87" s="731">
        <f>'[9]FY 2020-21 Q1'!H87*4*1.1</f>
        <v>167.10294920000004</v>
      </c>
    </row>
    <row r="88" spans="1:8">
      <c r="A88" s="732" t="s">
        <v>1172</v>
      </c>
      <c r="B88" s="729" t="s">
        <v>1687</v>
      </c>
      <c r="C88" s="979">
        <v>0</v>
      </c>
      <c r="D88" s="729">
        <v>0</v>
      </c>
      <c r="E88" s="729">
        <v>69.809404999999998</v>
      </c>
      <c r="F88" s="980">
        <v>0</v>
      </c>
      <c r="G88" s="980">
        <v>0</v>
      </c>
      <c r="H88" s="731">
        <f>'[9]FY 2020-21 Q1'!H88*4*1.1</f>
        <v>307.161382</v>
      </c>
    </row>
    <row r="89" spans="1:8">
      <c r="A89" s="732" t="s">
        <v>1172</v>
      </c>
      <c r="B89" s="729" t="s">
        <v>1688</v>
      </c>
      <c r="C89" s="979">
        <v>0</v>
      </c>
      <c r="D89" s="729">
        <v>0</v>
      </c>
      <c r="E89" s="729">
        <v>53.162219999999998</v>
      </c>
      <c r="F89" s="980">
        <v>0</v>
      </c>
      <c r="G89" s="980">
        <v>0</v>
      </c>
      <c r="H89" s="731">
        <f>'[9]FY 2020-21 Q1'!H89*4*1.1</f>
        <v>233.913768</v>
      </c>
    </row>
    <row r="90" spans="1:8">
      <c r="A90" s="732" t="s">
        <v>1172</v>
      </c>
      <c r="B90" s="729" t="s">
        <v>1632</v>
      </c>
      <c r="C90" s="979">
        <v>0</v>
      </c>
      <c r="D90" s="729">
        <v>0</v>
      </c>
      <c r="E90" s="729">
        <v>45.922583000000003</v>
      </c>
      <c r="F90" s="980">
        <v>0</v>
      </c>
      <c r="G90" s="980">
        <v>0</v>
      </c>
      <c r="H90" s="731">
        <f>'[9]FY 2020-21 Q1'!H90*4*1.1</f>
        <v>202.05936520000003</v>
      </c>
    </row>
    <row r="91" spans="1:8">
      <c r="A91" s="732" t="s">
        <v>1172</v>
      </c>
      <c r="B91" s="729" t="s">
        <v>1633</v>
      </c>
      <c r="C91" s="979">
        <v>0</v>
      </c>
      <c r="D91" s="729">
        <v>0</v>
      </c>
      <c r="E91" s="729">
        <v>46.267325999999997</v>
      </c>
      <c r="F91" s="980">
        <v>0</v>
      </c>
      <c r="G91" s="980">
        <v>0</v>
      </c>
      <c r="H91" s="731">
        <f>'[9]FY 2020-21 Q1'!H91*4*1.1</f>
        <v>203.5762344</v>
      </c>
    </row>
    <row r="92" spans="1:8">
      <c r="A92" s="732" t="s">
        <v>1172</v>
      </c>
      <c r="B92" s="729" t="s">
        <v>1691</v>
      </c>
      <c r="C92" s="979">
        <v>0</v>
      </c>
      <c r="D92" s="729">
        <v>0</v>
      </c>
      <c r="E92" s="729">
        <v>27.792795999999999</v>
      </c>
      <c r="F92" s="980">
        <v>0</v>
      </c>
      <c r="G92" s="980">
        <v>0</v>
      </c>
      <c r="H92" s="731">
        <f>'[9]FY 2020-21 Q1'!H92*4*1.1</f>
        <v>122.28830240000001</v>
      </c>
    </row>
    <row r="93" spans="1:8">
      <c r="A93" s="732" t="s">
        <v>1172</v>
      </c>
      <c r="B93" s="729" t="s">
        <v>1692</v>
      </c>
      <c r="C93" s="979">
        <v>0</v>
      </c>
      <c r="D93" s="729">
        <v>0</v>
      </c>
      <c r="E93" s="729">
        <v>36.400264999999997</v>
      </c>
      <c r="F93" s="980">
        <v>0</v>
      </c>
      <c r="G93" s="980">
        <v>0</v>
      </c>
      <c r="H93" s="731">
        <f>'[9]FY 2020-21 Q1'!H93*4*1.1</f>
        <v>160.16116600000001</v>
      </c>
    </row>
    <row r="94" spans="1:8">
      <c r="A94" s="732" t="s">
        <v>1172</v>
      </c>
      <c r="B94" s="729" t="s">
        <v>1693</v>
      </c>
      <c r="C94" s="979">
        <v>0</v>
      </c>
      <c r="D94" s="729">
        <v>0</v>
      </c>
      <c r="E94" s="729">
        <v>48.799067999999998</v>
      </c>
      <c r="F94" s="980">
        <v>0</v>
      </c>
      <c r="G94" s="980">
        <v>0</v>
      </c>
      <c r="H94" s="731">
        <f>'[9]FY 2020-21 Q1'!H94*4*1.1</f>
        <v>214.71589920000002</v>
      </c>
    </row>
    <row r="95" spans="1:8">
      <c r="A95" s="732" t="s">
        <v>1172</v>
      </c>
      <c r="B95" s="729" t="s">
        <v>1694</v>
      </c>
      <c r="C95" s="979">
        <v>0</v>
      </c>
      <c r="D95" s="729">
        <v>0</v>
      </c>
      <c r="E95" s="729">
        <v>38.524140000000003</v>
      </c>
      <c r="F95" s="980">
        <v>0</v>
      </c>
      <c r="G95" s="980">
        <v>0</v>
      </c>
      <c r="H95" s="731">
        <f>'[9]FY 2020-21 Q1'!H95*4*1.1</f>
        <v>169.50621600000002</v>
      </c>
    </row>
    <row r="96" spans="1:8">
      <c r="A96" s="732" t="s">
        <v>1172</v>
      </c>
      <c r="B96" s="729" t="s">
        <v>1695</v>
      </c>
      <c r="C96" s="979">
        <v>0</v>
      </c>
      <c r="D96" s="729">
        <v>0</v>
      </c>
      <c r="E96" s="729">
        <v>21.240528999999999</v>
      </c>
      <c r="F96" s="980">
        <v>0</v>
      </c>
      <c r="G96" s="980">
        <v>0</v>
      </c>
      <c r="H96" s="731">
        <f>'[9]FY 2020-21 Q1'!H96*4*1.1</f>
        <v>93.458327600000004</v>
      </c>
    </row>
    <row r="97" spans="1:8">
      <c r="A97" s="732" t="s">
        <v>1172</v>
      </c>
      <c r="B97" s="729" t="s">
        <v>1696</v>
      </c>
      <c r="C97" s="979">
        <v>0</v>
      </c>
      <c r="D97" s="729">
        <v>0</v>
      </c>
      <c r="E97" s="729">
        <v>126.829404</v>
      </c>
      <c r="F97" s="980">
        <v>0</v>
      </c>
      <c r="G97" s="980">
        <v>0</v>
      </c>
      <c r="H97" s="731">
        <f>'[9]FY 2020-21 Q1'!H97*4*1.1</f>
        <v>558.04937760000007</v>
      </c>
    </row>
    <row r="98" spans="1:8">
      <c r="A98" s="732" t="s">
        <v>1172</v>
      </c>
      <c r="B98" s="729" t="s">
        <v>2062</v>
      </c>
      <c r="C98" s="979">
        <v>0</v>
      </c>
      <c r="D98" s="729">
        <v>0</v>
      </c>
      <c r="E98" s="729">
        <v>4.3725209999999999</v>
      </c>
      <c r="F98" s="980">
        <v>0</v>
      </c>
      <c r="G98" s="980">
        <v>0</v>
      </c>
      <c r="H98" s="731">
        <f>'[9]FY 2020-21 Q1'!H98*4*1.1</f>
        <v>19.239092400000001</v>
      </c>
    </row>
    <row r="99" spans="1:8">
      <c r="A99" s="732" t="s">
        <v>1172</v>
      </c>
      <c r="B99" s="729" t="s">
        <v>2063</v>
      </c>
      <c r="C99" s="979">
        <v>0</v>
      </c>
      <c r="D99" s="729">
        <v>0</v>
      </c>
      <c r="E99" s="729">
        <v>29.713280000000001</v>
      </c>
      <c r="F99" s="980">
        <v>0</v>
      </c>
      <c r="G99" s="980">
        <v>0</v>
      </c>
      <c r="H99" s="731">
        <f>'[9]FY 2020-21 Q1'!H99*4*1.1</f>
        <v>130.73843200000002</v>
      </c>
    </row>
    <row r="100" spans="1:8">
      <c r="A100" s="732" t="s">
        <v>1172</v>
      </c>
      <c r="B100" s="729" t="s">
        <v>1697</v>
      </c>
      <c r="C100" s="979">
        <v>0</v>
      </c>
      <c r="D100" s="729">
        <v>0</v>
      </c>
      <c r="E100" s="729">
        <v>27.62518</v>
      </c>
      <c r="F100" s="980">
        <v>0</v>
      </c>
      <c r="G100" s="980">
        <v>0</v>
      </c>
      <c r="H100" s="731">
        <f>'[9]FY 2020-21 Q1'!H100*4*1.1</f>
        <v>121.55079200000002</v>
      </c>
    </row>
    <row r="101" spans="1:8">
      <c r="A101" s="732" t="s">
        <v>1172</v>
      </c>
      <c r="B101" s="729" t="s">
        <v>2064</v>
      </c>
      <c r="C101" s="979">
        <v>0</v>
      </c>
      <c r="D101" s="729">
        <v>0</v>
      </c>
      <c r="E101" s="729">
        <v>14.0899</v>
      </c>
      <c r="F101" s="980">
        <v>0</v>
      </c>
      <c r="G101" s="980">
        <v>0</v>
      </c>
      <c r="H101" s="731">
        <f>'[9]FY 2020-21 Q1'!H101*4*1.1</f>
        <v>61.995560000000005</v>
      </c>
    </row>
    <row r="102" spans="1:8">
      <c r="A102" s="732" t="s">
        <v>1172</v>
      </c>
      <c r="B102" s="729" t="s">
        <v>2065</v>
      </c>
      <c r="C102" s="979">
        <v>0</v>
      </c>
      <c r="D102" s="729">
        <v>0</v>
      </c>
      <c r="E102" s="729">
        <v>2.6571929999999999</v>
      </c>
      <c r="F102" s="980">
        <v>0</v>
      </c>
      <c r="G102" s="980">
        <v>0</v>
      </c>
      <c r="H102" s="731">
        <f>'[9]FY 2020-21 Q1'!H102*4*1.1</f>
        <v>11.691649200000001</v>
      </c>
    </row>
    <row r="103" spans="1:8">
      <c r="A103" s="732" t="s">
        <v>1172</v>
      </c>
      <c r="B103" s="729" t="s">
        <v>1634</v>
      </c>
      <c r="C103" s="979">
        <v>0</v>
      </c>
      <c r="D103" s="729">
        <v>0</v>
      </c>
      <c r="E103" s="729">
        <v>123.804321</v>
      </c>
      <c r="F103" s="980">
        <v>0</v>
      </c>
      <c r="G103" s="980">
        <v>0</v>
      </c>
      <c r="H103" s="731">
        <f>'[9]FY 2020-21 Q1'!H103*4*1.1</f>
        <v>544.73901240000009</v>
      </c>
    </row>
    <row r="104" spans="1:8">
      <c r="A104" s="732" t="s">
        <v>1172</v>
      </c>
      <c r="B104" s="729" t="s">
        <v>1698</v>
      </c>
      <c r="C104" s="979">
        <v>0</v>
      </c>
      <c r="D104" s="729">
        <v>0</v>
      </c>
      <c r="E104" s="729">
        <v>80.715152000000003</v>
      </c>
      <c r="F104" s="980">
        <v>0</v>
      </c>
      <c r="G104" s="980">
        <v>0</v>
      </c>
      <c r="H104" s="731">
        <f>'[9]FY 2020-21 Q1'!H104*4*1.1</f>
        <v>355.14666880000004</v>
      </c>
    </row>
    <row r="105" spans="1:8">
      <c r="A105" s="732" t="s">
        <v>1172</v>
      </c>
      <c r="B105" s="729" t="s">
        <v>1635</v>
      </c>
      <c r="C105" s="979">
        <v>0</v>
      </c>
      <c r="D105" s="729">
        <v>0</v>
      </c>
      <c r="E105" s="729">
        <v>100.032327</v>
      </c>
      <c r="F105" s="980">
        <v>0</v>
      </c>
      <c r="G105" s="980">
        <v>0</v>
      </c>
      <c r="H105" s="731">
        <f>'[9]FY 2020-21 Q1'!H105*4*1.1</f>
        <v>440.14223880000003</v>
      </c>
    </row>
    <row r="106" spans="1:8">
      <c r="A106" s="732" t="s">
        <v>1172</v>
      </c>
      <c r="B106" s="729" t="s">
        <v>1636</v>
      </c>
      <c r="C106" s="979">
        <v>0</v>
      </c>
      <c r="D106" s="729">
        <v>0</v>
      </c>
      <c r="E106" s="729">
        <v>203.67214100000001</v>
      </c>
      <c r="F106" s="980">
        <v>0</v>
      </c>
      <c r="G106" s="980">
        <v>0</v>
      </c>
      <c r="H106" s="731">
        <f>'[9]FY 2020-21 Q1'!H106*4*1.1</f>
        <v>896.15742040000009</v>
      </c>
    </row>
    <row r="107" spans="1:8">
      <c r="A107" s="732" t="s">
        <v>1172</v>
      </c>
      <c r="B107" s="729" t="s">
        <v>1637</v>
      </c>
      <c r="C107" s="979">
        <v>0</v>
      </c>
      <c r="D107" s="729">
        <v>0</v>
      </c>
      <c r="E107" s="729">
        <v>12.167064</v>
      </c>
      <c r="F107" s="980">
        <v>0</v>
      </c>
      <c r="G107" s="980">
        <v>0</v>
      </c>
      <c r="H107" s="731">
        <f>'[9]FY 2020-21 Q1'!H107*4*1.1</f>
        <v>53.535081600000005</v>
      </c>
    </row>
    <row r="108" spans="1:8">
      <c r="A108" s="732" t="s">
        <v>1172</v>
      </c>
      <c r="B108" s="729" t="s">
        <v>1699</v>
      </c>
      <c r="C108" s="979">
        <v>0</v>
      </c>
      <c r="D108" s="729">
        <v>0</v>
      </c>
      <c r="E108" s="729">
        <v>61.115538999999998</v>
      </c>
      <c r="F108" s="980">
        <v>0</v>
      </c>
      <c r="G108" s="980">
        <v>0</v>
      </c>
      <c r="H108" s="731">
        <f>'[9]FY 2020-21 Q1'!H108*4*1.1</f>
        <v>268.90837160000001</v>
      </c>
    </row>
    <row r="109" spans="1:8">
      <c r="A109" s="732" t="s">
        <v>1172</v>
      </c>
      <c r="B109" s="729" t="s">
        <v>1700</v>
      </c>
      <c r="C109" s="979">
        <v>0</v>
      </c>
      <c r="D109" s="729">
        <v>0</v>
      </c>
      <c r="E109" s="729">
        <v>10.271806</v>
      </c>
      <c r="F109" s="980">
        <v>0</v>
      </c>
      <c r="G109" s="980">
        <v>0</v>
      </c>
      <c r="H109" s="731">
        <f>'[9]FY 2020-21 Q1'!H109*4*1.1</f>
        <v>45.195946400000004</v>
      </c>
    </row>
    <row r="110" spans="1:8">
      <c r="A110" s="732" t="s">
        <v>1172</v>
      </c>
      <c r="B110" s="729" t="s">
        <v>1701</v>
      </c>
      <c r="C110" s="979">
        <v>30.320511</v>
      </c>
      <c r="D110" s="729">
        <v>0</v>
      </c>
      <c r="E110" s="729">
        <v>0</v>
      </c>
      <c r="F110" s="980">
        <v>0</v>
      </c>
      <c r="G110" s="980">
        <v>0</v>
      </c>
      <c r="H110" s="731">
        <f>'[9]FY 2020-21 Q1'!H110*4*1.1</f>
        <v>133.4102484</v>
      </c>
    </row>
    <row r="111" spans="1:8">
      <c r="A111" s="732" t="s">
        <v>1172</v>
      </c>
      <c r="B111" s="729" t="s">
        <v>1704</v>
      </c>
      <c r="C111" s="979">
        <v>11.233715</v>
      </c>
      <c r="D111" s="729">
        <v>0</v>
      </c>
      <c r="E111" s="729">
        <v>0</v>
      </c>
      <c r="F111" s="980">
        <v>0</v>
      </c>
      <c r="G111" s="980">
        <v>0</v>
      </c>
      <c r="H111" s="731">
        <f>'[9]FY 2020-21 Q1'!H111*4*1.1</f>
        <v>49.428346000000005</v>
      </c>
    </row>
    <row r="112" spans="1:8">
      <c r="A112" s="732" t="s">
        <v>1172</v>
      </c>
      <c r="B112" s="729" t="s">
        <v>1707</v>
      </c>
      <c r="C112" s="979">
        <v>9.1884219999999992</v>
      </c>
      <c r="D112" s="729">
        <v>0</v>
      </c>
      <c r="E112" s="729">
        <v>0</v>
      </c>
      <c r="F112" s="980">
        <v>0</v>
      </c>
      <c r="G112" s="980">
        <v>0</v>
      </c>
      <c r="H112" s="731">
        <f>'[9]FY 2020-21 Q1'!H112*4*1.1</f>
        <v>40.429056799999998</v>
      </c>
    </row>
    <row r="113" spans="1:8">
      <c r="A113" s="732" t="s">
        <v>1172</v>
      </c>
      <c r="B113" s="729" t="s">
        <v>1708</v>
      </c>
      <c r="C113" s="979">
        <v>28.610451000000001</v>
      </c>
      <c r="D113" s="729">
        <v>0</v>
      </c>
      <c r="E113" s="729">
        <v>0</v>
      </c>
      <c r="F113" s="980">
        <v>0</v>
      </c>
      <c r="G113" s="980">
        <v>0</v>
      </c>
      <c r="H113" s="731">
        <f>'[9]FY 2020-21 Q1'!H113*4*1.1</f>
        <v>125.88598440000001</v>
      </c>
    </row>
    <row r="114" spans="1:8">
      <c r="A114" s="732" t="s">
        <v>1172</v>
      </c>
      <c r="B114" s="729" t="s">
        <v>2079</v>
      </c>
      <c r="C114" s="979">
        <v>3.9123999999999999</v>
      </c>
      <c r="D114" s="729">
        <v>0</v>
      </c>
      <c r="E114" s="729">
        <v>0</v>
      </c>
      <c r="F114" s="980">
        <v>0</v>
      </c>
      <c r="G114" s="980">
        <v>0</v>
      </c>
      <c r="H114" s="731">
        <f>'[9]FY 2020-21 Q1'!H114*4*1.1</f>
        <v>17.214560000000002</v>
      </c>
    </row>
    <row r="115" spans="1:8">
      <c r="A115" s="732" t="s">
        <v>1172</v>
      </c>
      <c r="B115" s="729" t="s">
        <v>1709</v>
      </c>
      <c r="C115" s="979">
        <v>81.630949999999999</v>
      </c>
      <c r="D115" s="729">
        <v>0</v>
      </c>
      <c r="E115" s="729">
        <v>0</v>
      </c>
      <c r="F115" s="980">
        <v>0</v>
      </c>
      <c r="G115" s="980">
        <v>0</v>
      </c>
      <c r="H115" s="731">
        <f>'[9]FY 2020-21 Q1'!H115*4*1.1</f>
        <v>359.17618000000004</v>
      </c>
    </row>
    <row r="116" spans="1:8">
      <c r="A116" s="732" t="s">
        <v>1172</v>
      </c>
      <c r="B116" s="729" t="s">
        <v>1710</v>
      </c>
      <c r="C116" s="979">
        <v>38.366461999999999</v>
      </c>
      <c r="D116" s="729">
        <v>0</v>
      </c>
      <c r="E116" s="729">
        <v>0</v>
      </c>
      <c r="F116" s="980">
        <v>0</v>
      </c>
      <c r="G116" s="980">
        <v>0</v>
      </c>
      <c r="H116" s="731">
        <f>'[9]FY 2020-21 Q1'!H116*4*1.1</f>
        <v>168.81243280000001</v>
      </c>
    </row>
    <row r="117" spans="1:8">
      <c r="A117" s="732" t="s">
        <v>1172</v>
      </c>
      <c r="B117" s="729" t="s">
        <v>1638</v>
      </c>
      <c r="C117" s="979">
        <v>63.944481000000003</v>
      </c>
      <c r="D117" s="729">
        <v>0</v>
      </c>
      <c r="E117" s="729">
        <v>0</v>
      </c>
      <c r="F117" s="980">
        <v>0</v>
      </c>
      <c r="G117" s="980">
        <v>0</v>
      </c>
      <c r="H117" s="731">
        <f>'[9]FY 2020-21 Q1'!H117*4*1.1</f>
        <v>281.35571640000006</v>
      </c>
    </row>
    <row r="118" spans="1:8">
      <c r="A118" s="732" t="s">
        <v>1172</v>
      </c>
      <c r="B118" s="729" t="s">
        <v>1639</v>
      </c>
      <c r="C118" s="979">
        <v>39.635050999999997</v>
      </c>
      <c r="D118" s="729">
        <v>0</v>
      </c>
      <c r="E118" s="729">
        <v>0</v>
      </c>
      <c r="F118" s="980">
        <v>0</v>
      </c>
      <c r="G118" s="980">
        <v>0</v>
      </c>
      <c r="H118" s="731">
        <f>'[9]FY 2020-21 Q1'!H118*4*1.1</f>
        <v>174.39422440000001</v>
      </c>
    </row>
    <row r="119" spans="1:8">
      <c r="A119" s="732" t="s">
        <v>1172</v>
      </c>
      <c r="B119" s="729" t="s">
        <v>1711</v>
      </c>
      <c r="C119" s="979">
        <v>55.761071999999999</v>
      </c>
      <c r="D119" s="729">
        <v>0</v>
      </c>
      <c r="E119" s="729">
        <v>0</v>
      </c>
      <c r="F119" s="980">
        <v>0</v>
      </c>
      <c r="G119" s="980">
        <v>0</v>
      </c>
      <c r="H119" s="731">
        <f>'[9]FY 2020-21 Q1'!H119*4*1.1</f>
        <v>245.34871680000001</v>
      </c>
    </row>
    <row r="120" spans="1:8">
      <c r="A120" s="732" t="s">
        <v>1172</v>
      </c>
      <c r="B120" s="729" t="s">
        <v>1712</v>
      </c>
      <c r="C120" s="979">
        <v>66.261922999999996</v>
      </c>
      <c r="D120" s="729">
        <v>0</v>
      </c>
      <c r="E120" s="729">
        <v>0</v>
      </c>
      <c r="F120" s="980">
        <v>0</v>
      </c>
      <c r="G120" s="980">
        <v>0</v>
      </c>
      <c r="H120" s="731">
        <f>'[9]FY 2020-21 Q1'!H120*4*1.1</f>
        <v>291.55246119999998</v>
      </c>
    </row>
    <row r="121" spans="1:8">
      <c r="A121" s="732" t="s">
        <v>1172</v>
      </c>
      <c r="B121" s="729" t="s">
        <v>1714</v>
      </c>
      <c r="C121" s="979">
        <v>-0.38800000000000001</v>
      </c>
      <c r="D121" s="729">
        <v>0</v>
      </c>
      <c r="E121" s="729">
        <v>0</v>
      </c>
      <c r="F121" s="980">
        <v>0</v>
      </c>
      <c r="G121" s="980">
        <v>0</v>
      </c>
      <c r="H121" s="731">
        <f>'[9]FY 2020-21 Q1'!H121*4*1.1</f>
        <v>-1.7072000000000003</v>
      </c>
    </row>
    <row r="122" spans="1:8">
      <c r="A122" s="732" t="s">
        <v>1172</v>
      </c>
      <c r="B122" s="729" t="s">
        <v>1715</v>
      </c>
      <c r="C122" s="979">
        <v>32.213275000000003</v>
      </c>
      <c r="D122" s="729">
        <v>0</v>
      </c>
      <c r="E122" s="729">
        <v>0</v>
      </c>
      <c r="F122" s="980">
        <v>0</v>
      </c>
      <c r="G122" s="980">
        <v>0</v>
      </c>
      <c r="H122" s="731">
        <f>'[9]FY 2020-21 Q1'!H122*4*1.1</f>
        <v>141.73841000000002</v>
      </c>
    </row>
    <row r="123" spans="1:8">
      <c r="A123" s="732" t="s">
        <v>1172</v>
      </c>
      <c r="B123" s="729" t="s">
        <v>2066</v>
      </c>
      <c r="C123" s="979">
        <v>85.304682999999997</v>
      </c>
      <c r="D123" s="729">
        <v>0</v>
      </c>
      <c r="E123" s="729">
        <v>0</v>
      </c>
      <c r="F123" s="980">
        <v>0</v>
      </c>
      <c r="G123" s="980">
        <v>0</v>
      </c>
      <c r="H123" s="731">
        <f>'[9]FY 2020-21 Q1'!H123*4*1.1</f>
        <v>375.34060520000003</v>
      </c>
    </row>
    <row r="124" spans="1:8">
      <c r="A124" s="732" t="s">
        <v>1172</v>
      </c>
      <c r="B124" s="729" t="s">
        <v>1717</v>
      </c>
      <c r="C124" s="979">
        <v>44.853513</v>
      </c>
      <c r="D124" s="729">
        <v>0</v>
      </c>
      <c r="E124" s="729">
        <v>0</v>
      </c>
      <c r="F124" s="980">
        <v>0</v>
      </c>
      <c r="G124" s="980">
        <v>0</v>
      </c>
      <c r="H124" s="731">
        <f>'[9]FY 2020-21 Q1'!H124*4*1.1</f>
        <v>197.35545720000002</v>
      </c>
    </row>
    <row r="125" spans="1:8">
      <c r="A125" s="732" t="s">
        <v>1172</v>
      </c>
      <c r="B125" s="729" t="s">
        <v>1640</v>
      </c>
      <c r="C125" s="979">
        <v>127.670483</v>
      </c>
      <c r="D125" s="729">
        <v>0</v>
      </c>
      <c r="E125" s="729">
        <v>0</v>
      </c>
      <c r="F125" s="980">
        <v>0</v>
      </c>
      <c r="G125" s="980">
        <v>0</v>
      </c>
      <c r="H125" s="731">
        <f>'[9]FY 2020-21 Q1'!H125*4*1.1</f>
        <v>561.75012520000007</v>
      </c>
    </row>
    <row r="126" spans="1:8">
      <c r="A126" s="732" t="s">
        <v>1172</v>
      </c>
      <c r="B126" s="729" t="s">
        <v>1718</v>
      </c>
      <c r="C126" s="979">
        <v>35.003143999999999</v>
      </c>
      <c r="D126" s="729">
        <v>0</v>
      </c>
      <c r="E126" s="729">
        <v>0</v>
      </c>
      <c r="F126" s="980">
        <v>0</v>
      </c>
      <c r="G126" s="980">
        <v>0</v>
      </c>
      <c r="H126" s="731">
        <f>'[9]FY 2020-21 Q1'!H126*4*1.1</f>
        <v>154.0138336</v>
      </c>
    </row>
    <row r="127" spans="1:8">
      <c r="A127" s="732" t="s">
        <v>1172</v>
      </c>
      <c r="B127" s="729" t="s">
        <v>1719</v>
      </c>
      <c r="C127" s="979">
        <v>66.214440999999994</v>
      </c>
      <c r="D127" s="729">
        <v>0</v>
      </c>
      <c r="E127" s="729">
        <v>0</v>
      </c>
      <c r="F127" s="980">
        <v>0</v>
      </c>
      <c r="G127" s="980">
        <v>0</v>
      </c>
      <c r="H127" s="731">
        <f>'[9]FY 2020-21 Q1'!H127*4*1.1</f>
        <v>291.34354039999999</v>
      </c>
    </row>
    <row r="128" spans="1:8">
      <c r="A128" s="732" t="s">
        <v>1172</v>
      </c>
      <c r="B128" s="729" t="s">
        <v>1720</v>
      </c>
      <c r="C128" s="979">
        <v>14.256959999999999</v>
      </c>
      <c r="D128" s="729">
        <v>0</v>
      </c>
      <c r="E128" s="729">
        <v>0</v>
      </c>
      <c r="F128" s="980">
        <v>0</v>
      </c>
      <c r="G128" s="980">
        <v>0</v>
      </c>
      <c r="H128" s="731">
        <f>'[9]FY 2020-21 Q1'!H128*4*1.1</f>
        <v>62.730624000000006</v>
      </c>
    </row>
    <row r="129" spans="1:8">
      <c r="A129" s="732" t="s">
        <v>1172</v>
      </c>
      <c r="B129" s="729" t="s">
        <v>1641</v>
      </c>
      <c r="C129" s="979">
        <v>21.831503999999999</v>
      </c>
      <c r="D129" s="729">
        <v>0</v>
      </c>
      <c r="E129" s="729">
        <v>0</v>
      </c>
      <c r="F129" s="980">
        <v>0</v>
      </c>
      <c r="G129" s="980">
        <v>0</v>
      </c>
      <c r="H129" s="731">
        <f>'[9]FY 2020-21 Q1'!H129*4*1.1</f>
        <v>96.058617600000005</v>
      </c>
    </row>
    <row r="130" spans="1:8">
      <c r="A130" s="732" t="s">
        <v>1172</v>
      </c>
      <c r="B130" s="729" t="s">
        <v>1722</v>
      </c>
      <c r="C130" s="979">
        <v>33.266522000000002</v>
      </c>
      <c r="D130" s="729">
        <v>0</v>
      </c>
      <c r="E130" s="729">
        <v>0</v>
      </c>
      <c r="F130" s="980">
        <v>0</v>
      </c>
      <c r="G130" s="980">
        <v>0</v>
      </c>
      <c r="H130" s="731">
        <f>'[9]FY 2020-21 Q1'!H130*4*1.1</f>
        <v>146.37269680000003</v>
      </c>
    </row>
    <row r="131" spans="1:8">
      <c r="A131" s="732" t="s">
        <v>1172</v>
      </c>
      <c r="B131" s="729" t="s">
        <v>1723</v>
      </c>
      <c r="C131" s="979">
        <v>43.725079000000001</v>
      </c>
      <c r="D131" s="729">
        <v>0</v>
      </c>
      <c r="E131" s="729">
        <v>0</v>
      </c>
      <c r="F131" s="980">
        <v>0</v>
      </c>
      <c r="G131" s="980">
        <v>0</v>
      </c>
      <c r="H131" s="731">
        <f>'[9]FY 2020-21 Q1'!H131*4*1.1</f>
        <v>192.39034760000001</v>
      </c>
    </row>
    <row r="132" spans="1:8">
      <c r="A132" s="732" t="s">
        <v>1172</v>
      </c>
      <c r="B132" s="729" t="s">
        <v>1724</v>
      </c>
      <c r="C132" s="979">
        <v>33.225340000000003</v>
      </c>
      <c r="D132" s="729">
        <v>0</v>
      </c>
      <c r="E132" s="729">
        <v>0</v>
      </c>
      <c r="F132" s="980">
        <v>0</v>
      </c>
      <c r="G132" s="980">
        <v>0</v>
      </c>
      <c r="H132" s="731">
        <f>'[9]FY 2020-21 Q1'!H132*4*1.1</f>
        <v>146.19149600000003</v>
      </c>
    </row>
    <row r="133" spans="1:8">
      <c r="A133" s="732" t="s">
        <v>1172</v>
      </c>
      <c r="B133" s="729" t="s">
        <v>1725</v>
      </c>
      <c r="C133" s="979">
        <v>15.587909</v>
      </c>
      <c r="D133" s="729">
        <v>0</v>
      </c>
      <c r="E133" s="729">
        <v>0</v>
      </c>
      <c r="F133" s="980">
        <v>0</v>
      </c>
      <c r="G133" s="980">
        <v>0</v>
      </c>
      <c r="H133" s="731">
        <f>'[9]FY 2020-21 Q1'!H133*4*1.1</f>
        <v>68.586799600000006</v>
      </c>
    </row>
    <row r="134" spans="1:8">
      <c r="A134" s="732" t="s">
        <v>1172</v>
      </c>
      <c r="B134" s="729" t="s">
        <v>1644</v>
      </c>
      <c r="C134" s="979">
        <v>88.359661000000003</v>
      </c>
      <c r="D134" s="729">
        <v>0</v>
      </c>
      <c r="E134" s="729">
        <v>0</v>
      </c>
      <c r="F134" s="980">
        <v>0</v>
      </c>
      <c r="G134" s="980">
        <v>0</v>
      </c>
      <c r="H134" s="731">
        <f>'[9]FY 2020-21 Q1'!H134*4*1.1</f>
        <v>388.78250840000004</v>
      </c>
    </row>
    <row r="135" spans="1:8">
      <c r="A135" s="732" t="s">
        <v>1172</v>
      </c>
      <c r="B135" s="729" t="s">
        <v>1727</v>
      </c>
      <c r="C135" s="979">
        <v>114.635436</v>
      </c>
      <c r="D135" s="729">
        <v>0</v>
      </c>
      <c r="E135" s="729">
        <v>0</v>
      </c>
      <c r="F135" s="980">
        <v>0</v>
      </c>
      <c r="G135" s="980">
        <v>0</v>
      </c>
      <c r="H135" s="731">
        <f>'[9]FY 2020-21 Q1'!H135*4*1.1</f>
        <v>504.39591840000003</v>
      </c>
    </row>
    <row r="136" spans="1:8">
      <c r="A136" s="732" t="s">
        <v>1172</v>
      </c>
      <c r="B136" s="729" t="s">
        <v>1728</v>
      </c>
      <c r="C136" s="979">
        <v>20.468119999999999</v>
      </c>
      <c r="D136" s="729">
        <v>0</v>
      </c>
      <c r="E136" s="729">
        <v>0</v>
      </c>
      <c r="F136" s="980">
        <v>0</v>
      </c>
      <c r="G136" s="980">
        <v>0</v>
      </c>
      <c r="H136" s="731">
        <f>'[9]FY 2020-21 Q1'!H136*4*1.1</f>
        <v>90.059728000000007</v>
      </c>
    </row>
    <row r="137" spans="1:8">
      <c r="A137" s="732" t="s">
        <v>1172</v>
      </c>
      <c r="B137" s="729" t="s">
        <v>1729</v>
      </c>
      <c r="C137" s="979">
        <v>7.2078389999999999</v>
      </c>
      <c r="D137" s="729">
        <v>0</v>
      </c>
      <c r="E137" s="729">
        <v>0</v>
      </c>
      <c r="F137" s="980">
        <v>0</v>
      </c>
      <c r="G137" s="980">
        <v>0</v>
      </c>
      <c r="H137" s="731">
        <f>'[9]FY 2020-21 Q1'!H137*4*1.1</f>
        <v>31.714491600000002</v>
      </c>
    </row>
    <row r="138" spans="1:8">
      <c r="A138" s="732" t="s">
        <v>1172</v>
      </c>
      <c r="B138" s="729" t="s">
        <v>1730</v>
      </c>
      <c r="C138" s="979">
        <v>6.0276690000000004</v>
      </c>
      <c r="D138" s="729">
        <v>0</v>
      </c>
      <c r="E138" s="729">
        <v>0</v>
      </c>
      <c r="F138" s="980">
        <v>0</v>
      </c>
      <c r="G138" s="980">
        <v>0</v>
      </c>
      <c r="H138" s="731">
        <f>'[9]FY 2020-21 Q1'!H138*4*1.1</f>
        <v>26.521743600000004</v>
      </c>
    </row>
    <row r="139" spans="1:8">
      <c r="A139" s="732" t="s">
        <v>1172</v>
      </c>
      <c r="B139" s="729" t="s">
        <v>1731</v>
      </c>
      <c r="C139" s="979">
        <v>55.874841000000004</v>
      </c>
      <c r="D139" s="729">
        <v>0</v>
      </c>
      <c r="E139" s="729">
        <v>0</v>
      </c>
      <c r="F139" s="980">
        <v>0</v>
      </c>
      <c r="G139" s="980">
        <v>0</v>
      </c>
      <c r="H139" s="731">
        <f>'[9]FY 2020-21 Q1'!H139*4*1.1</f>
        <v>245.84930040000003</v>
      </c>
    </row>
    <row r="140" spans="1:8">
      <c r="A140" s="732" t="s">
        <v>1172</v>
      </c>
      <c r="B140" s="729" t="s">
        <v>1732</v>
      </c>
      <c r="C140" s="979">
        <v>32.771301999999999</v>
      </c>
      <c r="D140" s="729">
        <v>0</v>
      </c>
      <c r="E140" s="729">
        <v>0</v>
      </c>
      <c r="F140" s="980">
        <v>0</v>
      </c>
      <c r="G140" s="980">
        <v>0</v>
      </c>
      <c r="H140" s="731">
        <f>'[9]FY 2020-21 Q1'!H140*4*1.1</f>
        <v>144.1937288</v>
      </c>
    </row>
    <row r="141" spans="1:8">
      <c r="A141" s="732" t="s">
        <v>1172</v>
      </c>
      <c r="B141" s="729" t="s">
        <v>1733</v>
      </c>
      <c r="C141" s="979">
        <v>27.565131999999998</v>
      </c>
      <c r="D141" s="729">
        <v>0</v>
      </c>
      <c r="E141" s="729">
        <v>0</v>
      </c>
      <c r="F141" s="980">
        <v>0</v>
      </c>
      <c r="G141" s="980">
        <v>0</v>
      </c>
      <c r="H141" s="731">
        <f>'[9]FY 2020-21 Q1'!H141*4*1.1</f>
        <v>121.2865808</v>
      </c>
    </row>
    <row r="142" spans="1:8">
      <c r="A142" s="732" t="s">
        <v>1172</v>
      </c>
      <c r="B142" s="729" t="s">
        <v>1645</v>
      </c>
      <c r="C142" s="979">
        <v>54.542642999999998</v>
      </c>
      <c r="D142" s="729">
        <v>0</v>
      </c>
      <c r="E142" s="729">
        <v>0</v>
      </c>
      <c r="F142" s="980">
        <v>0</v>
      </c>
      <c r="G142" s="980">
        <v>0</v>
      </c>
      <c r="H142" s="731">
        <f>'[9]FY 2020-21 Q1'!H142*4*1.1</f>
        <v>239.98762920000001</v>
      </c>
    </row>
    <row r="143" spans="1:8">
      <c r="A143" s="732" t="s">
        <v>1172</v>
      </c>
      <c r="B143" s="729" t="s">
        <v>1646</v>
      </c>
      <c r="C143" s="979">
        <v>34.438845999999998</v>
      </c>
      <c r="D143" s="729">
        <v>0</v>
      </c>
      <c r="E143" s="729">
        <v>0</v>
      </c>
      <c r="F143" s="980">
        <v>0</v>
      </c>
      <c r="G143" s="980">
        <v>0</v>
      </c>
      <c r="H143" s="731">
        <f>'[9]FY 2020-21 Q1'!H143*4*1.1</f>
        <v>151.53092240000001</v>
      </c>
    </row>
    <row r="144" spans="1:8">
      <c r="A144" s="732" t="s">
        <v>1172</v>
      </c>
      <c r="B144" s="729" t="s">
        <v>1735</v>
      </c>
      <c r="C144" s="979">
        <v>33.633232</v>
      </c>
      <c r="D144" s="729">
        <v>0</v>
      </c>
      <c r="E144" s="729">
        <v>0</v>
      </c>
      <c r="F144" s="980">
        <v>0</v>
      </c>
      <c r="G144" s="980">
        <v>0</v>
      </c>
      <c r="H144" s="731">
        <f>'[9]FY 2020-21 Q1'!H144*4*1.1</f>
        <v>147.98622080000001</v>
      </c>
    </row>
    <row r="145" spans="1:8">
      <c r="A145" s="732" t="s">
        <v>1172</v>
      </c>
      <c r="B145" s="729" t="s">
        <v>1741</v>
      </c>
      <c r="C145" s="979">
        <v>101.1978</v>
      </c>
      <c r="D145" s="729">
        <v>0</v>
      </c>
      <c r="E145" s="729">
        <v>0</v>
      </c>
      <c r="F145" s="980">
        <v>0</v>
      </c>
      <c r="G145" s="980">
        <v>0</v>
      </c>
      <c r="H145" s="731">
        <f>'[9]FY 2020-21 Q1'!H145*4*1.1</f>
        <v>445.27032000000003</v>
      </c>
    </row>
    <row r="146" spans="1:8">
      <c r="A146" s="732" t="s">
        <v>1172</v>
      </c>
      <c r="B146" s="729" t="s">
        <v>1736</v>
      </c>
      <c r="C146" s="979">
        <v>47.059370999999999</v>
      </c>
      <c r="D146" s="729">
        <v>0</v>
      </c>
      <c r="E146" s="729">
        <v>0</v>
      </c>
      <c r="F146" s="980">
        <v>0</v>
      </c>
      <c r="G146" s="980">
        <v>0</v>
      </c>
      <c r="H146" s="731">
        <f>'[9]FY 2020-21 Q1'!H146*4*1.1</f>
        <v>207.06123240000002</v>
      </c>
    </row>
    <row r="147" spans="1:8">
      <c r="A147" s="732" t="s">
        <v>1172</v>
      </c>
      <c r="B147" s="729" t="s">
        <v>1737</v>
      </c>
      <c r="C147" s="979">
        <v>15.55911</v>
      </c>
      <c r="D147" s="729">
        <v>0</v>
      </c>
      <c r="E147" s="729">
        <v>0</v>
      </c>
      <c r="F147" s="980">
        <v>0</v>
      </c>
      <c r="G147" s="980">
        <v>0</v>
      </c>
      <c r="H147" s="731">
        <f>'[9]FY 2020-21 Q1'!H147*4*1.1</f>
        <v>68.460084000000009</v>
      </c>
    </row>
    <row r="148" spans="1:8">
      <c r="A148" s="732" t="s">
        <v>1172</v>
      </c>
      <c r="B148" s="729" t="s">
        <v>1647</v>
      </c>
      <c r="C148" s="979">
        <v>39.640501</v>
      </c>
      <c r="D148" s="729">
        <v>0</v>
      </c>
      <c r="E148" s="729">
        <v>0</v>
      </c>
      <c r="F148" s="980">
        <v>0</v>
      </c>
      <c r="G148" s="980">
        <v>0</v>
      </c>
      <c r="H148" s="731">
        <f>'[9]FY 2020-21 Q1'!H148*4*1.1</f>
        <v>174.41820440000001</v>
      </c>
    </row>
    <row r="149" spans="1:8">
      <c r="A149" s="732" t="s">
        <v>1172</v>
      </c>
      <c r="B149" s="729" t="s">
        <v>1738</v>
      </c>
      <c r="C149" s="979">
        <v>30.745683</v>
      </c>
      <c r="D149" s="729">
        <v>0</v>
      </c>
      <c r="E149" s="729">
        <v>0</v>
      </c>
      <c r="F149" s="980">
        <v>0</v>
      </c>
      <c r="G149" s="980">
        <v>0</v>
      </c>
      <c r="H149" s="731">
        <f>'[9]FY 2020-21 Q1'!H149*4*1.1</f>
        <v>135.28100520000001</v>
      </c>
    </row>
    <row r="150" spans="1:8">
      <c r="A150" s="732" t="s">
        <v>1172</v>
      </c>
      <c r="B150" s="729" t="s">
        <v>1739</v>
      </c>
      <c r="C150" s="979">
        <v>18.868763999999999</v>
      </c>
      <c r="D150" s="729">
        <v>0</v>
      </c>
      <c r="E150" s="729">
        <v>0</v>
      </c>
      <c r="F150" s="980">
        <v>0</v>
      </c>
      <c r="G150" s="980">
        <v>0</v>
      </c>
      <c r="H150" s="731">
        <f>'[9]FY 2020-21 Q1'!H150*4*1.1</f>
        <v>83.022561600000003</v>
      </c>
    </row>
    <row r="151" spans="1:8">
      <c r="A151" s="732" t="s">
        <v>1172</v>
      </c>
      <c r="B151" s="729" t="s">
        <v>1740</v>
      </c>
      <c r="C151" s="979">
        <v>91.394508999999999</v>
      </c>
      <c r="D151" s="729">
        <v>0</v>
      </c>
      <c r="E151" s="729">
        <v>0</v>
      </c>
      <c r="F151" s="980">
        <v>0</v>
      </c>
      <c r="G151" s="980">
        <v>0</v>
      </c>
      <c r="H151" s="731">
        <f>'[9]FY 2020-21 Q1'!H151*4*1.1</f>
        <v>402.13583960000005</v>
      </c>
    </row>
    <row r="152" spans="1:8">
      <c r="A152" s="732" t="s">
        <v>1172</v>
      </c>
      <c r="B152" s="729" t="s">
        <v>1648</v>
      </c>
      <c r="C152" s="979">
        <v>112.98813199999999</v>
      </c>
      <c r="D152" s="729">
        <v>0</v>
      </c>
      <c r="E152" s="729">
        <v>0</v>
      </c>
      <c r="F152" s="980">
        <v>0</v>
      </c>
      <c r="G152" s="980">
        <v>0</v>
      </c>
      <c r="H152" s="731">
        <f>'[9]FY 2020-21 Q1'!H152*4*1.1</f>
        <v>497.14778080000002</v>
      </c>
    </row>
    <row r="153" spans="1:8">
      <c r="A153" s="732" t="s">
        <v>1172</v>
      </c>
      <c r="B153" s="729" t="s">
        <v>1742</v>
      </c>
      <c r="C153" s="979">
        <v>22.269770999999999</v>
      </c>
      <c r="D153" s="729">
        <v>0</v>
      </c>
      <c r="E153" s="729">
        <v>0</v>
      </c>
      <c r="F153" s="980">
        <v>0</v>
      </c>
      <c r="G153" s="980">
        <v>0</v>
      </c>
      <c r="H153" s="731">
        <f>'[9]FY 2020-21 Q1'!H153*4*1.1</f>
        <v>97.986992400000005</v>
      </c>
    </row>
    <row r="154" spans="1:8">
      <c r="A154" s="732" t="s">
        <v>1172</v>
      </c>
      <c r="B154" s="729" t="s">
        <v>1743</v>
      </c>
      <c r="C154" s="979">
        <v>46.043944000000003</v>
      </c>
      <c r="D154" s="729">
        <v>0</v>
      </c>
      <c r="E154" s="729">
        <v>0</v>
      </c>
      <c r="F154" s="980">
        <v>0</v>
      </c>
      <c r="G154" s="980">
        <v>0</v>
      </c>
      <c r="H154" s="731">
        <f>'[9]FY 2020-21 Q1'!H154*4*1.1</f>
        <v>202.59335360000003</v>
      </c>
    </row>
    <row r="155" spans="1:8">
      <c r="A155" s="732" t="s">
        <v>1172</v>
      </c>
      <c r="B155" s="729" t="s">
        <v>1745</v>
      </c>
      <c r="C155" s="979">
        <v>15.523288000000001</v>
      </c>
      <c r="D155" s="729">
        <v>0</v>
      </c>
      <c r="E155" s="729">
        <v>0</v>
      </c>
      <c r="F155" s="980">
        <v>0</v>
      </c>
      <c r="G155" s="980">
        <v>0</v>
      </c>
      <c r="H155" s="731">
        <f>'[9]FY 2020-21 Q1'!H155*4*1.1</f>
        <v>68.302467200000009</v>
      </c>
    </row>
    <row r="156" spans="1:8">
      <c r="A156" s="732" t="s">
        <v>1172</v>
      </c>
      <c r="B156" s="729" t="s">
        <v>1746</v>
      </c>
      <c r="C156" s="979">
        <v>44.101281</v>
      </c>
      <c r="D156" s="729">
        <v>0</v>
      </c>
      <c r="E156" s="729">
        <v>0</v>
      </c>
      <c r="F156" s="980">
        <v>0</v>
      </c>
      <c r="G156" s="980">
        <v>0</v>
      </c>
      <c r="H156" s="731">
        <f>'[9]FY 2020-21 Q1'!H156*4*1.1</f>
        <v>194.04563640000001</v>
      </c>
    </row>
    <row r="157" spans="1:8">
      <c r="A157" s="732" t="s">
        <v>1172</v>
      </c>
      <c r="B157" s="729" t="s">
        <v>1649</v>
      </c>
      <c r="C157" s="979">
        <v>74.466286999999994</v>
      </c>
      <c r="D157" s="729">
        <v>0</v>
      </c>
      <c r="E157" s="729">
        <v>0</v>
      </c>
      <c r="F157" s="980">
        <v>0</v>
      </c>
      <c r="G157" s="980">
        <v>0</v>
      </c>
      <c r="H157" s="731">
        <f>'[9]FY 2020-21 Q1'!H157*4*1.1</f>
        <v>327.6516628</v>
      </c>
    </row>
    <row r="158" spans="1:8">
      <c r="A158" s="732" t="s">
        <v>1172</v>
      </c>
      <c r="B158" s="729" t="s">
        <v>2058</v>
      </c>
      <c r="C158" s="979">
        <v>45.317601000000003</v>
      </c>
      <c r="D158" s="729">
        <v>0</v>
      </c>
      <c r="E158" s="729">
        <v>0</v>
      </c>
      <c r="F158" s="980">
        <v>0</v>
      </c>
      <c r="G158" s="980">
        <v>0</v>
      </c>
      <c r="H158" s="731">
        <f>'[9]FY 2020-21 Q1'!H158*4*1.1</f>
        <v>199.39744440000004</v>
      </c>
    </row>
    <row r="159" spans="1:8">
      <c r="A159" s="732" t="s">
        <v>1172</v>
      </c>
      <c r="B159" s="729" t="s">
        <v>2059</v>
      </c>
      <c r="C159" s="979">
        <v>71.689487999999997</v>
      </c>
      <c r="D159" s="729">
        <v>0</v>
      </c>
      <c r="E159" s="729">
        <v>0</v>
      </c>
      <c r="F159" s="980">
        <v>0</v>
      </c>
      <c r="G159" s="980">
        <v>0</v>
      </c>
      <c r="H159" s="731">
        <f>'[9]FY 2020-21 Q1'!H159*4*1.1</f>
        <v>315.43374720000003</v>
      </c>
    </row>
    <row r="160" spans="1:8">
      <c r="A160" s="732" t="s">
        <v>1172</v>
      </c>
      <c r="B160" s="729" t="s">
        <v>1650</v>
      </c>
      <c r="C160" s="979">
        <v>103.65455799999999</v>
      </c>
      <c r="D160" s="729">
        <v>0</v>
      </c>
      <c r="E160" s="729">
        <v>0</v>
      </c>
      <c r="F160" s="980">
        <v>0</v>
      </c>
      <c r="G160" s="980">
        <v>0</v>
      </c>
      <c r="H160" s="731">
        <f>'[9]FY 2020-21 Q1'!H160*4*1.1</f>
        <v>456.0800552</v>
      </c>
    </row>
    <row r="161" spans="1:8">
      <c r="A161" s="732" t="s">
        <v>1172</v>
      </c>
      <c r="B161" s="729" t="s">
        <v>1747</v>
      </c>
      <c r="C161" s="979">
        <v>46.641710000000003</v>
      </c>
      <c r="D161" s="729">
        <v>0</v>
      </c>
      <c r="E161" s="729">
        <v>0</v>
      </c>
      <c r="F161" s="980">
        <v>0</v>
      </c>
      <c r="G161" s="980">
        <v>0</v>
      </c>
      <c r="H161" s="731">
        <f>'[9]FY 2020-21 Q1'!H161*4*1.1</f>
        <v>205.22352400000003</v>
      </c>
    </row>
    <row r="162" spans="1:8">
      <c r="A162" s="732" t="s">
        <v>1172</v>
      </c>
      <c r="B162" s="729" t="s">
        <v>2060</v>
      </c>
      <c r="C162" s="979">
        <v>4.9420000000000002</v>
      </c>
      <c r="D162" s="729">
        <v>0</v>
      </c>
      <c r="E162" s="729">
        <v>0</v>
      </c>
      <c r="F162" s="980">
        <v>0</v>
      </c>
      <c r="G162" s="980">
        <v>0</v>
      </c>
      <c r="H162" s="731">
        <f>'[9]FY 2020-21 Q1'!H162*4*1.1</f>
        <v>21.744800000000001</v>
      </c>
    </row>
    <row r="163" spans="1:8">
      <c r="A163" s="732" t="s">
        <v>1172</v>
      </c>
      <c r="B163" s="729" t="s">
        <v>1748</v>
      </c>
      <c r="C163" s="979">
        <v>15.242286</v>
      </c>
      <c r="D163" s="729">
        <v>0</v>
      </c>
      <c r="E163" s="729">
        <v>0</v>
      </c>
      <c r="F163" s="980">
        <v>0</v>
      </c>
      <c r="G163" s="980">
        <v>0</v>
      </c>
      <c r="H163" s="731">
        <f>'[9]FY 2020-21 Q1'!H163*4*1.1</f>
        <v>67.066058400000003</v>
      </c>
    </row>
    <row r="164" spans="1:8">
      <c r="A164" s="732" t="s">
        <v>1172</v>
      </c>
      <c r="B164" s="729" t="s">
        <v>2067</v>
      </c>
      <c r="C164" s="979">
        <v>62.303449999999998</v>
      </c>
      <c r="D164" s="729">
        <v>0</v>
      </c>
      <c r="E164" s="729">
        <v>0</v>
      </c>
      <c r="F164" s="980">
        <v>0</v>
      </c>
      <c r="G164" s="980">
        <v>0</v>
      </c>
      <c r="H164" s="731">
        <f>'[9]FY 2020-21 Q1'!H164*4*1.1</f>
        <v>274.13517999999999</v>
      </c>
    </row>
    <row r="165" spans="1:8">
      <c r="A165" s="732" t="s">
        <v>1172</v>
      </c>
      <c r="B165" s="729" t="s">
        <v>1651</v>
      </c>
      <c r="C165" s="979">
        <v>113.934736</v>
      </c>
      <c r="D165" s="729">
        <v>0</v>
      </c>
      <c r="E165" s="729">
        <v>0</v>
      </c>
      <c r="F165" s="980">
        <v>0</v>
      </c>
      <c r="G165" s="980">
        <v>0</v>
      </c>
      <c r="H165" s="731">
        <f>'[9]FY 2020-21 Q1'!H165*4*1.1</f>
        <v>501.31283840000003</v>
      </c>
    </row>
    <row r="166" spans="1:8">
      <c r="A166" s="732" t="s">
        <v>1172</v>
      </c>
      <c r="B166" s="729" t="s">
        <v>1751</v>
      </c>
      <c r="C166" s="979">
        <v>15.481222000000001</v>
      </c>
      <c r="D166" s="729">
        <v>0</v>
      </c>
      <c r="E166" s="729">
        <v>0</v>
      </c>
      <c r="F166" s="980">
        <v>0</v>
      </c>
      <c r="G166" s="980">
        <v>0</v>
      </c>
      <c r="H166" s="731">
        <f>'[9]FY 2020-21 Q1'!H166*4*1.1</f>
        <v>68.117376800000002</v>
      </c>
    </row>
    <row r="167" spans="1:8">
      <c r="A167" s="732" t="s">
        <v>1172</v>
      </c>
      <c r="B167" s="729" t="s">
        <v>1652</v>
      </c>
      <c r="C167" s="979">
        <v>49.492203000000003</v>
      </c>
      <c r="D167" s="729">
        <v>0</v>
      </c>
      <c r="E167" s="729">
        <v>0</v>
      </c>
      <c r="F167" s="980">
        <v>0</v>
      </c>
      <c r="G167" s="980">
        <v>0</v>
      </c>
      <c r="H167" s="731">
        <f>'[9]FY 2020-21 Q1'!H167*4*1.1</f>
        <v>217.76569320000004</v>
      </c>
    </row>
    <row r="168" spans="1:8">
      <c r="A168" s="732" t="s">
        <v>1172</v>
      </c>
      <c r="B168" s="729" t="s">
        <v>1653</v>
      </c>
      <c r="C168" s="979">
        <v>41.149963</v>
      </c>
      <c r="D168" s="729">
        <v>0</v>
      </c>
      <c r="E168" s="729">
        <v>0</v>
      </c>
      <c r="F168" s="980">
        <v>0</v>
      </c>
      <c r="G168" s="980">
        <v>0</v>
      </c>
      <c r="H168" s="731">
        <f>'[9]FY 2020-21 Q1'!H168*4*1.1</f>
        <v>181.0598372</v>
      </c>
    </row>
    <row r="169" spans="1:8">
      <c r="A169" s="732" t="s">
        <v>1172</v>
      </c>
      <c r="B169" s="729" t="s">
        <v>1752</v>
      </c>
      <c r="C169" s="979">
        <v>56.875988</v>
      </c>
      <c r="D169" s="729">
        <v>0</v>
      </c>
      <c r="E169" s="729">
        <v>0</v>
      </c>
      <c r="F169" s="980">
        <v>0</v>
      </c>
      <c r="G169" s="980">
        <v>0</v>
      </c>
      <c r="H169" s="731">
        <f>'[9]FY 2020-21 Q1'!H169*4*1.1</f>
        <v>250.25434720000001</v>
      </c>
    </row>
    <row r="170" spans="1:8">
      <c r="A170" s="732" t="s">
        <v>1172</v>
      </c>
      <c r="B170" s="729" t="s">
        <v>1753</v>
      </c>
      <c r="C170" s="979">
        <v>28.224844999999998</v>
      </c>
      <c r="D170" s="729">
        <v>0</v>
      </c>
      <c r="E170" s="729">
        <v>0</v>
      </c>
      <c r="F170" s="980">
        <v>0</v>
      </c>
      <c r="G170" s="980">
        <v>0</v>
      </c>
      <c r="H170" s="731">
        <f>'[9]FY 2020-21 Q1'!H170*4*1.1</f>
        <v>124.189318</v>
      </c>
    </row>
    <row r="171" spans="1:8">
      <c r="A171" s="732" t="s">
        <v>1172</v>
      </c>
      <c r="B171" s="729" t="s">
        <v>1702</v>
      </c>
      <c r="C171" s="979">
        <v>32.766146999999997</v>
      </c>
      <c r="D171" s="729">
        <v>0</v>
      </c>
      <c r="E171" s="729">
        <v>0</v>
      </c>
      <c r="F171" s="980">
        <v>0</v>
      </c>
      <c r="G171" s="980">
        <v>0</v>
      </c>
      <c r="H171" s="731">
        <f>'[9]FY 2020-21 Q1'!H171*4*1.1</f>
        <v>144.1710468</v>
      </c>
    </row>
    <row r="172" spans="1:8" ht="33.75" customHeight="1">
      <c r="A172" s="732" t="s">
        <v>1172</v>
      </c>
      <c r="B172" s="729" t="s">
        <v>1703</v>
      </c>
      <c r="C172" s="979">
        <v>11.236822</v>
      </c>
      <c r="D172" s="729">
        <v>0</v>
      </c>
      <c r="E172" s="729">
        <v>0</v>
      </c>
      <c r="F172" s="980">
        <v>0</v>
      </c>
      <c r="G172" s="980">
        <v>0</v>
      </c>
      <c r="H172" s="731">
        <f>'[9]FY 2020-21 Q1'!H172*4*1.1</f>
        <v>49.442016800000005</v>
      </c>
    </row>
    <row r="173" spans="1:8">
      <c r="A173" s="732" t="s">
        <v>1172</v>
      </c>
      <c r="B173" s="729" t="s">
        <v>1656</v>
      </c>
      <c r="C173" s="979">
        <v>0</v>
      </c>
      <c r="D173" s="729">
        <v>0</v>
      </c>
      <c r="E173" s="729">
        <v>74.717833999999996</v>
      </c>
      <c r="F173" s="980">
        <v>0</v>
      </c>
      <c r="G173" s="980">
        <v>0</v>
      </c>
      <c r="H173" s="731">
        <f>'[9]FY 2020-21 Q1'!H173*4*1.1</f>
        <v>328.75846960000001</v>
      </c>
    </row>
    <row r="174" spans="1:8">
      <c r="A174" s="732" t="s">
        <v>1172</v>
      </c>
      <c r="B174" s="729" t="s">
        <v>1657</v>
      </c>
      <c r="C174" s="979">
        <v>0</v>
      </c>
      <c r="D174" s="729">
        <v>0</v>
      </c>
      <c r="E174" s="729">
        <v>14.707276</v>
      </c>
      <c r="F174" s="980">
        <v>0</v>
      </c>
      <c r="G174" s="980">
        <v>0</v>
      </c>
      <c r="H174" s="731">
        <f>'[9]FY 2020-21 Q1'!H174*4*1.1</f>
        <v>64.712014400000001</v>
      </c>
    </row>
    <row r="175" spans="1:8">
      <c r="A175" s="732" t="s">
        <v>1172</v>
      </c>
      <c r="B175" s="729" t="s">
        <v>1705</v>
      </c>
      <c r="C175" s="979">
        <v>23.876832</v>
      </c>
      <c r="D175" s="729">
        <v>0</v>
      </c>
      <c r="E175" s="729">
        <v>0</v>
      </c>
      <c r="F175" s="980">
        <v>0</v>
      </c>
      <c r="G175" s="980">
        <v>0</v>
      </c>
      <c r="H175" s="731">
        <f>'[9]FY 2020-21 Q1'!H175*4*1.1</f>
        <v>105.05806080000001</v>
      </c>
    </row>
    <row r="176" spans="1:8">
      <c r="A176" s="732" t="s">
        <v>1172</v>
      </c>
      <c r="B176" s="729" t="s">
        <v>1706</v>
      </c>
      <c r="C176" s="979">
        <v>37.577133000000003</v>
      </c>
      <c r="D176" s="729">
        <v>0</v>
      </c>
      <c r="E176" s="729">
        <v>0</v>
      </c>
      <c r="F176" s="980">
        <v>0</v>
      </c>
      <c r="G176" s="980">
        <v>0</v>
      </c>
      <c r="H176" s="731">
        <f>'[9]FY 2020-21 Q1'!H176*4*1.1</f>
        <v>165.33938520000004</v>
      </c>
    </row>
    <row r="177" spans="1:8">
      <c r="A177" s="732" t="s">
        <v>1172</v>
      </c>
      <c r="B177" s="729" t="s">
        <v>2070</v>
      </c>
      <c r="C177" s="979">
        <v>0</v>
      </c>
      <c r="D177" s="729">
        <v>0</v>
      </c>
      <c r="E177" s="729">
        <v>10.755000000000001</v>
      </c>
      <c r="F177" s="980">
        <v>0</v>
      </c>
      <c r="G177" s="980">
        <v>0</v>
      </c>
      <c r="H177" s="731">
        <f>'[9]FY 2020-21 Q1'!H177*4*1.1</f>
        <v>47.32200000000001</v>
      </c>
    </row>
    <row r="178" spans="1:8">
      <c r="A178" s="732" t="s">
        <v>1172</v>
      </c>
      <c r="B178" s="729" t="s">
        <v>1713</v>
      </c>
      <c r="C178" s="979">
        <v>24.955373999999999</v>
      </c>
      <c r="D178" s="729">
        <v>0</v>
      </c>
      <c r="E178" s="729">
        <v>0</v>
      </c>
      <c r="F178" s="980">
        <v>0</v>
      </c>
      <c r="G178" s="980">
        <v>0</v>
      </c>
      <c r="H178" s="731">
        <f>'[9]FY 2020-21 Q1'!H178*4*1.1</f>
        <v>109.80364560000001</v>
      </c>
    </row>
    <row r="179" spans="1:8">
      <c r="A179" s="732" t="s">
        <v>1172</v>
      </c>
      <c r="B179" s="729" t="s">
        <v>1716</v>
      </c>
      <c r="C179" s="979">
        <v>69.116547999999995</v>
      </c>
      <c r="D179" s="729">
        <v>0</v>
      </c>
      <c r="E179" s="729">
        <v>0</v>
      </c>
      <c r="F179" s="980">
        <v>0</v>
      </c>
      <c r="G179" s="980">
        <v>0</v>
      </c>
      <c r="H179" s="731">
        <f>'[9]FY 2020-21 Q1'!H179*4*1.1</f>
        <v>304.11281120000001</v>
      </c>
    </row>
    <row r="180" spans="1:8">
      <c r="A180" s="732" t="s">
        <v>1172</v>
      </c>
      <c r="B180" s="729" t="s">
        <v>1672</v>
      </c>
      <c r="C180" s="979">
        <v>0</v>
      </c>
      <c r="D180" s="729">
        <v>0</v>
      </c>
      <c r="E180" s="729">
        <v>75.171397999999996</v>
      </c>
      <c r="F180" s="980">
        <v>0</v>
      </c>
      <c r="G180" s="980">
        <v>0</v>
      </c>
      <c r="H180" s="731">
        <f>'[9]FY 2020-21 Q1'!H180*4*1.1</f>
        <v>330.75415120000002</v>
      </c>
    </row>
    <row r="181" spans="1:8">
      <c r="A181" s="732" t="s">
        <v>1172</v>
      </c>
      <c r="B181" s="729" t="s">
        <v>1626</v>
      </c>
      <c r="C181" s="979">
        <v>0</v>
      </c>
      <c r="D181" s="729">
        <v>0</v>
      </c>
      <c r="E181" s="729">
        <v>88.140405999999999</v>
      </c>
      <c r="F181" s="980">
        <v>0</v>
      </c>
      <c r="G181" s="980">
        <v>0</v>
      </c>
      <c r="H181" s="731">
        <f>'[9]FY 2020-21 Q1'!H181*4*1.1</f>
        <v>387.81778640000005</v>
      </c>
    </row>
    <row r="182" spans="1:8">
      <c r="A182" s="732" t="s">
        <v>1172</v>
      </c>
      <c r="B182" s="729" t="s">
        <v>1673</v>
      </c>
      <c r="C182" s="979">
        <v>0</v>
      </c>
      <c r="D182" s="729">
        <v>0</v>
      </c>
      <c r="E182" s="729">
        <v>24.225021000000002</v>
      </c>
      <c r="F182" s="980">
        <v>0</v>
      </c>
      <c r="G182" s="980">
        <v>0</v>
      </c>
      <c r="H182" s="731">
        <f>'[9]FY 2020-21 Q1'!H182*4*1.1</f>
        <v>106.59009240000002</v>
      </c>
    </row>
    <row r="183" spans="1:8">
      <c r="A183" s="732" t="s">
        <v>1172</v>
      </c>
      <c r="B183" s="729" t="s">
        <v>1674</v>
      </c>
      <c r="C183" s="979">
        <v>0</v>
      </c>
      <c r="D183" s="729">
        <v>0</v>
      </c>
      <c r="E183" s="729">
        <v>70.263108000000003</v>
      </c>
      <c r="F183" s="980">
        <v>0</v>
      </c>
      <c r="G183" s="980">
        <v>0</v>
      </c>
      <c r="H183" s="731">
        <f>'[9]FY 2020-21 Q1'!H183*4*1.1</f>
        <v>309.15767520000003</v>
      </c>
    </row>
    <row r="184" spans="1:8">
      <c r="A184" s="732" t="s">
        <v>1172</v>
      </c>
      <c r="B184" s="729" t="s">
        <v>1642</v>
      </c>
      <c r="C184" s="979">
        <v>66.145173999999997</v>
      </c>
      <c r="D184" s="729">
        <v>0</v>
      </c>
      <c r="E184" s="729">
        <v>0</v>
      </c>
      <c r="F184" s="980">
        <v>0</v>
      </c>
      <c r="G184" s="980">
        <v>0</v>
      </c>
      <c r="H184" s="731">
        <f>'[9]FY 2020-21 Q1'!H184*4*1.1</f>
        <v>291.03876560000003</v>
      </c>
    </row>
    <row r="185" spans="1:8">
      <c r="A185" s="732" t="s">
        <v>1172</v>
      </c>
      <c r="B185" s="729" t="s">
        <v>1721</v>
      </c>
      <c r="C185" s="979">
        <v>44.276724000000002</v>
      </c>
      <c r="D185" s="729">
        <v>0</v>
      </c>
      <c r="E185" s="729">
        <v>0</v>
      </c>
      <c r="F185" s="980">
        <v>0</v>
      </c>
      <c r="G185" s="980">
        <v>0</v>
      </c>
      <c r="H185" s="731">
        <f>'[9]FY 2020-21 Q1'!H185*4*1.1</f>
        <v>194.81758560000003</v>
      </c>
    </row>
    <row r="186" spans="1:8">
      <c r="A186" s="732" t="s">
        <v>1172</v>
      </c>
      <c r="B186" s="729" t="s">
        <v>1629</v>
      </c>
      <c r="C186" s="979">
        <v>0</v>
      </c>
      <c r="D186" s="729">
        <v>0</v>
      </c>
      <c r="E186" s="729">
        <v>84.315150000000003</v>
      </c>
      <c r="F186" s="980">
        <v>0</v>
      </c>
      <c r="G186" s="980">
        <v>0</v>
      </c>
      <c r="H186" s="731">
        <f>'[9]FY 2020-21 Q1'!H186*4*1.1</f>
        <v>370.98666000000003</v>
      </c>
    </row>
    <row r="187" spans="1:8">
      <c r="A187" s="732" t="s">
        <v>1172</v>
      </c>
      <c r="B187" s="729" t="s">
        <v>1683</v>
      </c>
      <c r="C187" s="979">
        <v>0</v>
      </c>
      <c r="D187" s="729">
        <v>0</v>
      </c>
      <c r="E187" s="729">
        <v>47.597712000000001</v>
      </c>
      <c r="F187" s="980">
        <v>0</v>
      </c>
      <c r="G187" s="980">
        <v>0</v>
      </c>
      <c r="H187" s="731">
        <f>'[9]FY 2020-21 Q1'!H187*4*1.1</f>
        <v>209.42993280000002</v>
      </c>
    </row>
    <row r="188" spans="1:8">
      <c r="A188" s="732" t="s">
        <v>1172</v>
      </c>
      <c r="B188" s="729" t="s">
        <v>1734</v>
      </c>
      <c r="C188" s="979">
        <v>105.653696</v>
      </c>
      <c r="D188" s="729">
        <v>0</v>
      </c>
      <c r="E188" s="729">
        <v>0</v>
      </c>
      <c r="F188" s="980">
        <v>0</v>
      </c>
      <c r="G188" s="980">
        <v>0</v>
      </c>
      <c r="H188" s="731">
        <f>'[9]FY 2020-21 Q1'!H188*4*1.1</f>
        <v>464.87626240000003</v>
      </c>
    </row>
    <row r="189" spans="1:8">
      <c r="A189" s="732" t="s">
        <v>1172</v>
      </c>
      <c r="B189" s="729" t="s">
        <v>1686</v>
      </c>
      <c r="C189" s="979">
        <v>0</v>
      </c>
      <c r="D189" s="729">
        <v>0</v>
      </c>
      <c r="E189" s="729">
        <v>99.886221000000006</v>
      </c>
      <c r="F189" s="980">
        <v>0</v>
      </c>
      <c r="G189" s="980">
        <v>0</v>
      </c>
      <c r="H189" s="731">
        <f>'[9]FY 2020-21 Q1'!H189*4*1.1</f>
        <v>439.49937240000008</v>
      </c>
    </row>
    <row r="190" spans="1:8">
      <c r="A190" s="732" t="s">
        <v>1172</v>
      </c>
      <c r="B190" s="729" t="s">
        <v>1689</v>
      </c>
      <c r="C190" s="979">
        <v>0</v>
      </c>
      <c r="D190" s="729">
        <v>0</v>
      </c>
      <c r="E190" s="729">
        <v>56.726281999999998</v>
      </c>
      <c r="F190" s="980">
        <v>0</v>
      </c>
      <c r="G190" s="980">
        <v>0</v>
      </c>
      <c r="H190" s="731">
        <f>'[9]FY 2020-21 Q1'!H190*4*1.1</f>
        <v>249.59564080000001</v>
      </c>
    </row>
    <row r="191" spans="1:8" ht="15.75" customHeight="1">
      <c r="A191" s="732" t="s">
        <v>1172</v>
      </c>
      <c r="B191" s="729" t="s">
        <v>1690</v>
      </c>
      <c r="C191" s="979">
        <v>0</v>
      </c>
      <c r="D191" s="729">
        <v>0</v>
      </c>
      <c r="E191" s="729">
        <v>30.730996000000001</v>
      </c>
      <c r="F191" s="980">
        <v>0</v>
      </c>
      <c r="G191" s="980">
        <v>0</v>
      </c>
      <c r="H191" s="731">
        <f>'[9]FY 2020-21 Q1'!H191*4*1.1</f>
        <v>135.21638240000001</v>
      </c>
    </row>
    <row r="192" spans="1:8">
      <c r="A192" s="732" t="s">
        <v>1172</v>
      </c>
      <c r="B192" s="729" t="s">
        <v>2071</v>
      </c>
      <c r="C192" s="979">
        <v>15.651751000000001</v>
      </c>
      <c r="D192" s="729">
        <v>0</v>
      </c>
      <c r="E192" s="729">
        <v>0</v>
      </c>
      <c r="F192" s="980">
        <v>0</v>
      </c>
      <c r="G192" s="980">
        <v>0</v>
      </c>
      <c r="H192" s="731">
        <f>'[9]FY 2020-21 Q1'!H192*4*1.1</f>
        <v>68.867704400000008</v>
      </c>
    </row>
    <row r="193" spans="1:8">
      <c r="A193" s="732" t="s">
        <v>1172</v>
      </c>
      <c r="B193" s="729" t="s">
        <v>2072</v>
      </c>
      <c r="C193" s="979">
        <v>0</v>
      </c>
      <c r="D193" s="729">
        <v>0</v>
      </c>
      <c r="E193" s="729">
        <v>15.270799999999999</v>
      </c>
      <c r="F193" s="980">
        <v>0</v>
      </c>
      <c r="G193" s="980">
        <v>0</v>
      </c>
      <c r="H193" s="731">
        <f>'[9]FY 2020-21 Q1'!H193*4*1.1</f>
        <v>67.191519999999997</v>
      </c>
    </row>
    <row r="194" spans="1:8" ht="15" customHeight="1">
      <c r="A194" s="732" t="s">
        <v>1172</v>
      </c>
      <c r="B194" s="729" t="s">
        <v>2073</v>
      </c>
      <c r="C194" s="979">
        <v>0</v>
      </c>
      <c r="D194" s="729">
        <v>0</v>
      </c>
      <c r="E194" s="729">
        <v>2.99695</v>
      </c>
      <c r="F194" s="980">
        <v>0</v>
      </c>
      <c r="G194" s="980">
        <v>0</v>
      </c>
      <c r="H194" s="731">
        <f>'[9]FY 2020-21 Q1'!H194*4*1.1</f>
        <v>13.186580000000001</v>
      </c>
    </row>
    <row r="195" spans="1:8">
      <c r="A195" s="732" t="s">
        <v>1172</v>
      </c>
      <c r="B195" s="729" t="s">
        <v>1750</v>
      </c>
      <c r="C195" s="979">
        <v>20.002728999999999</v>
      </c>
      <c r="D195" s="729">
        <v>0</v>
      </c>
      <c r="E195" s="729">
        <v>0</v>
      </c>
      <c r="F195" s="980">
        <v>0</v>
      </c>
      <c r="G195" s="980">
        <v>0</v>
      </c>
      <c r="H195" s="731">
        <f>'[9]FY 2020-21 Q1'!H195*4*1.1</f>
        <v>88.012007600000004</v>
      </c>
    </row>
    <row r="196" spans="1:8">
      <c r="A196" s="732" t="s">
        <v>1172</v>
      </c>
      <c r="B196" s="729" t="s">
        <v>1643</v>
      </c>
      <c r="C196" s="979">
        <v>67.378499000000005</v>
      </c>
      <c r="D196" s="729">
        <v>0</v>
      </c>
      <c r="E196" s="729">
        <v>0</v>
      </c>
      <c r="F196" s="980">
        <v>0</v>
      </c>
      <c r="G196" s="980">
        <v>0</v>
      </c>
      <c r="H196" s="731">
        <f>'[9]FY 2020-21 Q1'!H196*4*1.1</f>
        <v>296.46539560000002</v>
      </c>
    </row>
    <row r="197" spans="1:8">
      <c r="A197" s="732" t="s">
        <v>1172</v>
      </c>
      <c r="B197" s="729" t="s">
        <v>1726</v>
      </c>
      <c r="C197" s="979">
        <v>40.672145</v>
      </c>
      <c r="D197" s="729">
        <v>0</v>
      </c>
      <c r="E197" s="729">
        <v>0</v>
      </c>
      <c r="F197" s="980">
        <v>0</v>
      </c>
      <c r="G197" s="980">
        <v>0</v>
      </c>
      <c r="H197" s="731">
        <f>'[9]FY 2020-21 Q1'!H197*4*1.1</f>
        <v>178.95743800000002</v>
      </c>
    </row>
    <row r="198" spans="1:8">
      <c r="A198" s="732" t="s">
        <v>1172</v>
      </c>
      <c r="B198" s="729" t="s">
        <v>1744</v>
      </c>
      <c r="C198" s="979">
        <v>4.1515409999999999</v>
      </c>
      <c r="D198" s="729">
        <v>0</v>
      </c>
      <c r="E198" s="729">
        <v>0</v>
      </c>
      <c r="F198" s="980">
        <v>0</v>
      </c>
      <c r="G198" s="980">
        <v>0</v>
      </c>
      <c r="H198" s="731">
        <f>'[9]FY 2020-21 Q1'!H198*4*1.1</f>
        <v>18.266780400000002</v>
      </c>
    </row>
    <row r="199" spans="1:8">
      <c r="A199" s="732" t="s">
        <v>1172</v>
      </c>
      <c r="B199" s="729" t="s">
        <v>2074</v>
      </c>
      <c r="C199" s="979">
        <v>35.873345999999998</v>
      </c>
      <c r="D199" s="729">
        <v>0</v>
      </c>
      <c r="E199" s="729">
        <v>0</v>
      </c>
      <c r="F199" s="980">
        <v>0</v>
      </c>
      <c r="G199" s="980">
        <v>0</v>
      </c>
      <c r="H199" s="731">
        <f>'[9]FY 2020-21 Q1'!H199*4*1.1</f>
        <v>157.84272240000001</v>
      </c>
    </row>
    <row r="200" spans="1:8">
      <c r="A200" s="732" t="s">
        <v>1172</v>
      </c>
      <c r="B200" s="729" t="s">
        <v>1749</v>
      </c>
      <c r="C200" s="979">
        <v>101.50344200000001</v>
      </c>
      <c r="D200" s="729">
        <v>0</v>
      </c>
      <c r="E200" s="729">
        <v>0</v>
      </c>
      <c r="F200" s="980">
        <v>0</v>
      </c>
      <c r="G200" s="980">
        <v>0</v>
      </c>
      <c r="H200" s="731">
        <f>'[9]FY 2020-21 Q1'!H200*4*1.1</f>
        <v>446.61514480000005</v>
      </c>
    </row>
    <row r="201" spans="1:8" ht="15.75" thickBot="1">
      <c r="A201" s="732" t="s">
        <v>1172</v>
      </c>
      <c r="B201" s="729" t="s">
        <v>2080</v>
      </c>
      <c r="C201" s="979">
        <v>3.0859999999999999</v>
      </c>
      <c r="D201" s="729">
        <v>0</v>
      </c>
      <c r="E201" s="729">
        <v>0</v>
      </c>
      <c r="F201" s="980">
        <v>0</v>
      </c>
      <c r="G201" s="980">
        <v>0</v>
      </c>
      <c r="H201" s="731">
        <f>'[9]FY 2020-21 Q1'!H201*4*1.1</f>
        <v>13.5784</v>
      </c>
    </row>
    <row r="202" spans="1:8" ht="15.75" thickBot="1">
      <c r="A202" s="735" t="s">
        <v>1754</v>
      </c>
      <c r="B202" s="736" t="s">
        <v>1755</v>
      </c>
      <c r="C202" s="983">
        <v>3505.002716</v>
      </c>
      <c r="D202" s="736">
        <v>13.938094</v>
      </c>
      <c r="E202" s="736">
        <v>4207.1299069999995</v>
      </c>
      <c r="F202" s="984">
        <v>4.4899100000000001</v>
      </c>
      <c r="G202" s="984">
        <v>104.836795</v>
      </c>
      <c r="H202" s="989">
        <f>'[9]FY 2020-21 Q1'!H202*4*1.1</f>
        <v>34475.748656800002</v>
      </c>
    </row>
    <row r="203" spans="1:8" ht="15.75" thickBot="1">
      <c r="A203" s="1900" t="s">
        <v>2075</v>
      </c>
      <c r="B203" s="1901"/>
      <c r="C203" s="1901"/>
      <c r="D203" s="1901"/>
      <c r="E203" s="1901"/>
      <c r="F203" s="1901"/>
      <c r="G203" s="1902"/>
      <c r="H203" s="735">
        <f>'[9]FY 2020-21 Q1'!H203*4*1.1</f>
        <v>3.4637636000000005</v>
      </c>
    </row>
    <row r="204" spans="1:8" ht="15.75" thickBot="1">
      <c r="A204" s="983" t="s">
        <v>1073</v>
      </c>
      <c r="B204" s="734"/>
      <c r="C204" s="734"/>
      <c r="D204" s="734"/>
      <c r="E204" s="734"/>
      <c r="F204" s="734"/>
      <c r="G204" s="734"/>
      <c r="H204" s="990">
        <f>'[9]FY 2020-21 Q1'!H204*4*1.1</f>
        <v>34479.212420399999</v>
      </c>
    </row>
  </sheetData>
  <mergeCells count="12">
    <mergeCell ref="A1:H1"/>
    <mergeCell ref="A2:H2"/>
    <mergeCell ref="A3:H3"/>
    <mergeCell ref="A4:H4"/>
    <mergeCell ref="H5:H7"/>
    <mergeCell ref="A203:G203"/>
    <mergeCell ref="A5:A7"/>
    <mergeCell ref="B5:B7"/>
    <mergeCell ref="C5:F5"/>
    <mergeCell ref="G5:G7"/>
    <mergeCell ref="C6:D6"/>
    <mergeCell ref="E6:F6"/>
  </mergeCells>
  <pageMargins left="0.70866141732283472" right="0.70866141732283472" top="0.74803149606299213" bottom="0.74803149606299213" header="0.31496062992125984" footer="0.31496062992125984"/>
  <pageSetup paperSize="9" scale="5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22"/>
  <sheetViews>
    <sheetView showGridLines="0" view="pageBreakPreview" zoomScaleNormal="85" zoomScaleSheetLayoutView="100" workbookViewId="0">
      <selection activeCell="D17" sqref="D17:F17"/>
    </sheetView>
  </sheetViews>
  <sheetFormatPr defaultRowHeight="15"/>
  <cols>
    <col min="1" max="1" width="3.85546875" style="51" customWidth="1"/>
    <col min="2" max="2" width="38.140625" style="51" customWidth="1"/>
    <col min="3" max="3" width="13.5703125" style="51" customWidth="1"/>
    <col min="4" max="4" width="14.85546875" style="51" customWidth="1"/>
    <col min="5" max="5" width="11.42578125" style="51" customWidth="1"/>
    <col min="6" max="6" width="17.140625" style="51" customWidth="1"/>
    <col min="7" max="7" width="4.85546875" style="51" customWidth="1"/>
    <col min="8" max="256" width="9.140625" style="51"/>
    <col min="257" max="257" width="38.140625" style="51" customWidth="1"/>
    <col min="258" max="258" width="13.5703125" style="51" customWidth="1"/>
    <col min="259" max="259" width="14.85546875" style="51" customWidth="1"/>
    <col min="260" max="260" width="11.42578125" style="51" customWidth="1"/>
    <col min="261" max="262" width="12.85546875" style="51" customWidth="1"/>
    <col min="263" max="263" width="13.140625" style="51" customWidth="1"/>
    <col min="264" max="512" width="9.140625" style="51"/>
    <col min="513" max="513" width="38.140625" style="51" customWidth="1"/>
    <col min="514" max="514" width="13.5703125" style="51" customWidth="1"/>
    <col min="515" max="515" width="14.85546875" style="51" customWidth="1"/>
    <col min="516" max="516" width="11.42578125" style="51" customWidth="1"/>
    <col min="517" max="518" width="12.85546875" style="51" customWidth="1"/>
    <col min="519" max="519" width="13.140625" style="51" customWidth="1"/>
    <col min="520" max="768" width="9.140625" style="51"/>
    <col min="769" max="769" width="38.140625" style="51" customWidth="1"/>
    <col min="770" max="770" width="13.5703125" style="51" customWidth="1"/>
    <col min="771" max="771" width="14.85546875" style="51" customWidth="1"/>
    <col min="772" max="772" width="11.42578125" style="51" customWidth="1"/>
    <col min="773" max="774" width="12.85546875" style="51" customWidth="1"/>
    <col min="775" max="775" width="13.140625" style="51" customWidth="1"/>
    <col min="776" max="1024" width="9.140625" style="51"/>
    <col min="1025" max="1025" width="38.140625" style="51" customWidth="1"/>
    <col min="1026" max="1026" width="13.5703125" style="51" customWidth="1"/>
    <col min="1027" max="1027" width="14.85546875" style="51" customWidth="1"/>
    <col min="1028" max="1028" width="11.42578125" style="51" customWidth="1"/>
    <col min="1029" max="1030" width="12.85546875" style="51" customWidth="1"/>
    <col min="1031" max="1031" width="13.140625" style="51" customWidth="1"/>
    <col min="1032" max="1280" width="9.140625" style="51"/>
    <col min="1281" max="1281" width="38.140625" style="51" customWidth="1"/>
    <col min="1282" max="1282" width="13.5703125" style="51" customWidth="1"/>
    <col min="1283" max="1283" width="14.85546875" style="51" customWidth="1"/>
    <col min="1284" max="1284" width="11.42578125" style="51" customWidth="1"/>
    <col min="1285" max="1286" width="12.85546875" style="51" customWidth="1"/>
    <col min="1287" max="1287" width="13.140625" style="51" customWidth="1"/>
    <col min="1288" max="1536" width="9.140625" style="51"/>
    <col min="1537" max="1537" width="38.140625" style="51" customWidth="1"/>
    <col min="1538" max="1538" width="13.5703125" style="51" customWidth="1"/>
    <col min="1539" max="1539" width="14.85546875" style="51" customWidth="1"/>
    <col min="1540" max="1540" width="11.42578125" style="51" customWidth="1"/>
    <col min="1541" max="1542" width="12.85546875" style="51" customWidth="1"/>
    <col min="1543" max="1543" width="13.140625" style="51" customWidth="1"/>
    <col min="1544" max="1792" width="9.140625" style="51"/>
    <col min="1793" max="1793" width="38.140625" style="51" customWidth="1"/>
    <col min="1794" max="1794" width="13.5703125" style="51" customWidth="1"/>
    <col min="1795" max="1795" width="14.85546875" style="51" customWidth="1"/>
    <col min="1796" max="1796" width="11.42578125" style="51" customWidth="1"/>
    <col min="1797" max="1798" width="12.85546875" style="51" customWidth="1"/>
    <col min="1799" max="1799" width="13.140625" style="51" customWidth="1"/>
    <col min="1800" max="2048" width="9.140625" style="51"/>
    <col min="2049" max="2049" width="38.140625" style="51" customWidth="1"/>
    <col min="2050" max="2050" width="13.5703125" style="51" customWidth="1"/>
    <col min="2051" max="2051" width="14.85546875" style="51" customWidth="1"/>
    <col min="2052" max="2052" width="11.42578125" style="51" customWidth="1"/>
    <col min="2053" max="2054" width="12.85546875" style="51" customWidth="1"/>
    <col min="2055" max="2055" width="13.140625" style="51" customWidth="1"/>
    <col min="2056" max="2304" width="9.140625" style="51"/>
    <col min="2305" max="2305" width="38.140625" style="51" customWidth="1"/>
    <col min="2306" max="2306" width="13.5703125" style="51" customWidth="1"/>
    <col min="2307" max="2307" width="14.85546875" style="51" customWidth="1"/>
    <col min="2308" max="2308" width="11.42578125" style="51" customWidth="1"/>
    <col min="2309" max="2310" width="12.85546875" style="51" customWidth="1"/>
    <col min="2311" max="2311" width="13.140625" style="51" customWidth="1"/>
    <col min="2312" max="2560" width="9.140625" style="51"/>
    <col min="2561" max="2561" width="38.140625" style="51" customWidth="1"/>
    <col min="2562" max="2562" width="13.5703125" style="51" customWidth="1"/>
    <col min="2563" max="2563" width="14.85546875" style="51" customWidth="1"/>
    <col min="2564" max="2564" width="11.42578125" style="51" customWidth="1"/>
    <col min="2565" max="2566" width="12.85546875" style="51" customWidth="1"/>
    <col min="2567" max="2567" width="13.140625" style="51" customWidth="1"/>
    <col min="2568" max="2816" width="9.140625" style="51"/>
    <col min="2817" max="2817" width="38.140625" style="51" customWidth="1"/>
    <col min="2818" max="2818" width="13.5703125" style="51" customWidth="1"/>
    <col min="2819" max="2819" width="14.85546875" style="51" customWidth="1"/>
    <col min="2820" max="2820" width="11.42578125" style="51" customWidth="1"/>
    <col min="2821" max="2822" width="12.85546875" style="51" customWidth="1"/>
    <col min="2823" max="2823" width="13.140625" style="51" customWidth="1"/>
    <col min="2824" max="3072" width="9.140625" style="51"/>
    <col min="3073" max="3073" width="38.140625" style="51" customWidth="1"/>
    <col min="3074" max="3074" width="13.5703125" style="51" customWidth="1"/>
    <col min="3075" max="3075" width="14.85546875" style="51" customWidth="1"/>
    <col min="3076" max="3076" width="11.42578125" style="51" customWidth="1"/>
    <col min="3077" max="3078" width="12.85546875" style="51" customWidth="1"/>
    <col min="3079" max="3079" width="13.140625" style="51" customWidth="1"/>
    <col min="3080" max="3328" width="9.140625" style="51"/>
    <col min="3329" max="3329" width="38.140625" style="51" customWidth="1"/>
    <col min="3330" max="3330" width="13.5703125" style="51" customWidth="1"/>
    <col min="3331" max="3331" width="14.85546875" style="51" customWidth="1"/>
    <col min="3332" max="3332" width="11.42578125" style="51" customWidth="1"/>
    <col min="3333" max="3334" width="12.85546875" style="51" customWidth="1"/>
    <col min="3335" max="3335" width="13.140625" style="51" customWidth="1"/>
    <col min="3336" max="3584" width="9.140625" style="51"/>
    <col min="3585" max="3585" width="38.140625" style="51" customWidth="1"/>
    <col min="3586" max="3586" width="13.5703125" style="51" customWidth="1"/>
    <col min="3587" max="3587" width="14.85546875" style="51" customWidth="1"/>
    <col min="3588" max="3588" width="11.42578125" style="51" customWidth="1"/>
    <col min="3589" max="3590" width="12.85546875" style="51" customWidth="1"/>
    <col min="3591" max="3591" width="13.140625" style="51" customWidth="1"/>
    <col min="3592" max="3840" width="9.140625" style="51"/>
    <col min="3841" max="3841" width="38.140625" style="51" customWidth="1"/>
    <col min="3842" max="3842" width="13.5703125" style="51" customWidth="1"/>
    <col min="3843" max="3843" width="14.85546875" style="51" customWidth="1"/>
    <col min="3844" max="3844" width="11.42578125" style="51" customWidth="1"/>
    <col min="3845" max="3846" width="12.85546875" style="51" customWidth="1"/>
    <col min="3847" max="3847" width="13.140625" style="51" customWidth="1"/>
    <col min="3848" max="4096" width="9.140625" style="51"/>
    <col min="4097" max="4097" width="38.140625" style="51" customWidth="1"/>
    <col min="4098" max="4098" width="13.5703125" style="51" customWidth="1"/>
    <col min="4099" max="4099" width="14.85546875" style="51" customWidth="1"/>
    <col min="4100" max="4100" width="11.42578125" style="51" customWidth="1"/>
    <col min="4101" max="4102" width="12.85546875" style="51" customWidth="1"/>
    <col min="4103" max="4103" width="13.140625" style="51" customWidth="1"/>
    <col min="4104" max="4352" width="9.140625" style="51"/>
    <col min="4353" max="4353" width="38.140625" style="51" customWidth="1"/>
    <col min="4354" max="4354" width="13.5703125" style="51" customWidth="1"/>
    <col min="4355" max="4355" width="14.85546875" style="51" customWidth="1"/>
    <col min="4356" max="4356" width="11.42578125" style="51" customWidth="1"/>
    <col min="4357" max="4358" width="12.85546875" style="51" customWidth="1"/>
    <col min="4359" max="4359" width="13.140625" style="51" customWidth="1"/>
    <col min="4360" max="4608" width="9.140625" style="51"/>
    <col min="4609" max="4609" width="38.140625" style="51" customWidth="1"/>
    <col min="4610" max="4610" width="13.5703125" style="51" customWidth="1"/>
    <col min="4611" max="4611" width="14.85546875" style="51" customWidth="1"/>
    <col min="4612" max="4612" width="11.42578125" style="51" customWidth="1"/>
    <col min="4613" max="4614" width="12.85546875" style="51" customWidth="1"/>
    <col min="4615" max="4615" width="13.140625" style="51" customWidth="1"/>
    <col min="4616" max="4864" width="9.140625" style="51"/>
    <col min="4865" max="4865" width="38.140625" style="51" customWidth="1"/>
    <col min="4866" max="4866" width="13.5703125" style="51" customWidth="1"/>
    <col min="4867" max="4867" width="14.85546875" style="51" customWidth="1"/>
    <col min="4868" max="4868" width="11.42578125" style="51" customWidth="1"/>
    <col min="4869" max="4870" width="12.85546875" style="51" customWidth="1"/>
    <col min="4871" max="4871" width="13.140625" style="51" customWidth="1"/>
    <col min="4872" max="5120" width="9.140625" style="51"/>
    <col min="5121" max="5121" width="38.140625" style="51" customWidth="1"/>
    <col min="5122" max="5122" width="13.5703125" style="51" customWidth="1"/>
    <col min="5123" max="5123" width="14.85546875" style="51" customWidth="1"/>
    <col min="5124" max="5124" width="11.42578125" style="51" customWidth="1"/>
    <col min="5125" max="5126" width="12.85546875" style="51" customWidth="1"/>
    <col min="5127" max="5127" width="13.140625" style="51" customWidth="1"/>
    <col min="5128" max="5376" width="9.140625" style="51"/>
    <col min="5377" max="5377" width="38.140625" style="51" customWidth="1"/>
    <col min="5378" max="5378" width="13.5703125" style="51" customWidth="1"/>
    <col min="5379" max="5379" width="14.85546875" style="51" customWidth="1"/>
    <col min="5380" max="5380" width="11.42578125" style="51" customWidth="1"/>
    <col min="5381" max="5382" width="12.85546875" style="51" customWidth="1"/>
    <col min="5383" max="5383" width="13.140625" style="51" customWidth="1"/>
    <col min="5384" max="5632" width="9.140625" style="51"/>
    <col min="5633" max="5633" width="38.140625" style="51" customWidth="1"/>
    <col min="5634" max="5634" width="13.5703125" style="51" customWidth="1"/>
    <col min="5635" max="5635" width="14.85546875" style="51" customWidth="1"/>
    <col min="5636" max="5636" width="11.42578125" style="51" customWidth="1"/>
    <col min="5637" max="5638" width="12.85546875" style="51" customWidth="1"/>
    <col min="5639" max="5639" width="13.140625" style="51" customWidth="1"/>
    <col min="5640" max="5888" width="9.140625" style="51"/>
    <col min="5889" max="5889" width="38.140625" style="51" customWidth="1"/>
    <col min="5890" max="5890" width="13.5703125" style="51" customWidth="1"/>
    <col min="5891" max="5891" width="14.85546875" style="51" customWidth="1"/>
    <col min="5892" max="5892" width="11.42578125" style="51" customWidth="1"/>
    <col min="5893" max="5894" width="12.85546875" style="51" customWidth="1"/>
    <col min="5895" max="5895" width="13.140625" style="51" customWidth="1"/>
    <col min="5896" max="6144" width="9.140625" style="51"/>
    <col min="6145" max="6145" width="38.140625" style="51" customWidth="1"/>
    <col min="6146" max="6146" width="13.5703125" style="51" customWidth="1"/>
    <col min="6147" max="6147" width="14.85546875" style="51" customWidth="1"/>
    <col min="6148" max="6148" width="11.42578125" style="51" customWidth="1"/>
    <col min="6149" max="6150" width="12.85546875" style="51" customWidth="1"/>
    <col min="6151" max="6151" width="13.140625" style="51" customWidth="1"/>
    <col min="6152" max="6400" width="9.140625" style="51"/>
    <col min="6401" max="6401" width="38.140625" style="51" customWidth="1"/>
    <col min="6402" max="6402" width="13.5703125" style="51" customWidth="1"/>
    <col min="6403" max="6403" width="14.85546875" style="51" customWidth="1"/>
    <col min="6404" max="6404" width="11.42578125" style="51" customWidth="1"/>
    <col min="6405" max="6406" width="12.85546875" style="51" customWidth="1"/>
    <col min="6407" max="6407" width="13.140625" style="51" customWidth="1"/>
    <col min="6408" max="6656" width="9.140625" style="51"/>
    <col min="6657" max="6657" width="38.140625" style="51" customWidth="1"/>
    <col min="6658" max="6658" width="13.5703125" style="51" customWidth="1"/>
    <col min="6659" max="6659" width="14.85546875" style="51" customWidth="1"/>
    <col min="6660" max="6660" width="11.42578125" style="51" customWidth="1"/>
    <col min="6661" max="6662" width="12.85546875" style="51" customWidth="1"/>
    <col min="6663" max="6663" width="13.140625" style="51" customWidth="1"/>
    <col min="6664" max="6912" width="9.140625" style="51"/>
    <col min="6913" max="6913" width="38.140625" style="51" customWidth="1"/>
    <col min="6914" max="6914" width="13.5703125" style="51" customWidth="1"/>
    <col min="6915" max="6915" width="14.85546875" style="51" customWidth="1"/>
    <col min="6916" max="6916" width="11.42578125" style="51" customWidth="1"/>
    <col min="6917" max="6918" width="12.85546875" style="51" customWidth="1"/>
    <col min="6919" max="6919" width="13.140625" style="51" customWidth="1"/>
    <col min="6920" max="7168" width="9.140625" style="51"/>
    <col min="7169" max="7169" width="38.140625" style="51" customWidth="1"/>
    <col min="7170" max="7170" width="13.5703125" style="51" customWidth="1"/>
    <col min="7171" max="7171" width="14.85546875" style="51" customWidth="1"/>
    <col min="7172" max="7172" width="11.42578125" style="51" customWidth="1"/>
    <col min="7173" max="7174" width="12.85546875" style="51" customWidth="1"/>
    <col min="7175" max="7175" width="13.140625" style="51" customWidth="1"/>
    <col min="7176" max="7424" width="9.140625" style="51"/>
    <col min="7425" max="7425" width="38.140625" style="51" customWidth="1"/>
    <col min="7426" max="7426" width="13.5703125" style="51" customWidth="1"/>
    <col min="7427" max="7427" width="14.85546875" style="51" customWidth="1"/>
    <col min="7428" max="7428" width="11.42578125" style="51" customWidth="1"/>
    <col min="7429" max="7430" width="12.85546875" style="51" customWidth="1"/>
    <col min="7431" max="7431" width="13.140625" style="51" customWidth="1"/>
    <col min="7432" max="7680" width="9.140625" style="51"/>
    <col min="7681" max="7681" width="38.140625" style="51" customWidth="1"/>
    <col min="7682" max="7682" width="13.5703125" style="51" customWidth="1"/>
    <col min="7683" max="7683" width="14.85546875" style="51" customWidth="1"/>
    <col min="7684" max="7684" width="11.42578125" style="51" customWidth="1"/>
    <col min="7685" max="7686" width="12.85546875" style="51" customWidth="1"/>
    <col min="7687" max="7687" width="13.140625" style="51" customWidth="1"/>
    <col min="7688" max="7936" width="9.140625" style="51"/>
    <col min="7937" max="7937" width="38.140625" style="51" customWidth="1"/>
    <col min="7938" max="7938" width="13.5703125" style="51" customWidth="1"/>
    <col min="7939" max="7939" width="14.85546875" style="51" customWidth="1"/>
    <col min="7940" max="7940" width="11.42578125" style="51" customWidth="1"/>
    <col min="7941" max="7942" width="12.85546875" style="51" customWidth="1"/>
    <col min="7943" max="7943" width="13.140625" style="51" customWidth="1"/>
    <col min="7944" max="8192" width="9.140625" style="51"/>
    <col min="8193" max="8193" width="38.140625" style="51" customWidth="1"/>
    <col min="8194" max="8194" width="13.5703125" style="51" customWidth="1"/>
    <col min="8195" max="8195" width="14.85546875" style="51" customWidth="1"/>
    <col min="8196" max="8196" width="11.42578125" style="51" customWidth="1"/>
    <col min="8197" max="8198" width="12.85546875" style="51" customWidth="1"/>
    <col min="8199" max="8199" width="13.140625" style="51" customWidth="1"/>
    <col min="8200" max="8448" width="9.140625" style="51"/>
    <col min="8449" max="8449" width="38.140625" style="51" customWidth="1"/>
    <col min="8450" max="8450" width="13.5703125" style="51" customWidth="1"/>
    <col min="8451" max="8451" width="14.85546875" style="51" customWidth="1"/>
    <col min="8452" max="8452" width="11.42578125" style="51" customWidth="1"/>
    <col min="8453" max="8454" width="12.85546875" style="51" customWidth="1"/>
    <col min="8455" max="8455" width="13.140625" style="51" customWidth="1"/>
    <col min="8456" max="8704" width="9.140625" style="51"/>
    <col min="8705" max="8705" width="38.140625" style="51" customWidth="1"/>
    <col min="8706" max="8706" width="13.5703125" style="51" customWidth="1"/>
    <col min="8707" max="8707" width="14.85546875" style="51" customWidth="1"/>
    <col min="8708" max="8708" width="11.42578125" style="51" customWidth="1"/>
    <col min="8709" max="8710" width="12.85546875" style="51" customWidth="1"/>
    <col min="8711" max="8711" width="13.140625" style="51" customWidth="1"/>
    <col min="8712" max="8960" width="9.140625" style="51"/>
    <col min="8961" max="8961" width="38.140625" style="51" customWidth="1"/>
    <col min="8962" max="8962" width="13.5703125" style="51" customWidth="1"/>
    <col min="8963" max="8963" width="14.85546875" style="51" customWidth="1"/>
    <col min="8964" max="8964" width="11.42578125" style="51" customWidth="1"/>
    <col min="8965" max="8966" width="12.85546875" style="51" customWidth="1"/>
    <col min="8967" max="8967" width="13.140625" style="51" customWidth="1"/>
    <col min="8968" max="9216" width="9.140625" style="51"/>
    <col min="9217" max="9217" width="38.140625" style="51" customWidth="1"/>
    <col min="9218" max="9218" width="13.5703125" style="51" customWidth="1"/>
    <col min="9219" max="9219" width="14.85546875" style="51" customWidth="1"/>
    <col min="9220" max="9220" width="11.42578125" style="51" customWidth="1"/>
    <col min="9221" max="9222" width="12.85546875" style="51" customWidth="1"/>
    <col min="9223" max="9223" width="13.140625" style="51" customWidth="1"/>
    <col min="9224" max="9472" width="9.140625" style="51"/>
    <col min="9473" max="9473" width="38.140625" style="51" customWidth="1"/>
    <col min="9474" max="9474" width="13.5703125" style="51" customWidth="1"/>
    <col min="9475" max="9475" width="14.85546875" style="51" customWidth="1"/>
    <col min="9476" max="9476" width="11.42578125" style="51" customWidth="1"/>
    <col min="9477" max="9478" width="12.85546875" style="51" customWidth="1"/>
    <col min="9479" max="9479" width="13.140625" style="51" customWidth="1"/>
    <col min="9480" max="9728" width="9.140625" style="51"/>
    <col min="9729" max="9729" width="38.140625" style="51" customWidth="1"/>
    <col min="9730" max="9730" width="13.5703125" style="51" customWidth="1"/>
    <col min="9731" max="9731" width="14.85546875" style="51" customWidth="1"/>
    <col min="9732" max="9732" width="11.42578125" style="51" customWidth="1"/>
    <col min="9733" max="9734" width="12.85546875" style="51" customWidth="1"/>
    <col min="9735" max="9735" width="13.140625" style="51" customWidth="1"/>
    <col min="9736" max="9984" width="9.140625" style="51"/>
    <col min="9985" max="9985" width="38.140625" style="51" customWidth="1"/>
    <col min="9986" max="9986" width="13.5703125" style="51" customWidth="1"/>
    <col min="9987" max="9987" width="14.85546875" style="51" customWidth="1"/>
    <col min="9988" max="9988" width="11.42578125" style="51" customWidth="1"/>
    <col min="9989" max="9990" width="12.85546875" style="51" customWidth="1"/>
    <col min="9991" max="9991" width="13.140625" style="51" customWidth="1"/>
    <col min="9992" max="10240" width="9.140625" style="51"/>
    <col min="10241" max="10241" width="38.140625" style="51" customWidth="1"/>
    <col min="10242" max="10242" width="13.5703125" style="51" customWidth="1"/>
    <col min="10243" max="10243" width="14.85546875" style="51" customWidth="1"/>
    <col min="10244" max="10244" width="11.42578125" style="51" customWidth="1"/>
    <col min="10245" max="10246" width="12.85546875" style="51" customWidth="1"/>
    <col min="10247" max="10247" width="13.140625" style="51" customWidth="1"/>
    <col min="10248" max="10496" width="9.140625" style="51"/>
    <col min="10497" max="10497" width="38.140625" style="51" customWidth="1"/>
    <col min="10498" max="10498" width="13.5703125" style="51" customWidth="1"/>
    <col min="10499" max="10499" width="14.85546875" style="51" customWidth="1"/>
    <col min="10500" max="10500" width="11.42578125" style="51" customWidth="1"/>
    <col min="10501" max="10502" width="12.85546875" style="51" customWidth="1"/>
    <col min="10503" max="10503" width="13.140625" style="51" customWidth="1"/>
    <col min="10504" max="10752" width="9.140625" style="51"/>
    <col min="10753" max="10753" width="38.140625" style="51" customWidth="1"/>
    <col min="10754" max="10754" width="13.5703125" style="51" customWidth="1"/>
    <col min="10755" max="10755" width="14.85546875" style="51" customWidth="1"/>
    <col min="10756" max="10756" width="11.42578125" style="51" customWidth="1"/>
    <col min="10757" max="10758" width="12.85546875" style="51" customWidth="1"/>
    <col min="10759" max="10759" width="13.140625" style="51" customWidth="1"/>
    <col min="10760" max="11008" width="9.140625" style="51"/>
    <col min="11009" max="11009" width="38.140625" style="51" customWidth="1"/>
    <col min="11010" max="11010" width="13.5703125" style="51" customWidth="1"/>
    <col min="11011" max="11011" width="14.85546875" style="51" customWidth="1"/>
    <col min="11012" max="11012" width="11.42578125" style="51" customWidth="1"/>
    <col min="11013" max="11014" width="12.85546875" style="51" customWidth="1"/>
    <col min="11015" max="11015" width="13.140625" style="51" customWidth="1"/>
    <col min="11016" max="11264" width="9.140625" style="51"/>
    <col min="11265" max="11265" width="38.140625" style="51" customWidth="1"/>
    <col min="11266" max="11266" width="13.5703125" style="51" customWidth="1"/>
    <col min="11267" max="11267" width="14.85546875" style="51" customWidth="1"/>
    <col min="11268" max="11268" width="11.42578125" style="51" customWidth="1"/>
    <col min="11269" max="11270" width="12.85546875" style="51" customWidth="1"/>
    <col min="11271" max="11271" width="13.140625" style="51" customWidth="1"/>
    <col min="11272" max="11520" width="9.140625" style="51"/>
    <col min="11521" max="11521" width="38.140625" style="51" customWidth="1"/>
    <col min="11522" max="11522" width="13.5703125" style="51" customWidth="1"/>
    <col min="11523" max="11523" width="14.85546875" style="51" customWidth="1"/>
    <col min="11524" max="11524" width="11.42578125" style="51" customWidth="1"/>
    <col min="11525" max="11526" width="12.85546875" style="51" customWidth="1"/>
    <col min="11527" max="11527" width="13.140625" style="51" customWidth="1"/>
    <col min="11528" max="11776" width="9.140625" style="51"/>
    <col min="11777" max="11777" width="38.140625" style="51" customWidth="1"/>
    <col min="11778" max="11778" width="13.5703125" style="51" customWidth="1"/>
    <col min="11779" max="11779" width="14.85546875" style="51" customWidth="1"/>
    <col min="11780" max="11780" width="11.42578125" style="51" customWidth="1"/>
    <col min="11781" max="11782" width="12.85546875" style="51" customWidth="1"/>
    <col min="11783" max="11783" width="13.140625" style="51" customWidth="1"/>
    <col min="11784" max="12032" width="9.140625" style="51"/>
    <col min="12033" max="12033" width="38.140625" style="51" customWidth="1"/>
    <col min="12034" max="12034" width="13.5703125" style="51" customWidth="1"/>
    <col min="12035" max="12035" width="14.85546875" style="51" customWidth="1"/>
    <col min="12036" max="12036" width="11.42578125" style="51" customWidth="1"/>
    <col min="12037" max="12038" width="12.85546875" style="51" customWidth="1"/>
    <col min="12039" max="12039" width="13.140625" style="51" customWidth="1"/>
    <col min="12040" max="12288" width="9.140625" style="51"/>
    <col min="12289" max="12289" width="38.140625" style="51" customWidth="1"/>
    <col min="12290" max="12290" width="13.5703125" style="51" customWidth="1"/>
    <col min="12291" max="12291" width="14.85546875" style="51" customWidth="1"/>
    <col min="12292" max="12292" width="11.42578125" style="51" customWidth="1"/>
    <col min="12293" max="12294" width="12.85546875" style="51" customWidth="1"/>
    <col min="12295" max="12295" width="13.140625" style="51" customWidth="1"/>
    <col min="12296" max="12544" width="9.140625" style="51"/>
    <col min="12545" max="12545" width="38.140625" style="51" customWidth="1"/>
    <col min="12546" max="12546" width="13.5703125" style="51" customWidth="1"/>
    <col min="12547" max="12547" width="14.85546875" style="51" customWidth="1"/>
    <col min="12548" max="12548" width="11.42578125" style="51" customWidth="1"/>
    <col min="12549" max="12550" width="12.85546875" style="51" customWidth="1"/>
    <col min="12551" max="12551" width="13.140625" style="51" customWidth="1"/>
    <col min="12552" max="12800" width="9.140625" style="51"/>
    <col min="12801" max="12801" width="38.140625" style="51" customWidth="1"/>
    <col min="12802" max="12802" width="13.5703125" style="51" customWidth="1"/>
    <col min="12803" max="12803" width="14.85546875" style="51" customWidth="1"/>
    <col min="12804" max="12804" width="11.42578125" style="51" customWidth="1"/>
    <col min="12805" max="12806" width="12.85546875" style="51" customWidth="1"/>
    <col min="12807" max="12807" width="13.140625" style="51" customWidth="1"/>
    <col min="12808" max="13056" width="9.140625" style="51"/>
    <col min="13057" max="13057" width="38.140625" style="51" customWidth="1"/>
    <col min="13058" max="13058" width="13.5703125" style="51" customWidth="1"/>
    <col min="13059" max="13059" width="14.85546875" style="51" customWidth="1"/>
    <col min="13060" max="13060" width="11.42578125" style="51" customWidth="1"/>
    <col min="13061" max="13062" width="12.85546875" style="51" customWidth="1"/>
    <col min="13063" max="13063" width="13.140625" style="51" customWidth="1"/>
    <col min="13064" max="13312" width="9.140625" style="51"/>
    <col min="13313" max="13313" width="38.140625" style="51" customWidth="1"/>
    <col min="13314" max="13314" width="13.5703125" style="51" customWidth="1"/>
    <col min="13315" max="13315" width="14.85546875" style="51" customWidth="1"/>
    <col min="13316" max="13316" width="11.42578125" style="51" customWidth="1"/>
    <col min="13317" max="13318" width="12.85546875" style="51" customWidth="1"/>
    <col min="13319" max="13319" width="13.140625" style="51" customWidth="1"/>
    <col min="13320" max="13568" width="9.140625" style="51"/>
    <col min="13569" max="13569" width="38.140625" style="51" customWidth="1"/>
    <col min="13570" max="13570" width="13.5703125" style="51" customWidth="1"/>
    <col min="13571" max="13571" width="14.85546875" style="51" customWidth="1"/>
    <col min="13572" max="13572" width="11.42578125" style="51" customWidth="1"/>
    <col min="13573" max="13574" width="12.85546875" style="51" customWidth="1"/>
    <col min="13575" max="13575" width="13.140625" style="51" customWidth="1"/>
    <col min="13576" max="13824" width="9.140625" style="51"/>
    <col min="13825" max="13825" width="38.140625" style="51" customWidth="1"/>
    <col min="13826" max="13826" width="13.5703125" style="51" customWidth="1"/>
    <col min="13827" max="13827" width="14.85546875" style="51" customWidth="1"/>
    <col min="13828" max="13828" width="11.42578125" style="51" customWidth="1"/>
    <col min="13829" max="13830" width="12.85546875" style="51" customWidth="1"/>
    <col min="13831" max="13831" width="13.140625" style="51" customWidth="1"/>
    <col min="13832" max="14080" width="9.140625" style="51"/>
    <col min="14081" max="14081" width="38.140625" style="51" customWidth="1"/>
    <col min="14082" max="14082" width="13.5703125" style="51" customWidth="1"/>
    <col min="14083" max="14083" width="14.85546875" style="51" customWidth="1"/>
    <col min="14084" max="14084" width="11.42578125" style="51" customWidth="1"/>
    <col min="14085" max="14086" width="12.85546875" style="51" customWidth="1"/>
    <col min="14087" max="14087" width="13.140625" style="51" customWidth="1"/>
    <col min="14088" max="14336" width="9.140625" style="51"/>
    <col min="14337" max="14337" width="38.140625" style="51" customWidth="1"/>
    <col min="14338" max="14338" width="13.5703125" style="51" customWidth="1"/>
    <col min="14339" max="14339" width="14.85546875" style="51" customWidth="1"/>
    <col min="14340" max="14340" width="11.42578125" style="51" customWidth="1"/>
    <col min="14341" max="14342" width="12.85546875" style="51" customWidth="1"/>
    <col min="14343" max="14343" width="13.140625" style="51" customWidth="1"/>
    <col min="14344" max="14592" width="9.140625" style="51"/>
    <col min="14593" max="14593" width="38.140625" style="51" customWidth="1"/>
    <col min="14594" max="14594" width="13.5703125" style="51" customWidth="1"/>
    <col min="14595" max="14595" width="14.85546875" style="51" customWidth="1"/>
    <col min="14596" max="14596" width="11.42578125" style="51" customWidth="1"/>
    <col min="14597" max="14598" width="12.85546875" style="51" customWidth="1"/>
    <col min="14599" max="14599" width="13.140625" style="51" customWidth="1"/>
    <col min="14600" max="14848" width="9.140625" style="51"/>
    <col min="14849" max="14849" width="38.140625" style="51" customWidth="1"/>
    <col min="14850" max="14850" width="13.5703125" style="51" customWidth="1"/>
    <col min="14851" max="14851" width="14.85546875" style="51" customWidth="1"/>
    <col min="14852" max="14852" width="11.42578125" style="51" customWidth="1"/>
    <col min="14853" max="14854" width="12.85546875" style="51" customWidth="1"/>
    <col min="14855" max="14855" width="13.140625" style="51" customWidth="1"/>
    <col min="14856" max="15104" width="9.140625" style="51"/>
    <col min="15105" max="15105" width="38.140625" style="51" customWidth="1"/>
    <col min="15106" max="15106" width="13.5703125" style="51" customWidth="1"/>
    <col min="15107" max="15107" width="14.85546875" style="51" customWidth="1"/>
    <col min="15108" max="15108" width="11.42578125" style="51" customWidth="1"/>
    <col min="15109" max="15110" width="12.85546875" style="51" customWidth="1"/>
    <col min="15111" max="15111" width="13.140625" style="51" customWidth="1"/>
    <col min="15112" max="15360" width="9.140625" style="51"/>
    <col min="15361" max="15361" width="38.140625" style="51" customWidth="1"/>
    <col min="15362" max="15362" width="13.5703125" style="51" customWidth="1"/>
    <col min="15363" max="15363" width="14.85546875" style="51" customWidth="1"/>
    <col min="15364" max="15364" width="11.42578125" style="51" customWidth="1"/>
    <col min="15365" max="15366" width="12.85546875" style="51" customWidth="1"/>
    <col min="15367" max="15367" width="13.140625" style="51" customWidth="1"/>
    <col min="15368" max="15616" width="9.140625" style="51"/>
    <col min="15617" max="15617" width="38.140625" style="51" customWidth="1"/>
    <col min="15618" max="15618" width="13.5703125" style="51" customWidth="1"/>
    <col min="15619" max="15619" width="14.85546875" style="51" customWidth="1"/>
    <col min="15620" max="15620" width="11.42578125" style="51" customWidth="1"/>
    <col min="15621" max="15622" width="12.85546875" style="51" customWidth="1"/>
    <col min="15623" max="15623" width="13.140625" style="51" customWidth="1"/>
    <col min="15624" max="15872" width="9.140625" style="51"/>
    <col min="15873" max="15873" width="38.140625" style="51" customWidth="1"/>
    <col min="15874" max="15874" width="13.5703125" style="51" customWidth="1"/>
    <col min="15875" max="15875" width="14.85546875" style="51" customWidth="1"/>
    <col min="15876" max="15876" width="11.42578125" style="51" customWidth="1"/>
    <col min="15877" max="15878" width="12.85546875" style="51" customWidth="1"/>
    <col min="15879" max="15879" width="13.140625" style="51" customWidth="1"/>
    <col min="15880" max="16128" width="9.140625" style="51"/>
    <col min="16129" max="16129" width="38.140625" style="51" customWidth="1"/>
    <col min="16130" max="16130" width="13.5703125" style="51" customWidth="1"/>
    <col min="16131" max="16131" width="14.85546875" style="51" customWidth="1"/>
    <col min="16132" max="16132" width="11.42578125" style="51" customWidth="1"/>
    <col min="16133" max="16134" width="12.85546875" style="51" customWidth="1"/>
    <col min="16135" max="16135" width="13.140625" style="51" customWidth="1"/>
    <col min="16136" max="16384" width="9.140625" style="51"/>
  </cols>
  <sheetData>
    <row r="1" spans="2:9">
      <c r="F1" s="51" t="s">
        <v>1065</v>
      </c>
    </row>
    <row r="2" spans="2:9" ht="18.75">
      <c r="B2" s="1908" t="s">
        <v>1066</v>
      </c>
      <c r="C2" s="1908"/>
      <c r="D2" s="1908"/>
      <c r="E2" s="1908"/>
      <c r="F2" s="1908"/>
      <c r="H2" s="856"/>
      <c r="I2" s="856"/>
    </row>
    <row r="4" spans="2:9" ht="18.75">
      <c r="B4" s="1909" t="s">
        <v>1233</v>
      </c>
      <c r="C4" s="1909"/>
      <c r="D4" s="1909"/>
      <c r="E4" s="1909"/>
      <c r="F4" s="1909"/>
    </row>
    <row r="5" spans="2:9" ht="18.75">
      <c r="B5" s="856" t="s">
        <v>463</v>
      </c>
      <c r="C5" s="856"/>
      <c r="D5" s="856"/>
      <c r="E5" s="856"/>
      <c r="F5" s="857" t="s">
        <v>1067</v>
      </c>
    </row>
    <row r="7" spans="2:9" ht="15.75">
      <c r="B7" s="1910" t="s">
        <v>1068</v>
      </c>
      <c r="C7" s="1910" t="s">
        <v>1173</v>
      </c>
      <c r="D7" s="1910"/>
      <c r="E7" s="1910" t="s">
        <v>1949</v>
      </c>
      <c r="F7" s="1910"/>
    </row>
    <row r="8" spans="2:9" ht="15.75">
      <c r="B8" s="1910"/>
      <c r="C8" s="1910" t="s">
        <v>1756</v>
      </c>
      <c r="D8" s="1910"/>
      <c r="E8" s="1910" t="s">
        <v>1756</v>
      </c>
      <c r="F8" s="1910"/>
    </row>
    <row r="9" spans="2:9" ht="15.75">
      <c r="B9" s="1910"/>
      <c r="C9" s="358" t="s">
        <v>1069</v>
      </c>
      <c r="D9" s="358" t="s">
        <v>1070</v>
      </c>
      <c r="E9" s="358" t="s">
        <v>1069</v>
      </c>
      <c r="F9" s="358" t="s">
        <v>1070</v>
      </c>
    </row>
    <row r="10" spans="2:9" ht="15.75">
      <c r="B10" s="358" t="s">
        <v>1071</v>
      </c>
      <c r="C10" s="358">
        <v>1</v>
      </c>
      <c r="D10" s="358">
        <v>0</v>
      </c>
      <c r="E10" s="358" t="s">
        <v>1016</v>
      </c>
      <c r="F10" s="358">
        <v>1</v>
      </c>
    </row>
    <row r="11" spans="2:9" ht="15.75">
      <c r="B11" s="358" t="s">
        <v>1072</v>
      </c>
      <c r="C11" s="358" t="s">
        <v>1016</v>
      </c>
      <c r="D11" s="358" t="s">
        <v>1016</v>
      </c>
      <c r="E11" s="358" t="s">
        <v>1016</v>
      </c>
      <c r="F11" s="358" t="s">
        <v>1016</v>
      </c>
    </row>
    <row r="12" spans="2:9" ht="15.75">
      <c r="B12" s="765" t="s">
        <v>1073</v>
      </c>
      <c r="C12" s="765">
        <v>1</v>
      </c>
      <c r="D12" s="765">
        <v>0</v>
      </c>
      <c r="E12" s="999" t="s">
        <v>1016</v>
      </c>
      <c r="F12" s="999">
        <v>1</v>
      </c>
    </row>
    <row r="13" spans="2:9" ht="18.75">
      <c r="B13" s="858"/>
      <c r="C13" s="794"/>
      <c r="D13" s="794"/>
      <c r="E13" s="794"/>
      <c r="F13" s="794"/>
    </row>
    <row r="15" spans="2:9" ht="21">
      <c r="B15" s="1904" t="s">
        <v>1757</v>
      </c>
      <c r="C15" s="1905"/>
      <c r="D15" s="1905"/>
      <c r="E15" s="1905"/>
      <c r="F15" s="1906"/>
      <c r="G15" s="859"/>
    </row>
    <row r="16" spans="2:9" ht="35.25" customHeight="1">
      <c r="B16" s="1000" t="s">
        <v>1758</v>
      </c>
      <c r="C16" s="712">
        <v>1</v>
      </c>
      <c r="D16" s="1907" t="s">
        <v>2293</v>
      </c>
      <c r="E16" s="1907"/>
      <c r="F16" s="1907"/>
      <c r="G16" s="859"/>
    </row>
    <row r="17" spans="2:8" ht="35.25" customHeight="1">
      <c r="B17" s="1000" t="s">
        <v>1759</v>
      </c>
      <c r="C17" s="723">
        <v>1</v>
      </c>
      <c r="D17" s="1907" t="s">
        <v>175</v>
      </c>
      <c r="E17" s="1907"/>
      <c r="F17" s="1907"/>
      <c r="G17" s="859"/>
    </row>
    <row r="18" spans="2:8">
      <c r="C18" s="859"/>
      <c r="D18" s="859"/>
      <c r="E18" s="859"/>
      <c r="F18" s="859"/>
      <c r="G18" s="859"/>
      <c r="H18" s="859"/>
    </row>
    <row r="22" spans="2:8" ht="18.75">
      <c r="D22" s="1903" t="s">
        <v>1163</v>
      </c>
      <c r="E22" s="1903"/>
      <c r="F22" s="1903"/>
    </row>
  </sheetData>
  <mergeCells count="11">
    <mergeCell ref="D22:F22"/>
    <mergeCell ref="B15:F15"/>
    <mergeCell ref="D16:F16"/>
    <mergeCell ref="D17:F17"/>
    <mergeCell ref="B2:F2"/>
    <mergeCell ref="B4:F4"/>
    <mergeCell ref="B7:B9"/>
    <mergeCell ref="C7:D7"/>
    <mergeCell ref="E7:F7"/>
    <mergeCell ref="C8:D8"/>
    <mergeCell ref="E8:F8"/>
  </mergeCells>
  <pageMargins left="0.70866141732283472" right="0.70866141732283472" top="0.74803149606299213" bottom="0.74803149606299213" header="0.31496062992125984" footer="0.31496062992125984"/>
  <pageSetup paperSize="9" scale="8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17"/>
  <sheetViews>
    <sheetView showGridLines="0" view="pageBreakPreview" zoomScale="60" zoomScaleNormal="55" workbookViewId="0">
      <selection activeCell="H11" sqref="H11"/>
    </sheetView>
  </sheetViews>
  <sheetFormatPr defaultRowHeight="15"/>
  <cols>
    <col min="1" max="1" width="3.42578125" style="1046" customWidth="1"/>
    <col min="2" max="2" width="11.7109375" style="1046" customWidth="1"/>
    <col min="3" max="3" width="34.85546875" style="1046" bestFit="1" customWidth="1"/>
    <col min="4" max="5" width="9.140625" style="1046"/>
    <col min="6" max="6" width="19.42578125" style="1046" bestFit="1" customWidth="1"/>
    <col min="7" max="7" width="23" style="1046" bestFit="1" customWidth="1"/>
    <col min="8" max="9" width="9.140625" style="1046"/>
    <col min="10" max="10" width="19.42578125" style="1046" bestFit="1" customWidth="1"/>
    <col min="11" max="11" width="19" style="1046" bestFit="1" customWidth="1"/>
    <col min="12" max="253" width="9.140625" style="1046"/>
    <col min="254" max="254" width="11.7109375" style="1046" customWidth="1"/>
    <col min="255" max="255" width="15.85546875" style="1046" customWidth="1"/>
    <col min="256" max="257" width="9.140625" style="1046"/>
    <col min="258" max="258" width="14.28515625" style="1046" customWidth="1"/>
    <col min="259" max="259" width="14.140625" style="1046" customWidth="1"/>
    <col min="260" max="261" width="9.140625" style="1046"/>
    <col min="262" max="262" width="16.140625" style="1046" customWidth="1"/>
    <col min="263" max="263" width="16.28515625" style="1046" customWidth="1"/>
    <col min="264" max="264" width="14" style="1046" customWidth="1"/>
    <col min="265" max="265" width="9.140625" style="1046"/>
    <col min="266" max="266" width="13.5703125" style="1046" customWidth="1"/>
    <col min="267" max="267" width="15.42578125" style="1046" customWidth="1"/>
    <col min="268" max="509" width="9.140625" style="1046"/>
    <col min="510" max="510" width="11.7109375" style="1046" customWidth="1"/>
    <col min="511" max="511" width="15.85546875" style="1046" customWidth="1"/>
    <col min="512" max="513" width="9.140625" style="1046"/>
    <col min="514" max="514" width="14.28515625" style="1046" customWidth="1"/>
    <col min="515" max="515" width="14.140625" style="1046" customWidth="1"/>
    <col min="516" max="517" width="9.140625" style="1046"/>
    <col min="518" max="518" width="16.140625" style="1046" customWidth="1"/>
    <col min="519" max="519" width="16.28515625" style="1046" customWidth="1"/>
    <col min="520" max="520" width="14" style="1046" customWidth="1"/>
    <col min="521" max="521" width="9.140625" style="1046"/>
    <col min="522" max="522" width="13.5703125" style="1046" customWidth="1"/>
    <col min="523" max="523" width="15.42578125" style="1046" customWidth="1"/>
    <col min="524" max="765" width="9.140625" style="1046"/>
    <col min="766" max="766" width="11.7109375" style="1046" customWidth="1"/>
    <col min="767" max="767" width="15.85546875" style="1046" customWidth="1"/>
    <col min="768" max="769" width="9.140625" style="1046"/>
    <col min="770" max="770" width="14.28515625" style="1046" customWidth="1"/>
    <col min="771" max="771" width="14.140625" style="1046" customWidth="1"/>
    <col min="772" max="773" width="9.140625" style="1046"/>
    <col min="774" max="774" width="16.140625" style="1046" customWidth="1"/>
    <col min="775" max="775" width="16.28515625" style="1046" customWidth="1"/>
    <col min="776" max="776" width="14" style="1046" customWidth="1"/>
    <col min="777" max="777" width="9.140625" style="1046"/>
    <col min="778" max="778" width="13.5703125" style="1046" customWidth="1"/>
    <col min="779" max="779" width="15.42578125" style="1046" customWidth="1"/>
    <col min="780" max="1021" width="9.140625" style="1046"/>
    <col min="1022" max="1022" width="11.7109375" style="1046" customWidth="1"/>
    <col min="1023" max="1023" width="15.85546875" style="1046" customWidth="1"/>
    <col min="1024" max="1025" width="9.140625" style="1046"/>
    <col min="1026" max="1026" width="14.28515625" style="1046" customWidth="1"/>
    <col min="1027" max="1027" width="14.140625" style="1046" customWidth="1"/>
    <col min="1028" max="1029" width="9.140625" style="1046"/>
    <col min="1030" max="1030" width="16.140625" style="1046" customWidth="1"/>
    <col min="1031" max="1031" width="16.28515625" style="1046" customWidth="1"/>
    <col min="1032" max="1032" width="14" style="1046" customWidth="1"/>
    <col min="1033" max="1033" width="9.140625" style="1046"/>
    <col min="1034" max="1034" width="13.5703125" style="1046" customWidth="1"/>
    <col min="1035" max="1035" width="15.42578125" style="1046" customWidth="1"/>
    <col min="1036" max="1277" width="9.140625" style="1046"/>
    <col min="1278" max="1278" width="11.7109375" style="1046" customWidth="1"/>
    <col min="1279" max="1279" width="15.85546875" style="1046" customWidth="1"/>
    <col min="1280" max="1281" width="9.140625" style="1046"/>
    <col min="1282" max="1282" width="14.28515625" style="1046" customWidth="1"/>
    <col min="1283" max="1283" width="14.140625" style="1046" customWidth="1"/>
    <col min="1284" max="1285" width="9.140625" style="1046"/>
    <col min="1286" max="1286" width="16.140625" style="1046" customWidth="1"/>
    <col min="1287" max="1287" width="16.28515625" style="1046" customWidth="1"/>
    <col min="1288" max="1288" width="14" style="1046" customWidth="1"/>
    <col min="1289" max="1289" width="9.140625" style="1046"/>
    <col min="1290" max="1290" width="13.5703125" style="1046" customWidth="1"/>
    <col min="1291" max="1291" width="15.42578125" style="1046" customWidth="1"/>
    <col min="1292" max="1533" width="9.140625" style="1046"/>
    <col min="1534" max="1534" width="11.7109375" style="1046" customWidth="1"/>
    <col min="1535" max="1535" width="15.85546875" style="1046" customWidth="1"/>
    <col min="1536" max="1537" width="9.140625" style="1046"/>
    <col min="1538" max="1538" width="14.28515625" style="1046" customWidth="1"/>
    <col min="1539" max="1539" width="14.140625" style="1046" customWidth="1"/>
    <col min="1540" max="1541" width="9.140625" style="1046"/>
    <col min="1542" max="1542" width="16.140625" style="1046" customWidth="1"/>
    <col min="1543" max="1543" width="16.28515625" style="1046" customWidth="1"/>
    <col min="1544" max="1544" width="14" style="1046" customWidth="1"/>
    <col min="1545" max="1545" width="9.140625" style="1046"/>
    <col min="1546" max="1546" width="13.5703125" style="1046" customWidth="1"/>
    <col min="1547" max="1547" width="15.42578125" style="1046" customWidth="1"/>
    <col min="1548" max="1789" width="9.140625" style="1046"/>
    <col min="1790" max="1790" width="11.7109375" style="1046" customWidth="1"/>
    <col min="1791" max="1791" width="15.85546875" style="1046" customWidth="1"/>
    <col min="1792" max="1793" width="9.140625" style="1046"/>
    <col min="1794" max="1794" width="14.28515625" style="1046" customWidth="1"/>
    <col min="1795" max="1795" width="14.140625" style="1046" customWidth="1"/>
    <col min="1796" max="1797" width="9.140625" style="1046"/>
    <col min="1798" max="1798" width="16.140625" style="1046" customWidth="1"/>
    <col min="1799" max="1799" width="16.28515625" style="1046" customWidth="1"/>
    <col min="1800" max="1800" width="14" style="1046" customWidth="1"/>
    <col min="1801" max="1801" width="9.140625" style="1046"/>
    <col min="1802" max="1802" width="13.5703125" style="1046" customWidth="1"/>
    <col min="1803" max="1803" width="15.42578125" style="1046" customWidth="1"/>
    <col min="1804" max="2045" width="9.140625" style="1046"/>
    <col min="2046" max="2046" width="11.7109375" style="1046" customWidth="1"/>
    <col min="2047" max="2047" width="15.85546875" style="1046" customWidth="1"/>
    <col min="2048" max="2049" width="9.140625" style="1046"/>
    <col min="2050" max="2050" width="14.28515625" style="1046" customWidth="1"/>
    <col min="2051" max="2051" width="14.140625" style="1046" customWidth="1"/>
    <col min="2052" max="2053" width="9.140625" style="1046"/>
    <col min="2054" max="2054" width="16.140625" style="1046" customWidth="1"/>
    <col min="2055" max="2055" width="16.28515625" style="1046" customWidth="1"/>
    <col min="2056" max="2056" width="14" style="1046" customWidth="1"/>
    <col min="2057" max="2057" width="9.140625" style="1046"/>
    <col min="2058" max="2058" width="13.5703125" style="1046" customWidth="1"/>
    <col min="2059" max="2059" width="15.42578125" style="1046" customWidth="1"/>
    <col min="2060" max="2301" width="9.140625" style="1046"/>
    <col min="2302" max="2302" width="11.7109375" style="1046" customWidth="1"/>
    <col min="2303" max="2303" width="15.85546875" style="1046" customWidth="1"/>
    <col min="2304" max="2305" width="9.140625" style="1046"/>
    <col min="2306" max="2306" width="14.28515625" style="1046" customWidth="1"/>
    <col min="2307" max="2307" width="14.140625" style="1046" customWidth="1"/>
    <col min="2308" max="2309" width="9.140625" style="1046"/>
    <col min="2310" max="2310" width="16.140625" style="1046" customWidth="1"/>
    <col min="2311" max="2311" width="16.28515625" style="1046" customWidth="1"/>
    <col min="2312" max="2312" width="14" style="1046" customWidth="1"/>
    <col min="2313" max="2313" width="9.140625" style="1046"/>
    <col min="2314" max="2314" width="13.5703125" style="1046" customWidth="1"/>
    <col min="2315" max="2315" width="15.42578125" style="1046" customWidth="1"/>
    <col min="2316" max="2557" width="9.140625" style="1046"/>
    <col min="2558" max="2558" width="11.7109375" style="1046" customWidth="1"/>
    <col min="2559" max="2559" width="15.85546875" style="1046" customWidth="1"/>
    <col min="2560" max="2561" width="9.140625" style="1046"/>
    <col min="2562" max="2562" width="14.28515625" style="1046" customWidth="1"/>
    <col min="2563" max="2563" width="14.140625" style="1046" customWidth="1"/>
    <col min="2564" max="2565" width="9.140625" style="1046"/>
    <col min="2566" max="2566" width="16.140625" style="1046" customWidth="1"/>
    <col min="2567" max="2567" width="16.28515625" style="1046" customWidth="1"/>
    <col min="2568" max="2568" width="14" style="1046" customWidth="1"/>
    <col min="2569" max="2569" width="9.140625" style="1046"/>
    <col min="2570" max="2570" width="13.5703125" style="1046" customWidth="1"/>
    <col min="2571" max="2571" width="15.42578125" style="1046" customWidth="1"/>
    <col min="2572" max="2813" width="9.140625" style="1046"/>
    <col min="2814" max="2814" width="11.7109375" style="1046" customWidth="1"/>
    <col min="2815" max="2815" width="15.85546875" style="1046" customWidth="1"/>
    <col min="2816" max="2817" width="9.140625" style="1046"/>
    <col min="2818" max="2818" width="14.28515625" style="1046" customWidth="1"/>
    <col min="2819" max="2819" width="14.140625" style="1046" customWidth="1"/>
    <col min="2820" max="2821" width="9.140625" style="1046"/>
    <col min="2822" max="2822" width="16.140625" style="1046" customWidth="1"/>
    <col min="2823" max="2823" width="16.28515625" style="1046" customWidth="1"/>
    <col min="2824" max="2824" width="14" style="1046" customWidth="1"/>
    <col min="2825" max="2825" width="9.140625" style="1046"/>
    <col min="2826" max="2826" width="13.5703125" style="1046" customWidth="1"/>
    <col min="2827" max="2827" width="15.42578125" style="1046" customWidth="1"/>
    <col min="2828" max="3069" width="9.140625" style="1046"/>
    <col min="3070" max="3070" width="11.7109375" style="1046" customWidth="1"/>
    <col min="3071" max="3071" width="15.85546875" style="1046" customWidth="1"/>
    <col min="3072" max="3073" width="9.140625" style="1046"/>
    <col min="3074" max="3074" width="14.28515625" style="1046" customWidth="1"/>
    <col min="3075" max="3075" width="14.140625" style="1046" customWidth="1"/>
    <col min="3076" max="3077" width="9.140625" style="1046"/>
    <col min="3078" max="3078" width="16.140625" style="1046" customWidth="1"/>
    <col min="3079" max="3079" width="16.28515625" style="1046" customWidth="1"/>
    <col min="3080" max="3080" width="14" style="1046" customWidth="1"/>
    <col min="3081" max="3081" width="9.140625" style="1046"/>
    <col min="3082" max="3082" width="13.5703125" style="1046" customWidth="1"/>
    <col min="3083" max="3083" width="15.42578125" style="1046" customWidth="1"/>
    <col min="3084" max="3325" width="9.140625" style="1046"/>
    <col min="3326" max="3326" width="11.7109375" style="1046" customWidth="1"/>
    <col min="3327" max="3327" width="15.85546875" style="1046" customWidth="1"/>
    <col min="3328" max="3329" width="9.140625" style="1046"/>
    <col min="3330" max="3330" width="14.28515625" style="1046" customWidth="1"/>
    <col min="3331" max="3331" width="14.140625" style="1046" customWidth="1"/>
    <col min="3332" max="3333" width="9.140625" style="1046"/>
    <col min="3334" max="3334" width="16.140625" style="1046" customWidth="1"/>
    <col min="3335" max="3335" width="16.28515625" style="1046" customWidth="1"/>
    <col min="3336" max="3336" width="14" style="1046" customWidth="1"/>
    <col min="3337" max="3337" width="9.140625" style="1046"/>
    <col min="3338" max="3338" width="13.5703125" style="1046" customWidth="1"/>
    <col min="3339" max="3339" width="15.42578125" style="1046" customWidth="1"/>
    <col min="3340" max="3581" width="9.140625" style="1046"/>
    <col min="3582" max="3582" width="11.7109375" style="1046" customWidth="1"/>
    <col min="3583" max="3583" width="15.85546875" style="1046" customWidth="1"/>
    <col min="3584" max="3585" width="9.140625" style="1046"/>
    <col min="3586" max="3586" width="14.28515625" style="1046" customWidth="1"/>
    <col min="3587" max="3587" width="14.140625" style="1046" customWidth="1"/>
    <col min="3588" max="3589" width="9.140625" style="1046"/>
    <col min="3590" max="3590" width="16.140625" style="1046" customWidth="1"/>
    <col min="3591" max="3591" width="16.28515625" style="1046" customWidth="1"/>
    <col min="3592" max="3592" width="14" style="1046" customWidth="1"/>
    <col min="3593" max="3593" width="9.140625" style="1046"/>
    <col min="3594" max="3594" width="13.5703125" style="1046" customWidth="1"/>
    <col min="3595" max="3595" width="15.42578125" style="1046" customWidth="1"/>
    <col min="3596" max="3837" width="9.140625" style="1046"/>
    <col min="3838" max="3838" width="11.7109375" style="1046" customWidth="1"/>
    <col min="3839" max="3839" width="15.85546875" style="1046" customWidth="1"/>
    <col min="3840" max="3841" width="9.140625" style="1046"/>
    <col min="3842" max="3842" width="14.28515625" style="1046" customWidth="1"/>
    <col min="3843" max="3843" width="14.140625" style="1046" customWidth="1"/>
    <col min="3844" max="3845" width="9.140625" style="1046"/>
    <col min="3846" max="3846" width="16.140625" style="1046" customWidth="1"/>
    <col min="3847" max="3847" width="16.28515625" style="1046" customWidth="1"/>
    <col min="3848" max="3848" width="14" style="1046" customWidth="1"/>
    <col min="3849" max="3849" width="9.140625" style="1046"/>
    <col min="3850" max="3850" width="13.5703125" style="1046" customWidth="1"/>
    <col min="3851" max="3851" width="15.42578125" style="1046" customWidth="1"/>
    <col min="3852" max="4093" width="9.140625" style="1046"/>
    <col min="4094" max="4094" width="11.7109375" style="1046" customWidth="1"/>
    <col min="4095" max="4095" width="15.85546875" style="1046" customWidth="1"/>
    <col min="4096" max="4097" width="9.140625" style="1046"/>
    <col min="4098" max="4098" width="14.28515625" style="1046" customWidth="1"/>
    <col min="4099" max="4099" width="14.140625" style="1046" customWidth="1"/>
    <col min="4100" max="4101" width="9.140625" style="1046"/>
    <col min="4102" max="4102" width="16.140625" style="1046" customWidth="1"/>
    <col min="4103" max="4103" width="16.28515625" style="1046" customWidth="1"/>
    <col min="4104" max="4104" width="14" style="1046" customWidth="1"/>
    <col min="4105" max="4105" width="9.140625" style="1046"/>
    <col min="4106" max="4106" width="13.5703125" style="1046" customWidth="1"/>
    <col min="4107" max="4107" width="15.42578125" style="1046" customWidth="1"/>
    <col min="4108" max="4349" width="9.140625" style="1046"/>
    <col min="4350" max="4350" width="11.7109375" style="1046" customWidth="1"/>
    <col min="4351" max="4351" width="15.85546875" style="1046" customWidth="1"/>
    <col min="4352" max="4353" width="9.140625" style="1046"/>
    <col min="4354" max="4354" width="14.28515625" style="1046" customWidth="1"/>
    <col min="4355" max="4355" width="14.140625" style="1046" customWidth="1"/>
    <col min="4356" max="4357" width="9.140625" style="1046"/>
    <col min="4358" max="4358" width="16.140625" style="1046" customWidth="1"/>
    <col min="4359" max="4359" width="16.28515625" style="1046" customWidth="1"/>
    <col min="4360" max="4360" width="14" style="1046" customWidth="1"/>
    <col min="4361" max="4361" width="9.140625" style="1046"/>
    <col min="4362" max="4362" width="13.5703125" style="1046" customWidth="1"/>
    <col min="4363" max="4363" width="15.42578125" style="1046" customWidth="1"/>
    <col min="4364" max="4605" width="9.140625" style="1046"/>
    <col min="4606" max="4606" width="11.7109375" style="1046" customWidth="1"/>
    <col min="4607" max="4607" width="15.85546875" style="1046" customWidth="1"/>
    <col min="4608" max="4609" width="9.140625" style="1046"/>
    <col min="4610" max="4610" width="14.28515625" style="1046" customWidth="1"/>
    <col min="4611" max="4611" width="14.140625" style="1046" customWidth="1"/>
    <col min="4612" max="4613" width="9.140625" style="1046"/>
    <col min="4614" max="4614" width="16.140625" style="1046" customWidth="1"/>
    <col min="4615" max="4615" width="16.28515625" style="1046" customWidth="1"/>
    <col min="4616" max="4616" width="14" style="1046" customWidth="1"/>
    <col min="4617" max="4617" width="9.140625" style="1046"/>
    <col min="4618" max="4618" width="13.5703125" style="1046" customWidth="1"/>
    <col min="4619" max="4619" width="15.42578125" style="1046" customWidth="1"/>
    <col min="4620" max="4861" width="9.140625" style="1046"/>
    <col min="4862" max="4862" width="11.7109375" style="1046" customWidth="1"/>
    <col min="4863" max="4863" width="15.85546875" style="1046" customWidth="1"/>
    <col min="4864" max="4865" width="9.140625" style="1046"/>
    <col min="4866" max="4866" width="14.28515625" style="1046" customWidth="1"/>
    <col min="4867" max="4867" width="14.140625" style="1046" customWidth="1"/>
    <col min="4868" max="4869" width="9.140625" style="1046"/>
    <col min="4870" max="4870" width="16.140625" style="1046" customWidth="1"/>
    <col min="4871" max="4871" width="16.28515625" style="1046" customWidth="1"/>
    <col min="4872" max="4872" width="14" style="1046" customWidth="1"/>
    <col min="4873" max="4873" width="9.140625" style="1046"/>
    <col min="4874" max="4874" width="13.5703125" style="1046" customWidth="1"/>
    <col min="4875" max="4875" width="15.42578125" style="1046" customWidth="1"/>
    <col min="4876" max="5117" width="9.140625" style="1046"/>
    <col min="5118" max="5118" width="11.7109375" style="1046" customWidth="1"/>
    <col min="5119" max="5119" width="15.85546875" style="1046" customWidth="1"/>
    <col min="5120" max="5121" width="9.140625" style="1046"/>
    <col min="5122" max="5122" width="14.28515625" style="1046" customWidth="1"/>
    <col min="5123" max="5123" width="14.140625" style="1046" customWidth="1"/>
    <col min="5124" max="5125" width="9.140625" style="1046"/>
    <col min="5126" max="5126" width="16.140625" style="1046" customWidth="1"/>
    <col min="5127" max="5127" width="16.28515625" style="1046" customWidth="1"/>
    <col min="5128" max="5128" width="14" style="1046" customWidth="1"/>
    <col min="5129" max="5129" width="9.140625" style="1046"/>
    <col min="5130" max="5130" width="13.5703125" style="1046" customWidth="1"/>
    <col min="5131" max="5131" width="15.42578125" style="1046" customWidth="1"/>
    <col min="5132" max="5373" width="9.140625" style="1046"/>
    <col min="5374" max="5374" width="11.7109375" style="1046" customWidth="1"/>
    <col min="5375" max="5375" width="15.85546875" style="1046" customWidth="1"/>
    <col min="5376" max="5377" width="9.140625" style="1046"/>
    <col min="5378" max="5378" width="14.28515625" style="1046" customWidth="1"/>
    <col min="5379" max="5379" width="14.140625" style="1046" customWidth="1"/>
    <col min="5380" max="5381" width="9.140625" style="1046"/>
    <col min="5382" max="5382" width="16.140625" style="1046" customWidth="1"/>
    <col min="5383" max="5383" width="16.28515625" style="1046" customWidth="1"/>
    <col min="5384" max="5384" width="14" style="1046" customWidth="1"/>
    <col min="5385" max="5385" width="9.140625" style="1046"/>
    <col min="5386" max="5386" width="13.5703125" style="1046" customWidth="1"/>
    <col min="5387" max="5387" width="15.42578125" style="1046" customWidth="1"/>
    <col min="5388" max="5629" width="9.140625" style="1046"/>
    <col min="5630" max="5630" width="11.7109375" style="1046" customWidth="1"/>
    <col min="5631" max="5631" width="15.85546875" style="1046" customWidth="1"/>
    <col min="5632" max="5633" width="9.140625" style="1046"/>
    <col min="5634" max="5634" width="14.28515625" style="1046" customWidth="1"/>
    <col min="5635" max="5635" width="14.140625" style="1046" customWidth="1"/>
    <col min="5636" max="5637" width="9.140625" style="1046"/>
    <col min="5638" max="5638" width="16.140625" style="1046" customWidth="1"/>
    <col min="5639" max="5639" width="16.28515625" style="1046" customWidth="1"/>
    <col min="5640" max="5640" width="14" style="1046" customWidth="1"/>
    <col min="5641" max="5641" width="9.140625" style="1046"/>
    <col min="5642" max="5642" width="13.5703125" style="1046" customWidth="1"/>
    <col min="5643" max="5643" width="15.42578125" style="1046" customWidth="1"/>
    <col min="5644" max="5885" width="9.140625" style="1046"/>
    <col min="5886" max="5886" width="11.7109375" style="1046" customWidth="1"/>
    <col min="5887" max="5887" width="15.85546875" style="1046" customWidth="1"/>
    <col min="5888" max="5889" width="9.140625" style="1046"/>
    <col min="5890" max="5890" width="14.28515625" style="1046" customWidth="1"/>
    <col min="5891" max="5891" width="14.140625" style="1046" customWidth="1"/>
    <col min="5892" max="5893" width="9.140625" style="1046"/>
    <col min="5894" max="5894" width="16.140625" style="1046" customWidth="1"/>
    <col min="5895" max="5895" width="16.28515625" style="1046" customWidth="1"/>
    <col min="5896" max="5896" width="14" style="1046" customWidth="1"/>
    <col min="5897" max="5897" width="9.140625" style="1046"/>
    <col min="5898" max="5898" width="13.5703125" style="1046" customWidth="1"/>
    <col min="5899" max="5899" width="15.42578125" style="1046" customWidth="1"/>
    <col min="5900" max="6141" width="9.140625" style="1046"/>
    <col min="6142" max="6142" width="11.7109375" style="1046" customWidth="1"/>
    <col min="6143" max="6143" width="15.85546875" style="1046" customWidth="1"/>
    <col min="6144" max="6145" width="9.140625" style="1046"/>
    <col min="6146" max="6146" width="14.28515625" style="1046" customWidth="1"/>
    <col min="6147" max="6147" width="14.140625" style="1046" customWidth="1"/>
    <col min="6148" max="6149" width="9.140625" style="1046"/>
    <col min="6150" max="6150" width="16.140625" style="1046" customWidth="1"/>
    <col min="6151" max="6151" width="16.28515625" style="1046" customWidth="1"/>
    <col min="6152" max="6152" width="14" style="1046" customWidth="1"/>
    <col min="6153" max="6153" width="9.140625" style="1046"/>
    <col min="6154" max="6154" width="13.5703125" style="1046" customWidth="1"/>
    <col min="6155" max="6155" width="15.42578125" style="1046" customWidth="1"/>
    <col min="6156" max="6397" width="9.140625" style="1046"/>
    <col min="6398" max="6398" width="11.7109375" style="1046" customWidth="1"/>
    <col min="6399" max="6399" width="15.85546875" style="1046" customWidth="1"/>
    <col min="6400" max="6401" width="9.140625" style="1046"/>
    <col min="6402" max="6402" width="14.28515625" style="1046" customWidth="1"/>
    <col min="6403" max="6403" width="14.140625" style="1046" customWidth="1"/>
    <col min="6404" max="6405" width="9.140625" style="1046"/>
    <col min="6406" max="6406" width="16.140625" style="1046" customWidth="1"/>
    <col min="6407" max="6407" width="16.28515625" style="1046" customWidth="1"/>
    <col min="6408" max="6408" width="14" style="1046" customWidth="1"/>
    <col min="6409" max="6409" width="9.140625" style="1046"/>
    <col min="6410" max="6410" width="13.5703125" style="1046" customWidth="1"/>
    <col min="6411" max="6411" width="15.42578125" style="1046" customWidth="1"/>
    <col min="6412" max="6653" width="9.140625" style="1046"/>
    <col min="6654" max="6654" width="11.7109375" style="1046" customWidth="1"/>
    <col min="6655" max="6655" width="15.85546875" style="1046" customWidth="1"/>
    <col min="6656" max="6657" width="9.140625" style="1046"/>
    <col min="6658" max="6658" width="14.28515625" style="1046" customWidth="1"/>
    <col min="6659" max="6659" width="14.140625" style="1046" customWidth="1"/>
    <col min="6660" max="6661" width="9.140625" style="1046"/>
    <col min="6662" max="6662" width="16.140625" style="1046" customWidth="1"/>
    <col min="6663" max="6663" width="16.28515625" style="1046" customWidth="1"/>
    <col min="6664" max="6664" width="14" style="1046" customWidth="1"/>
    <col min="6665" max="6665" width="9.140625" style="1046"/>
    <col min="6666" max="6666" width="13.5703125" style="1046" customWidth="1"/>
    <col min="6667" max="6667" width="15.42578125" style="1046" customWidth="1"/>
    <col min="6668" max="6909" width="9.140625" style="1046"/>
    <col min="6910" max="6910" width="11.7109375" style="1046" customWidth="1"/>
    <col min="6911" max="6911" width="15.85546875" style="1046" customWidth="1"/>
    <col min="6912" max="6913" width="9.140625" style="1046"/>
    <col min="6914" max="6914" width="14.28515625" style="1046" customWidth="1"/>
    <col min="6915" max="6915" width="14.140625" style="1046" customWidth="1"/>
    <col min="6916" max="6917" width="9.140625" style="1046"/>
    <col min="6918" max="6918" width="16.140625" style="1046" customWidth="1"/>
    <col min="6919" max="6919" width="16.28515625" style="1046" customWidth="1"/>
    <col min="6920" max="6920" width="14" style="1046" customWidth="1"/>
    <col min="6921" max="6921" width="9.140625" style="1046"/>
    <col min="6922" max="6922" width="13.5703125" style="1046" customWidth="1"/>
    <col min="6923" max="6923" width="15.42578125" style="1046" customWidth="1"/>
    <col min="6924" max="7165" width="9.140625" style="1046"/>
    <col min="7166" max="7166" width="11.7109375" style="1046" customWidth="1"/>
    <col min="7167" max="7167" width="15.85546875" style="1046" customWidth="1"/>
    <col min="7168" max="7169" width="9.140625" style="1046"/>
    <col min="7170" max="7170" width="14.28515625" style="1046" customWidth="1"/>
    <col min="7171" max="7171" width="14.140625" style="1046" customWidth="1"/>
    <col min="7172" max="7173" width="9.140625" style="1046"/>
    <col min="7174" max="7174" width="16.140625" style="1046" customWidth="1"/>
    <col min="7175" max="7175" width="16.28515625" style="1046" customWidth="1"/>
    <col min="7176" max="7176" width="14" style="1046" customWidth="1"/>
    <col min="7177" max="7177" width="9.140625" style="1046"/>
    <col min="7178" max="7178" width="13.5703125" style="1046" customWidth="1"/>
    <col min="7179" max="7179" width="15.42578125" style="1046" customWidth="1"/>
    <col min="7180" max="7421" width="9.140625" style="1046"/>
    <col min="7422" max="7422" width="11.7109375" style="1046" customWidth="1"/>
    <col min="7423" max="7423" width="15.85546875" style="1046" customWidth="1"/>
    <col min="7424" max="7425" width="9.140625" style="1046"/>
    <col min="7426" max="7426" width="14.28515625" style="1046" customWidth="1"/>
    <col min="7427" max="7427" width="14.140625" style="1046" customWidth="1"/>
    <col min="7428" max="7429" width="9.140625" style="1046"/>
    <col min="7430" max="7430" width="16.140625" style="1046" customWidth="1"/>
    <col min="7431" max="7431" width="16.28515625" style="1046" customWidth="1"/>
    <col min="7432" max="7432" width="14" style="1046" customWidth="1"/>
    <col min="7433" max="7433" width="9.140625" style="1046"/>
    <col min="7434" max="7434" width="13.5703125" style="1046" customWidth="1"/>
    <col min="7435" max="7435" width="15.42578125" style="1046" customWidth="1"/>
    <col min="7436" max="7677" width="9.140625" style="1046"/>
    <col min="7678" max="7678" width="11.7109375" style="1046" customWidth="1"/>
    <col min="7679" max="7679" width="15.85546875" style="1046" customWidth="1"/>
    <col min="7680" max="7681" width="9.140625" style="1046"/>
    <col min="7682" max="7682" width="14.28515625" style="1046" customWidth="1"/>
    <col min="7683" max="7683" width="14.140625" style="1046" customWidth="1"/>
    <col min="7684" max="7685" width="9.140625" style="1046"/>
    <col min="7686" max="7686" width="16.140625" style="1046" customWidth="1"/>
    <col min="7687" max="7687" width="16.28515625" style="1046" customWidth="1"/>
    <col min="7688" max="7688" width="14" style="1046" customWidth="1"/>
    <col min="7689" max="7689" width="9.140625" style="1046"/>
    <col min="7690" max="7690" width="13.5703125" style="1046" customWidth="1"/>
    <col min="7691" max="7691" width="15.42578125" style="1046" customWidth="1"/>
    <col min="7692" max="7933" width="9.140625" style="1046"/>
    <col min="7934" max="7934" width="11.7109375" style="1046" customWidth="1"/>
    <col min="7935" max="7935" width="15.85546875" style="1046" customWidth="1"/>
    <col min="7936" max="7937" width="9.140625" style="1046"/>
    <col min="7938" max="7938" width="14.28515625" style="1046" customWidth="1"/>
    <col min="7939" max="7939" width="14.140625" style="1046" customWidth="1"/>
    <col min="7940" max="7941" width="9.140625" style="1046"/>
    <col min="7942" max="7942" width="16.140625" style="1046" customWidth="1"/>
    <col min="7943" max="7943" width="16.28515625" style="1046" customWidth="1"/>
    <col min="7944" max="7944" width="14" style="1046" customWidth="1"/>
    <col min="7945" max="7945" width="9.140625" style="1046"/>
    <col min="7946" max="7946" width="13.5703125" style="1046" customWidth="1"/>
    <col min="7947" max="7947" width="15.42578125" style="1046" customWidth="1"/>
    <col min="7948" max="8189" width="9.140625" style="1046"/>
    <col min="8190" max="8190" width="11.7109375" style="1046" customWidth="1"/>
    <col min="8191" max="8191" width="15.85546875" style="1046" customWidth="1"/>
    <col min="8192" max="8193" width="9.140625" style="1046"/>
    <col min="8194" max="8194" width="14.28515625" style="1046" customWidth="1"/>
    <col min="8195" max="8195" width="14.140625" style="1046" customWidth="1"/>
    <col min="8196" max="8197" width="9.140625" style="1046"/>
    <col min="8198" max="8198" width="16.140625" style="1046" customWidth="1"/>
    <col min="8199" max="8199" width="16.28515625" style="1046" customWidth="1"/>
    <col min="8200" max="8200" width="14" style="1046" customWidth="1"/>
    <col min="8201" max="8201" width="9.140625" style="1046"/>
    <col min="8202" max="8202" width="13.5703125" style="1046" customWidth="1"/>
    <col min="8203" max="8203" width="15.42578125" style="1046" customWidth="1"/>
    <col min="8204" max="8445" width="9.140625" style="1046"/>
    <col min="8446" max="8446" width="11.7109375" style="1046" customWidth="1"/>
    <col min="8447" max="8447" width="15.85546875" style="1046" customWidth="1"/>
    <col min="8448" max="8449" width="9.140625" style="1046"/>
    <col min="8450" max="8450" width="14.28515625" style="1046" customWidth="1"/>
    <col min="8451" max="8451" width="14.140625" style="1046" customWidth="1"/>
    <col min="8452" max="8453" width="9.140625" style="1046"/>
    <col min="8454" max="8454" width="16.140625" style="1046" customWidth="1"/>
    <col min="8455" max="8455" width="16.28515625" style="1046" customWidth="1"/>
    <col min="8456" max="8456" width="14" style="1046" customWidth="1"/>
    <col min="8457" max="8457" width="9.140625" style="1046"/>
    <col min="8458" max="8458" width="13.5703125" style="1046" customWidth="1"/>
    <col min="8459" max="8459" width="15.42578125" style="1046" customWidth="1"/>
    <col min="8460" max="8701" width="9.140625" style="1046"/>
    <col min="8702" max="8702" width="11.7109375" style="1046" customWidth="1"/>
    <col min="8703" max="8703" width="15.85546875" style="1046" customWidth="1"/>
    <col min="8704" max="8705" width="9.140625" style="1046"/>
    <col min="8706" max="8706" width="14.28515625" style="1046" customWidth="1"/>
    <col min="8707" max="8707" width="14.140625" style="1046" customWidth="1"/>
    <col min="8708" max="8709" width="9.140625" style="1046"/>
    <col min="8710" max="8710" width="16.140625" style="1046" customWidth="1"/>
    <col min="8711" max="8711" width="16.28515625" style="1046" customWidth="1"/>
    <col min="8712" max="8712" width="14" style="1046" customWidth="1"/>
    <col min="8713" max="8713" width="9.140625" style="1046"/>
    <col min="8714" max="8714" width="13.5703125" style="1046" customWidth="1"/>
    <col min="8715" max="8715" width="15.42578125" style="1046" customWidth="1"/>
    <col min="8716" max="8957" width="9.140625" style="1046"/>
    <col min="8958" max="8958" width="11.7109375" style="1046" customWidth="1"/>
    <col min="8959" max="8959" width="15.85546875" style="1046" customWidth="1"/>
    <col min="8960" max="8961" width="9.140625" style="1046"/>
    <col min="8962" max="8962" width="14.28515625" style="1046" customWidth="1"/>
    <col min="8963" max="8963" width="14.140625" style="1046" customWidth="1"/>
    <col min="8964" max="8965" width="9.140625" style="1046"/>
    <col min="8966" max="8966" width="16.140625" style="1046" customWidth="1"/>
    <col min="8967" max="8967" width="16.28515625" style="1046" customWidth="1"/>
    <col min="8968" max="8968" width="14" style="1046" customWidth="1"/>
    <col min="8969" max="8969" width="9.140625" style="1046"/>
    <col min="8970" max="8970" width="13.5703125" style="1046" customWidth="1"/>
    <col min="8971" max="8971" width="15.42578125" style="1046" customWidth="1"/>
    <col min="8972" max="9213" width="9.140625" style="1046"/>
    <col min="9214" max="9214" width="11.7109375" style="1046" customWidth="1"/>
    <col min="9215" max="9215" width="15.85546875" style="1046" customWidth="1"/>
    <col min="9216" max="9217" width="9.140625" style="1046"/>
    <col min="9218" max="9218" width="14.28515625" style="1046" customWidth="1"/>
    <col min="9219" max="9219" width="14.140625" style="1046" customWidth="1"/>
    <col min="9220" max="9221" width="9.140625" style="1046"/>
    <col min="9222" max="9222" width="16.140625" style="1046" customWidth="1"/>
    <col min="9223" max="9223" width="16.28515625" style="1046" customWidth="1"/>
    <col min="9224" max="9224" width="14" style="1046" customWidth="1"/>
    <col min="9225" max="9225" width="9.140625" style="1046"/>
    <col min="9226" max="9226" width="13.5703125" style="1046" customWidth="1"/>
    <col min="9227" max="9227" width="15.42578125" style="1046" customWidth="1"/>
    <col min="9228" max="9469" width="9.140625" style="1046"/>
    <col min="9470" max="9470" width="11.7109375" style="1046" customWidth="1"/>
    <col min="9471" max="9471" width="15.85546875" style="1046" customWidth="1"/>
    <col min="9472" max="9473" width="9.140625" style="1046"/>
    <col min="9474" max="9474" width="14.28515625" style="1046" customWidth="1"/>
    <col min="9475" max="9475" width="14.140625" style="1046" customWidth="1"/>
    <col min="9476" max="9477" width="9.140625" style="1046"/>
    <col min="9478" max="9478" width="16.140625" style="1046" customWidth="1"/>
    <col min="9479" max="9479" width="16.28515625" style="1046" customWidth="1"/>
    <col min="9480" max="9480" width="14" style="1046" customWidth="1"/>
    <col min="9481" max="9481" width="9.140625" style="1046"/>
    <col min="9482" max="9482" width="13.5703125" style="1046" customWidth="1"/>
    <col min="9483" max="9483" width="15.42578125" style="1046" customWidth="1"/>
    <col min="9484" max="9725" width="9.140625" style="1046"/>
    <col min="9726" max="9726" width="11.7109375" style="1046" customWidth="1"/>
    <col min="9727" max="9727" width="15.85546875" style="1046" customWidth="1"/>
    <col min="9728" max="9729" width="9.140625" style="1046"/>
    <col min="9730" max="9730" width="14.28515625" style="1046" customWidth="1"/>
    <col min="9731" max="9731" width="14.140625" style="1046" customWidth="1"/>
    <col min="9732" max="9733" width="9.140625" style="1046"/>
    <col min="9734" max="9734" width="16.140625" style="1046" customWidth="1"/>
    <col min="9735" max="9735" width="16.28515625" style="1046" customWidth="1"/>
    <col min="9736" max="9736" width="14" style="1046" customWidth="1"/>
    <col min="9737" max="9737" width="9.140625" style="1046"/>
    <col min="9738" max="9738" width="13.5703125" style="1046" customWidth="1"/>
    <col min="9739" max="9739" width="15.42578125" style="1046" customWidth="1"/>
    <col min="9740" max="9981" width="9.140625" style="1046"/>
    <col min="9982" max="9982" width="11.7109375" style="1046" customWidth="1"/>
    <col min="9983" max="9983" width="15.85546875" style="1046" customWidth="1"/>
    <col min="9984" max="9985" width="9.140625" style="1046"/>
    <col min="9986" max="9986" width="14.28515625" style="1046" customWidth="1"/>
    <col min="9987" max="9987" width="14.140625" style="1046" customWidth="1"/>
    <col min="9988" max="9989" width="9.140625" style="1046"/>
    <col min="9990" max="9990" width="16.140625" style="1046" customWidth="1"/>
    <col min="9991" max="9991" width="16.28515625" style="1046" customWidth="1"/>
    <col min="9992" max="9992" width="14" style="1046" customWidth="1"/>
    <col min="9993" max="9993" width="9.140625" style="1046"/>
    <col min="9994" max="9994" width="13.5703125" style="1046" customWidth="1"/>
    <col min="9995" max="9995" width="15.42578125" style="1046" customWidth="1"/>
    <col min="9996" max="10237" width="9.140625" style="1046"/>
    <col min="10238" max="10238" width="11.7109375" style="1046" customWidth="1"/>
    <col min="10239" max="10239" width="15.85546875" style="1046" customWidth="1"/>
    <col min="10240" max="10241" width="9.140625" style="1046"/>
    <col min="10242" max="10242" width="14.28515625" style="1046" customWidth="1"/>
    <col min="10243" max="10243" width="14.140625" style="1046" customWidth="1"/>
    <col min="10244" max="10245" width="9.140625" style="1046"/>
    <col min="10246" max="10246" width="16.140625" style="1046" customWidth="1"/>
    <col min="10247" max="10247" width="16.28515625" style="1046" customWidth="1"/>
    <col min="10248" max="10248" width="14" style="1046" customWidth="1"/>
    <col min="10249" max="10249" width="9.140625" style="1046"/>
    <col min="10250" max="10250" width="13.5703125" style="1046" customWidth="1"/>
    <col min="10251" max="10251" width="15.42578125" style="1046" customWidth="1"/>
    <col min="10252" max="10493" width="9.140625" style="1046"/>
    <col min="10494" max="10494" width="11.7109375" style="1046" customWidth="1"/>
    <col min="10495" max="10495" width="15.85546875" style="1046" customWidth="1"/>
    <col min="10496" max="10497" width="9.140625" style="1046"/>
    <col min="10498" max="10498" width="14.28515625" style="1046" customWidth="1"/>
    <col min="10499" max="10499" width="14.140625" style="1046" customWidth="1"/>
    <col min="10500" max="10501" width="9.140625" style="1046"/>
    <col min="10502" max="10502" width="16.140625" style="1046" customWidth="1"/>
    <col min="10503" max="10503" width="16.28515625" style="1046" customWidth="1"/>
    <col min="10504" max="10504" width="14" style="1046" customWidth="1"/>
    <col min="10505" max="10505" width="9.140625" style="1046"/>
    <col min="10506" max="10506" width="13.5703125" style="1046" customWidth="1"/>
    <col min="10507" max="10507" width="15.42578125" style="1046" customWidth="1"/>
    <col min="10508" max="10749" width="9.140625" style="1046"/>
    <col min="10750" max="10750" width="11.7109375" style="1046" customWidth="1"/>
    <col min="10751" max="10751" width="15.85546875" style="1046" customWidth="1"/>
    <col min="10752" max="10753" width="9.140625" style="1046"/>
    <col min="10754" max="10754" width="14.28515625" style="1046" customWidth="1"/>
    <col min="10755" max="10755" width="14.140625" style="1046" customWidth="1"/>
    <col min="10756" max="10757" width="9.140625" style="1046"/>
    <col min="10758" max="10758" width="16.140625" style="1046" customWidth="1"/>
    <col min="10759" max="10759" width="16.28515625" style="1046" customWidth="1"/>
    <col min="10760" max="10760" width="14" style="1046" customWidth="1"/>
    <col min="10761" max="10761" width="9.140625" style="1046"/>
    <col min="10762" max="10762" width="13.5703125" style="1046" customWidth="1"/>
    <col min="10763" max="10763" width="15.42578125" style="1046" customWidth="1"/>
    <col min="10764" max="11005" width="9.140625" style="1046"/>
    <col min="11006" max="11006" width="11.7109375" style="1046" customWidth="1"/>
    <col min="11007" max="11007" width="15.85546875" style="1046" customWidth="1"/>
    <col min="11008" max="11009" width="9.140625" style="1046"/>
    <col min="11010" max="11010" width="14.28515625" style="1046" customWidth="1"/>
    <col min="11011" max="11011" width="14.140625" style="1046" customWidth="1"/>
    <col min="11012" max="11013" width="9.140625" style="1046"/>
    <col min="11014" max="11014" width="16.140625" style="1046" customWidth="1"/>
    <col min="11015" max="11015" width="16.28515625" style="1046" customWidth="1"/>
    <col min="11016" max="11016" width="14" style="1046" customWidth="1"/>
    <col min="11017" max="11017" width="9.140625" style="1046"/>
    <col min="11018" max="11018" width="13.5703125" style="1046" customWidth="1"/>
    <col min="11019" max="11019" width="15.42578125" style="1046" customWidth="1"/>
    <col min="11020" max="11261" width="9.140625" style="1046"/>
    <col min="11262" max="11262" width="11.7109375" style="1046" customWidth="1"/>
    <col min="11263" max="11263" width="15.85546875" style="1046" customWidth="1"/>
    <col min="11264" max="11265" width="9.140625" style="1046"/>
    <col min="11266" max="11266" width="14.28515625" style="1046" customWidth="1"/>
    <col min="11267" max="11267" width="14.140625" style="1046" customWidth="1"/>
    <col min="11268" max="11269" width="9.140625" style="1046"/>
    <col min="11270" max="11270" width="16.140625" style="1046" customWidth="1"/>
    <col min="11271" max="11271" width="16.28515625" style="1046" customWidth="1"/>
    <col min="11272" max="11272" width="14" style="1046" customWidth="1"/>
    <col min="11273" max="11273" width="9.140625" style="1046"/>
    <col min="11274" max="11274" width="13.5703125" style="1046" customWidth="1"/>
    <col min="11275" max="11275" width="15.42578125" style="1046" customWidth="1"/>
    <col min="11276" max="11517" width="9.140625" style="1046"/>
    <col min="11518" max="11518" width="11.7109375" style="1046" customWidth="1"/>
    <col min="11519" max="11519" width="15.85546875" style="1046" customWidth="1"/>
    <col min="11520" max="11521" width="9.140625" style="1046"/>
    <col min="11522" max="11522" width="14.28515625" style="1046" customWidth="1"/>
    <col min="11523" max="11523" width="14.140625" style="1046" customWidth="1"/>
    <col min="11524" max="11525" width="9.140625" style="1046"/>
    <col min="11526" max="11526" width="16.140625" style="1046" customWidth="1"/>
    <col min="11527" max="11527" width="16.28515625" style="1046" customWidth="1"/>
    <col min="11528" max="11528" width="14" style="1046" customWidth="1"/>
    <col min="11529" max="11529" width="9.140625" style="1046"/>
    <col min="11530" max="11530" width="13.5703125" style="1046" customWidth="1"/>
    <col min="11531" max="11531" width="15.42578125" style="1046" customWidth="1"/>
    <col min="11532" max="11773" width="9.140625" style="1046"/>
    <col min="11774" max="11774" width="11.7109375" style="1046" customWidth="1"/>
    <col min="11775" max="11775" width="15.85546875" style="1046" customWidth="1"/>
    <col min="11776" max="11777" width="9.140625" style="1046"/>
    <col min="11778" max="11778" width="14.28515625" style="1046" customWidth="1"/>
    <col min="11779" max="11779" width="14.140625" style="1046" customWidth="1"/>
    <col min="11780" max="11781" width="9.140625" style="1046"/>
    <col min="11782" max="11782" width="16.140625" style="1046" customWidth="1"/>
    <col min="11783" max="11783" width="16.28515625" style="1046" customWidth="1"/>
    <col min="11784" max="11784" width="14" style="1046" customWidth="1"/>
    <col min="11785" max="11785" width="9.140625" style="1046"/>
    <col min="11786" max="11786" width="13.5703125" style="1046" customWidth="1"/>
    <col min="11787" max="11787" width="15.42578125" style="1046" customWidth="1"/>
    <col min="11788" max="12029" width="9.140625" style="1046"/>
    <col min="12030" max="12030" width="11.7109375" style="1046" customWidth="1"/>
    <col min="12031" max="12031" width="15.85546875" style="1046" customWidth="1"/>
    <col min="12032" max="12033" width="9.140625" style="1046"/>
    <col min="12034" max="12034" width="14.28515625" style="1046" customWidth="1"/>
    <col min="12035" max="12035" width="14.140625" style="1046" customWidth="1"/>
    <col min="12036" max="12037" width="9.140625" style="1046"/>
    <col min="12038" max="12038" width="16.140625" style="1046" customWidth="1"/>
    <col min="12039" max="12039" width="16.28515625" style="1046" customWidth="1"/>
    <col min="12040" max="12040" width="14" style="1046" customWidth="1"/>
    <col min="12041" max="12041" width="9.140625" style="1046"/>
    <col min="12042" max="12042" width="13.5703125" style="1046" customWidth="1"/>
    <col min="12043" max="12043" width="15.42578125" style="1046" customWidth="1"/>
    <col min="12044" max="12285" width="9.140625" style="1046"/>
    <col min="12286" max="12286" width="11.7109375" style="1046" customWidth="1"/>
    <col min="12287" max="12287" width="15.85546875" style="1046" customWidth="1"/>
    <col min="12288" max="12289" width="9.140625" style="1046"/>
    <col min="12290" max="12290" width="14.28515625" style="1046" customWidth="1"/>
    <col min="12291" max="12291" width="14.140625" style="1046" customWidth="1"/>
    <col min="12292" max="12293" width="9.140625" style="1046"/>
    <col min="12294" max="12294" width="16.140625" style="1046" customWidth="1"/>
    <col min="12295" max="12295" width="16.28515625" style="1046" customWidth="1"/>
    <col min="12296" max="12296" width="14" style="1046" customWidth="1"/>
    <col min="12297" max="12297" width="9.140625" style="1046"/>
    <col min="12298" max="12298" width="13.5703125" style="1046" customWidth="1"/>
    <col min="12299" max="12299" width="15.42578125" style="1046" customWidth="1"/>
    <col min="12300" max="12541" width="9.140625" style="1046"/>
    <col min="12542" max="12542" width="11.7109375" style="1046" customWidth="1"/>
    <col min="12543" max="12543" width="15.85546875" style="1046" customWidth="1"/>
    <col min="12544" max="12545" width="9.140625" style="1046"/>
    <col min="12546" max="12546" width="14.28515625" style="1046" customWidth="1"/>
    <col min="12547" max="12547" width="14.140625" style="1046" customWidth="1"/>
    <col min="12548" max="12549" width="9.140625" style="1046"/>
    <col min="12550" max="12550" width="16.140625" style="1046" customWidth="1"/>
    <col min="12551" max="12551" width="16.28515625" style="1046" customWidth="1"/>
    <col min="12552" max="12552" width="14" style="1046" customWidth="1"/>
    <col min="12553" max="12553" width="9.140625" style="1046"/>
    <col min="12554" max="12554" width="13.5703125" style="1046" customWidth="1"/>
    <col min="12555" max="12555" width="15.42578125" style="1046" customWidth="1"/>
    <col min="12556" max="12797" width="9.140625" style="1046"/>
    <col min="12798" max="12798" width="11.7109375" style="1046" customWidth="1"/>
    <col min="12799" max="12799" width="15.85546875" style="1046" customWidth="1"/>
    <col min="12800" max="12801" width="9.140625" style="1046"/>
    <col min="12802" max="12802" width="14.28515625" style="1046" customWidth="1"/>
    <col min="12803" max="12803" width="14.140625" style="1046" customWidth="1"/>
    <col min="12804" max="12805" width="9.140625" style="1046"/>
    <col min="12806" max="12806" width="16.140625" style="1046" customWidth="1"/>
    <col min="12807" max="12807" width="16.28515625" style="1046" customWidth="1"/>
    <col min="12808" max="12808" width="14" style="1046" customWidth="1"/>
    <col min="12809" max="12809" width="9.140625" style="1046"/>
    <col min="12810" max="12810" width="13.5703125" style="1046" customWidth="1"/>
    <col min="12811" max="12811" width="15.42578125" style="1046" customWidth="1"/>
    <col min="12812" max="13053" width="9.140625" style="1046"/>
    <col min="13054" max="13054" width="11.7109375" style="1046" customWidth="1"/>
    <col min="13055" max="13055" width="15.85546875" style="1046" customWidth="1"/>
    <col min="13056" max="13057" width="9.140625" style="1046"/>
    <col min="13058" max="13058" width="14.28515625" style="1046" customWidth="1"/>
    <col min="13059" max="13059" width="14.140625" style="1046" customWidth="1"/>
    <col min="13060" max="13061" width="9.140625" style="1046"/>
    <col min="13062" max="13062" width="16.140625" style="1046" customWidth="1"/>
    <col min="13063" max="13063" width="16.28515625" style="1046" customWidth="1"/>
    <col min="13064" max="13064" width="14" style="1046" customWidth="1"/>
    <col min="13065" max="13065" width="9.140625" style="1046"/>
    <col min="13066" max="13066" width="13.5703125" style="1046" customWidth="1"/>
    <col min="13067" max="13067" width="15.42578125" style="1046" customWidth="1"/>
    <col min="13068" max="13309" width="9.140625" style="1046"/>
    <col min="13310" max="13310" width="11.7109375" style="1046" customWidth="1"/>
    <col min="13311" max="13311" width="15.85546875" style="1046" customWidth="1"/>
    <col min="13312" max="13313" width="9.140625" style="1046"/>
    <col min="13314" max="13314" width="14.28515625" style="1046" customWidth="1"/>
    <col min="13315" max="13315" width="14.140625" style="1046" customWidth="1"/>
    <col min="13316" max="13317" width="9.140625" style="1046"/>
    <col min="13318" max="13318" width="16.140625" style="1046" customWidth="1"/>
    <col min="13319" max="13319" width="16.28515625" style="1046" customWidth="1"/>
    <col min="13320" max="13320" width="14" style="1046" customWidth="1"/>
    <col min="13321" max="13321" width="9.140625" style="1046"/>
    <col min="13322" max="13322" width="13.5703125" style="1046" customWidth="1"/>
    <col min="13323" max="13323" width="15.42578125" style="1046" customWidth="1"/>
    <col min="13324" max="13565" width="9.140625" style="1046"/>
    <col min="13566" max="13566" width="11.7109375" style="1046" customWidth="1"/>
    <col min="13567" max="13567" width="15.85546875" style="1046" customWidth="1"/>
    <col min="13568" max="13569" width="9.140625" style="1046"/>
    <col min="13570" max="13570" width="14.28515625" style="1046" customWidth="1"/>
    <col min="13571" max="13571" width="14.140625" style="1046" customWidth="1"/>
    <col min="13572" max="13573" width="9.140625" style="1046"/>
    <col min="13574" max="13574" width="16.140625" style="1046" customWidth="1"/>
    <col min="13575" max="13575" width="16.28515625" style="1046" customWidth="1"/>
    <col min="13576" max="13576" width="14" style="1046" customWidth="1"/>
    <col min="13577" max="13577" width="9.140625" style="1046"/>
    <col min="13578" max="13578" width="13.5703125" style="1046" customWidth="1"/>
    <col min="13579" max="13579" width="15.42578125" style="1046" customWidth="1"/>
    <col min="13580" max="13821" width="9.140625" style="1046"/>
    <col min="13822" max="13822" width="11.7109375" style="1046" customWidth="1"/>
    <col min="13823" max="13823" width="15.85546875" style="1046" customWidth="1"/>
    <col min="13824" max="13825" width="9.140625" style="1046"/>
    <col min="13826" max="13826" width="14.28515625" style="1046" customWidth="1"/>
    <col min="13827" max="13827" width="14.140625" style="1046" customWidth="1"/>
    <col min="13828" max="13829" width="9.140625" style="1046"/>
    <col min="13830" max="13830" width="16.140625" style="1046" customWidth="1"/>
    <col min="13831" max="13831" width="16.28515625" style="1046" customWidth="1"/>
    <col min="13832" max="13832" width="14" style="1046" customWidth="1"/>
    <col min="13833" max="13833" width="9.140625" style="1046"/>
    <col min="13834" max="13834" width="13.5703125" style="1046" customWidth="1"/>
    <col min="13835" max="13835" width="15.42578125" style="1046" customWidth="1"/>
    <col min="13836" max="14077" width="9.140625" style="1046"/>
    <col min="14078" max="14078" width="11.7109375" style="1046" customWidth="1"/>
    <col min="14079" max="14079" width="15.85546875" style="1046" customWidth="1"/>
    <col min="14080" max="14081" width="9.140625" style="1046"/>
    <col min="14082" max="14082" width="14.28515625" style="1046" customWidth="1"/>
    <col min="14083" max="14083" width="14.140625" style="1046" customWidth="1"/>
    <col min="14084" max="14085" width="9.140625" style="1046"/>
    <col min="14086" max="14086" width="16.140625" style="1046" customWidth="1"/>
    <col min="14087" max="14087" width="16.28515625" style="1046" customWidth="1"/>
    <col min="14088" max="14088" width="14" style="1046" customWidth="1"/>
    <col min="14089" max="14089" width="9.140625" style="1046"/>
    <col min="14090" max="14090" width="13.5703125" style="1046" customWidth="1"/>
    <col min="14091" max="14091" width="15.42578125" style="1046" customWidth="1"/>
    <col min="14092" max="14333" width="9.140625" style="1046"/>
    <col min="14334" max="14334" width="11.7109375" style="1046" customWidth="1"/>
    <col min="14335" max="14335" width="15.85546875" style="1046" customWidth="1"/>
    <col min="14336" max="14337" width="9.140625" style="1046"/>
    <col min="14338" max="14338" width="14.28515625" style="1046" customWidth="1"/>
    <col min="14339" max="14339" width="14.140625" style="1046" customWidth="1"/>
    <col min="14340" max="14341" width="9.140625" style="1046"/>
    <col min="14342" max="14342" width="16.140625" style="1046" customWidth="1"/>
    <col min="14343" max="14343" width="16.28515625" style="1046" customWidth="1"/>
    <col min="14344" max="14344" width="14" style="1046" customWidth="1"/>
    <col min="14345" max="14345" width="9.140625" style="1046"/>
    <col min="14346" max="14346" width="13.5703125" style="1046" customWidth="1"/>
    <col min="14347" max="14347" width="15.42578125" style="1046" customWidth="1"/>
    <col min="14348" max="14589" width="9.140625" style="1046"/>
    <col min="14590" max="14590" width="11.7109375" style="1046" customWidth="1"/>
    <col min="14591" max="14591" width="15.85546875" style="1046" customWidth="1"/>
    <col min="14592" max="14593" width="9.140625" style="1046"/>
    <col min="14594" max="14594" width="14.28515625" style="1046" customWidth="1"/>
    <col min="14595" max="14595" width="14.140625" style="1046" customWidth="1"/>
    <col min="14596" max="14597" width="9.140625" style="1046"/>
    <col min="14598" max="14598" width="16.140625" style="1046" customWidth="1"/>
    <col min="14599" max="14599" width="16.28515625" style="1046" customWidth="1"/>
    <col min="14600" max="14600" width="14" style="1046" customWidth="1"/>
    <col min="14601" max="14601" width="9.140625" style="1046"/>
    <col min="14602" max="14602" width="13.5703125" style="1046" customWidth="1"/>
    <col min="14603" max="14603" width="15.42578125" style="1046" customWidth="1"/>
    <col min="14604" max="14845" width="9.140625" style="1046"/>
    <col min="14846" max="14846" width="11.7109375" style="1046" customWidth="1"/>
    <col min="14847" max="14847" width="15.85546875" style="1046" customWidth="1"/>
    <col min="14848" max="14849" width="9.140625" style="1046"/>
    <col min="14850" max="14850" width="14.28515625" style="1046" customWidth="1"/>
    <col min="14851" max="14851" width="14.140625" style="1046" customWidth="1"/>
    <col min="14852" max="14853" width="9.140625" style="1046"/>
    <col min="14854" max="14854" width="16.140625" style="1046" customWidth="1"/>
    <col min="14855" max="14855" width="16.28515625" style="1046" customWidth="1"/>
    <col min="14856" max="14856" width="14" style="1046" customWidth="1"/>
    <col min="14857" max="14857" width="9.140625" style="1046"/>
    <col min="14858" max="14858" width="13.5703125" style="1046" customWidth="1"/>
    <col min="14859" max="14859" width="15.42578125" style="1046" customWidth="1"/>
    <col min="14860" max="15101" width="9.140625" style="1046"/>
    <col min="15102" max="15102" width="11.7109375" style="1046" customWidth="1"/>
    <col min="15103" max="15103" width="15.85546875" style="1046" customWidth="1"/>
    <col min="15104" max="15105" width="9.140625" style="1046"/>
    <col min="15106" max="15106" width="14.28515625" style="1046" customWidth="1"/>
    <col min="15107" max="15107" width="14.140625" style="1046" customWidth="1"/>
    <col min="15108" max="15109" width="9.140625" style="1046"/>
    <col min="15110" max="15110" width="16.140625" style="1046" customWidth="1"/>
    <col min="15111" max="15111" width="16.28515625" style="1046" customWidth="1"/>
    <col min="15112" max="15112" width="14" style="1046" customWidth="1"/>
    <col min="15113" max="15113" width="9.140625" style="1046"/>
    <col min="15114" max="15114" width="13.5703125" style="1046" customWidth="1"/>
    <col min="15115" max="15115" width="15.42578125" style="1046" customWidth="1"/>
    <col min="15116" max="15357" width="9.140625" style="1046"/>
    <col min="15358" max="15358" width="11.7109375" style="1046" customWidth="1"/>
    <col min="15359" max="15359" width="15.85546875" style="1046" customWidth="1"/>
    <col min="15360" max="15361" width="9.140625" style="1046"/>
    <col min="15362" max="15362" width="14.28515625" style="1046" customWidth="1"/>
    <col min="15363" max="15363" width="14.140625" style="1046" customWidth="1"/>
    <col min="15364" max="15365" width="9.140625" style="1046"/>
    <col min="15366" max="15366" width="16.140625" style="1046" customWidth="1"/>
    <col min="15367" max="15367" width="16.28515625" style="1046" customWidth="1"/>
    <col min="15368" max="15368" width="14" style="1046" customWidth="1"/>
    <col min="15369" max="15369" width="9.140625" style="1046"/>
    <col min="15370" max="15370" width="13.5703125" style="1046" customWidth="1"/>
    <col min="15371" max="15371" width="15.42578125" style="1046" customWidth="1"/>
    <col min="15372" max="15613" width="9.140625" style="1046"/>
    <col min="15614" max="15614" width="11.7109375" style="1046" customWidth="1"/>
    <col min="15615" max="15615" width="15.85546875" style="1046" customWidth="1"/>
    <col min="15616" max="15617" width="9.140625" style="1046"/>
    <col min="15618" max="15618" width="14.28515625" style="1046" customWidth="1"/>
    <col min="15619" max="15619" width="14.140625" style="1046" customWidth="1"/>
    <col min="15620" max="15621" width="9.140625" style="1046"/>
    <col min="15622" max="15622" width="16.140625" style="1046" customWidth="1"/>
    <col min="15623" max="15623" width="16.28515625" style="1046" customWidth="1"/>
    <col min="15624" max="15624" width="14" style="1046" customWidth="1"/>
    <col min="15625" max="15625" width="9.140625" style="1046"/>
    <col min="15626" max="15626" width="13.5703125" style="1046" customWidth="1"/>
    <col min="15627" max="15627" width="15.42578125" style="1046" customWidth="1"/>
    <col min="15628" max="15869" width="9.140625" style="1046"/>
    <col min="15870" max="15870" width="11.7109375" style="1046" customWidth="1"/>
    <col min="15871" max="15871" width="15.85546875" style="1046" customWidth="1"/>
    <col min="15872" max="15873" width="9.140625" style="1046"/>
    <col min="15874" max="15874" width="14.28515625" style="1046" customWidth="1"/>
    <col min="15875" max="15875" width="14.140625" style="1046" customWidth="1"/>
    <col min="15876" max="15877" width="9.140625" style="1046"/>
    <col min="15878" max="15878" width="16.140625" style="1046" customWidth="1"/>
    <col min="15879" max="15879" width="16.28515625" style="1046" customWidth="1"/>
    <col min="15880" max="15880" width="14" style="1046" customWidth="1"/>
    <col min="15881" max="15881" width="9.140625" style="1046"/>
    <col min="15882" max="15882" width="13.5703125" style="1046" customWidth="1"/>
    <col min="15883" max="15883" width="15.42578125" style="1046" customWidth="1"/>
    <col min="15884" max="16125" width="9.140625" style="1046"/>
    <col min="16126" max="16126" width="11.7109375" style="1046" customWidth="1"/>
    <col min="16127" max="16127" width="15.85546875" style="1046" customWidth="1"/>
    <col min="16128" max="16129" width="9.140625" style="1046"/>
    <col min="16130" max="16130" width="14.28515625" style="1046" customWidth="1"/>
    <col min="16131" max="16131" width="14.140625" style="1046" customWidth="1"/>
    <col min="16132" max="16133" width="9.140625" style="1046"/>
    <col min="16134" max="16134" width="16.140625" style="1046" customWidth="1"/>
    <col min="16135" max="16135" width="16.28515625" style="1046" customWidth="1"/>
    <col min="16136" max="16136" width="14" style="1046" customWidth="1"/>
    <col min="16137" max="16137" width="9.140625" style="1046"/>
    <col min="16138" max="16138" width="13.5703125" style="1046" customWidth="1"/>
    <col min="16139" max="16139" width="15.42578125" style="1046" customWidth="1"/>
    <col min="16140" max="16384" width="9.140625" style="1046"/>
  </cols>
  <sheetData>
    <row r="1" spans="2:11" ht="21" customHeight="1"/>
    <row r="2" spans="2:11" ht="21" customHeight="1">
      <c r="B2" s="1912" t="s">
        <v>1107</v>
      </c>
      <c r="C2" s="1912"/>
      <c r="D2" s="1912"/>
      <c r="E2" s="1912"/>
      <c r="F2" s="1912"/>
      <c r="G2" s="1912"/>
      <c r="H2" s="1912"/>
      <c r="I2" s="1912"/>
      <c r="J2" s="1912"/>
      <c r="K2" s="1912"/>
    </row>
    <row r="3" spans="2:11" ht="21" customHeight="1"/>
    <row r="4" spans="2:11" ht="21" customHeight="1">
      <c r="B4" s="1913" t="s">
        <v>1233</v>
      </c>
      <c r="C4" s="1913"/>
      <c r="D4" s="1913"/>
      <c r="E4" s="1913"/>
      <c r="F4" s="1913"/>
      <c r="G4" s="1913"/>
      <c r="H4" s="1913"/>
    </row>
    <row r="5" spans="2:11" ht="18.75">
      <c r="B5" s="1914" t="s">
        <v>1108</v>
      </c>
      <c r="C5" s="1914"/>
      <c r="D5" s="1914"/>
      <c r="E5" s="1914"/>
      <c r="F5" s="1914"/>
      <c r="G5" s="1914"/>
      <c r="H5" s="1914"/>
      <c r="J5" s="1915" t="s">
        <v>1109</v>
      </c>
      <c r="K5" s="1915"/>
    </row>
    <row r="6" spans="2:11" ht="33" customHeight="1"/>
    <row r="7" spans="2:11" ht="32.25" customHeight="1">
      <c r="B7" s="1047" t="s">
        <v>1110</v>
      </c>
      <c r="C7" s="1047" t="s">
        <v>464</v>
      </c>
      <c r="D7" s="1916" t="s">
        <v>865</v>
      </c>
      <c r="E7" s="1917"/>
      <c r="F7" s="1917"/>
      <c r="G7" s="1918"/>
      <c r="H7" s="1916" t="s">
        <v>864</v>
      </c>
      <c r="I7" s="1917"/>
      <c r="J7" s="1917"/>
      <c r="K7" s="1918"/>
    </row>
    <row r="8" spans="2:11" ht="73.5" customHeight="1">
      <c r="B8" s="1047"/>
      <c r="C8" s="1047"/>
      <c r="D8" s="1048" t="s">
        <v>1112</v>
      </c>
      <c r="E8" s="1048" t="s">
        <v>1113</v>
      </c>
      <c r="F8" s="1048" t="s">
        <v>465</v>
      </c>
      <c r="G8" s="1048" t="s">
        <v>1114</v>
      </c>
      <c r="H8" s="1048" t="s">
        <v>1112</v>
      </c>
      <c r="I8" s="1048" t="s">
        <v>1113</v>
      </c>
      <c r="J8" s="1048" t="s">
        <v>465</v>
      </c>
      <c r="K8" s="1048" t="s">
        <v>1114</v>
      </c>
    </row>
    <row r="9" spans="2:11" ht="21" customHeight="1">
      <c r="B9" s="1047"/>
      <c r="C9" s="1047"/>
      <c r="D9" s="1047"/>
      <c r="E9" s="1047"/>
      <c r="F9" s="1047"/>
      <c r="G9" s="1047"/>
      <c r="H9" s="1047"/>
      <c r="I9" s="1047"/>
      <c r="J9" s="1047"/>
      <c r="K9" s="1047"/>
    </row>
    <row r="10" spans="2:11" ht="18.75">
      <c r="B10" s="1049">
        <v>1</v>
      </c>
      <c r="C10" s="1050" t="s">
        <v>1115</v>
      </c>
      <c r="D10" s="1047"/>
      <c r="E10" s="1047"/>
      <c r="F10" s="1047"/>
      <c r="G10" s="1047"/>
      <c r="H10" s="1047"/>
      <c r="I10" s="1047"/>
      <c r="J10" s="1047"/>
      <c r="K10" s="1047"/>
    </row>
    <row r="11" spans="2:11" ht="18.75">
      <c r="B11" s="1049">
        <v>2</v>
      </c>
      <c r="C11" s="1050" t="s">
        <v>1116</v>
      </c>
      <c r="D11" s="919">
        <v>72</v>
      </c>
      <c r="E11" s="919">
        <v>174</v>
      </c>
      <c r="F11" s="1051">
        <v>47.195833333333333</v>
      </c>
      <c r="G11" s="1052">
        <f>F11/D11</f>
        <v>0.65549768518518514</v>
      </c>
      <c r="H11" s="919">
        <v>76</v>
      </c>
      <c r="I11" s="919">
        <v>100</v>
      </c>
      <c r="J11" s="1051">
        <v>23.362500000000008</v>
      </c>
      <c r="K11" s="1052">
        <f>J11/H11</f>
        <v>0.30740131578947377</v>
      </c>
    </row>
    <row r="12" spans="2:11" ht="18.75">
      <c r="B12" s="1049">
        <v>3</v>
      </c>
      <c r="C12" s="1050" t="s">
        <v>1117</v>
      </c>
      <c r="D12" s="919">
        <v>316</v>
      </c>
      <c r="E12" s="919">
        <v>590</v>
      </c>
      <c r="F12" s="1051">
        <v>202.60347222222222</v>
      </c>
      <c r="G12" s="1052">
        <f>F12/D12</f>
        <v>0.64115022855133619</v>
      </c>
      <c r="H12" s="919">
        <v>332</v>
      </c>
      <c r="I12" s="919">
        <v>265</v>
      </c>
      <c r="J12" s="1051">
        <v>93.064583333333346</v>
      </c>
      <c r="K12" s="1052">
        <f>J12/H12</f>
        <v>0.28031501004016068</v>
      </c>
    </row>
    <row r="17" spans="9:11" ht="18.75">
      <c r="I17" s="1911" t="s">
        <v>1163</v>
      </c>
      <c r="J17" s="1911"/>
      <c r="K17" s="1911"/>
    </row>
  </sheetData>
  <mergeCells count="7">
    <mergeCell ref="I17:K17"/>
    <mergeCell ref="B2:K2"/>
    <mergeCell ref="B4:H4"/>
    <mergeCell ref="B5:H5"/>
    <mergeCell ref="J5:K5"/>
    <mergeCell ref="D7:G7"/>
    <mergeCell ref="H7:K7"/>
  </mergeCells>
  <pageMargins left="0.70866141732283472" right="0.70866141732283472" top="0.74803149606299213" bottom="0.74803149606299213" header="0.31496062992125984" footer="0.31496062992125984"/>
  <pageSetup paperSize="9" scale="74"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G174"/>
  <sheetViews>
    <sheetView showGridLines="0" view="pageBreakPreview" zoomScale="55" zoomScaleNormal="70" zoomScaleSheetLayoutView="55" workbookViewId="0">
      <selection activeCell="C20" sqref="C20"/>
    </sheetView>
  </sheetViews>
  <sheetFormatPr defaultRowHeight="15"/>
  <cols>
    <col min="1" max="1" width="2.42578125" style="254" customWidth="1"/>
    <col min="2" max="2" width="9" style="254" customWidth="1"/>
    <col min="3" max="3" width="82.7109375" style="254" bestFit="1" customWidth="1"/>
    <col min="4" max="7" width="14.5703125" style="254" customWidth="1"/>
    <col min="8" max="217" width="9.140625" style="254"/>
    <col min="218" max="218" width="9" style="254" customWidth="1"/>
    <col min="219" max="219" width="68.28515625" style="254" customWidth="1"/>
    <col min="220" max="473" width="9.140625" style="254"/>
    <col min="474" max="474" width="9" style="254" customWidth="1"/>
    <col min="475" max="475" width="68.28515625" style="254" customWidth="1"/>
    <col min="476" max="729" width="9.140625" style="254"/>
    <col min="730" max="730" width="9" style="254" customWidth="1"/>
    <col min="731" max="731" width="68.28515625" style="254" customWidth="1"/>
    <col min="732" max="985" width="9.140625" style="254"/>
    <col min="986" max="986" width="9" style="254" customWidth="1"/>
    <col min="987" max="987" width="68.28515625" style="254" customWidth="1"/>
    <col min="988" max="1241" width="9.140625" style="254"/>
    <col min="1242" max="1242" width="9" style="254" customWidth="1"/>
    <col min="1243" max="1243" width="68.28515625" style="254" customWidth="1"/>
    <col min="1244" max="1497" width="9.140625" style="254"/>
    <col min="1498" max="1498" width="9" style="254" customWidth="1"/>
    <col min="1499" max="1499" width="68.28515625" style="254" customWidth="1"/>
    <col min="1500" max="1753" width="9.140625" style="254"/>
    <col min="1754" max="1754" width="9" style="254" customWidth="1"/>
    <col min="1755" max="1755" width="68.28515625" style="254" customWidth="1"/>
    <col min="1756" max="2009" width="9.140625" style="254"/>
    <col min="2010" max="2010" width="9" style="254" customWidth="1"/>
    <col min="2011" max="2011" width="68.28515625" style="254" customWidth="1"/>
    <col min="2012" max="2265" width="9.140625" style="254"/>
    <col min="2266" max="2266" width="9" style="254" customWidth="1"/>
    <col min="2267" max="2267" width="68.28515625" style="254" customWidth="1"/>
    <col min="2268" max="2521" width="9.140625" style="254"/>
    <col min="2522" max="2522" width="9" style="254" customWidth="1"/>
    <col min="2523" max="2523" width="68.28515625" style="254" customWidth="1"/>
    <col min="2524" max="2777" width="9.140625" style="254"/>
    <col min="2778" max="2778" width="9" style="254" customWidth="1"/>
    <col min="2779" max="2779" width="68.28515625" style="254" customWidth="1"/>
    <col min="2780" max="3033" width="9.140625" style="254"/>
    <col min="3034" max="3034" width="9" style="254" customWidth="1"/>
    <col min="3035" max="3035" width="68.28515625" style="254" customWidth="1"/>
    <col min="3036" max="3289" width="9.140625" style="254"/>
    <col min="3290" max="3290" width="9" style="254" customWidth="1"/>
    <col min="3291" max="3291" width="68.28515625" style="254" customWidth="1"/>
    <col min="3292" max="3545" width="9.140625" style="254"/>
    <col min="3546" max="3546" width="9" style="254" customWidth="1"/>
    <col min="3547" max="3547" width="68.28515625" style="254" customWidth="1"/>
    <col min="3548" max="3801" width="9.140625" style="254"/>
    <col min="3802" max="3802" width="9" style="254" customWidth="1"/>
    <col min="3803" max="3803" width="68.28515625" style="254" customWidth="1"/>
    <col min="3804" max="4057" width="9.140625" style="254"/>
    <col min="4058" max="4058" width="9" style="254" customWidth="1"/>
    <col min="4059" max="4059" width="68.28515625" style="254" customWidth="1"/>
    <col min="4060" max="4313" width="9.140625" style="254"/>
    <col min="4314" max="4314" width="9" style="254" customWidth="1"/>
    <col min="4315" max="4315" width="68.28515625" style="254" customWidth="1"/>
    <col min="4316" max="4569" width="9.140625" style="254"/>
    <col min="4570" max="4570" width="9" style="254" customWidth="1"/>
    <col min="4571" max="4571" width="68.28515625" style="254" customWidth="1"/>
    <col min="4572" max="4825" width="9.140625" style="254"/>
    <col min="4826" max="4826" width="9" style="254" customWidth="1"/>
    <col min="4827" max="4827" width="68.28515625" style="254" customWidth="1"/>
    <col min="4828" max="5081" width="9.140625" style="254"/>
    <col min="5082" max="5082" width="9" style="254" customWidth="1"/>
    <col min="5083" max="5083" width="68.28515625" style="254" customWidth="1"/>
    <col min="5084" max="5337" width="9.140625" style="254"/>
    <col min="5338" max="5338" width="9" style="254" customWidth="1"/>
    <col min="5339" max="5339" width="68.28515625" style="254" customWidth="1"/>
    <col min="5340" max="5593" width="9.140625" style="254"/>
    <col min="5594" max="5594" width="9" style="254" customWidth="1"/>
    <col min="5595" max="5595" width="68.28515625" style="254" customWidth="1"/>
    <col min="5596" max="5849" width="9.140625" style="254"/>
    <col min="5850" max="5850" width="9" style="254" customWidth="1"/>
    <col min="5851" max="5851" width="68.28515625" style="254" customWidth="1"/>
    <col min="5852" max="6105" width="9.140625" style="254"/>
    <col min="6106" max="6106" width="9" style="254" customWidth="1"/>
    <col min="6107" max="6107" width="68.28515625" style="254" customWidth="1"/>
    <col min="6108" max="6361" width="9.140625" style="254"/>
    <col min="6362" max="6362" width="9" style="254" customWidth="1"/>
    <col min="6363" max="6363" width="68.28515625" style="254" customWidth="1"/>
    <col min="6364" max="6617" width="9.140625" style="254"/>
    <col min="6618" max="6618" width="9" style="254" customWidth="1"/>
    <col min="6619" max="6619" width="68.28515625" style="254" customWidth="1"/>
    <col min="6620" max="6873" width="9.140625" style="254"/>
    <col min="6874" max="6874" width="9" style="254" customWidth="1"/>
    <col min="6875" max="6875" width="68.28515625" style="254" customWidth="1"/>
    <col min="6876" max="7129" width="9.140625" style="254"/>
    <col min="7130" max="7130" width="9" style="254" customWidth="1"/>
    <col min="7131" max="7131" width="68.28515625" style="254" customWidth="1"/>
    <col min="7132" max="7385" width="9.140625" style="254"/>
    <col min="7386" max="7386" width="9" style="254" customWidth="1"/>
    <col min="7387" max="7387" width="68.28515625" style="254" customWidth="1"/>
    <col min="7388" max="7641" width="9.140625" style="254"/>
    <col min="7642" max="7642" width="9" style="254" customWidth="1"/>
    <col min="7643" max="7643" width="68.28515625" style="254" customWidth="1"/>
    <col min="7644" max="7897" width="9.140625" style="254"/>
    <col min="7898" max="7898" width="9" style="254" customWidth="1"/>
    <col min="7899" max="7899" width="68.28515625" style="254" customWidth="1"/>
    <col min="7900" max="8153" width="9.140625" style="254"/>
    <col min="8154" max="8154" width="9" style="254" customWidth="1"/>
    <col min="8155" max="8155" width="68.28515625" style="254" customWidth="1"/>
    <col min="8156" max="8409" width="9.140625" style="254"/>
    <col min="8410" max="8410" width="9" style="254" customWidth="1"/>
    <col min="8411" max="8411" width="68.28515625" style="254" customWidth="1"/>
    <col min="8412" max="8665" width="9.140625" style="254"/>
    <col min="8666" max="8666" width="9" style="254" customWidth="1"/>
    <col min="8667" max="8667" width="68.28515625" style="254" customWidth="1"/>
    <col min="8668" max="8921" width="9.140625" style="254"/>
    <col min="8922" max="8922" width="9" style="254" customWidth="1"/>
    <col min="8923" max="8923" width="68.28515625" style="254" customWidth="1"/>
    <col min="8924" max="9177" width="9.140625" style="254"/>
    <col min="9178" max="9178" width="9" style="254" customWidth="1"/>
    <col min="9179" max="9179" width="68.28515625" style="254" customWidth="1"/>
    <col min="9180" max="9433" width="9.140625" style="254"/>
    <col min="9434" max="9434" width="9" style="254" customWidth="1"/>
    <col min="9435" max="9435" width="68.28515625" style="254" customWidth="1"/>
    <col min="9436" max="9689" width="9.140625" style="254"/>
    <col min="9690" max="9690" width="9" style="254" customWidth="1"/>
    <col min="9691" max="9691" width="68.28515625" style="254" customWidth="1"/>
    <col min="9692" max="9945" width="9.140625" style="254"/>
    <col min="9946" max="9946" width="9" style="254" customWidth="1"/>
    <col min="9947" max="9947" width="68.28515625" style="254" customWidth="1"/>
    <col min="9948" max="10201" width="9.140625" style="254"/>
    <col min="10202" max="10202" width="9" style="254" customWidth="1"/>
    <col min="10203" max="10203" width="68.28515625" style="254" customWidth="1"/>
    <col min="10204" max="10457" width="9.140625" style="254"/>
    <col min="10458" max="10458" width="9" style="254" customWidth="1"/>
    <col min="10459" max="10459" width="68.28515625" style="254" customWidth="1"/>
    <col min="10460" max="10713" width="9.140625" style="254"/>
    <col min="10714" max="10714" width="9" style="254" customWidth="1"/>
    <col min="10715" max="10715" width="68.28515625" style="254" customWidth="1"/>
    <col min="10716" max="10969" width="9.140625" style="254"/>
    <col min="10970" max="10970" width="9" style="254" customWidth="1"/>
    <col min="10971" max="10971" width="68.28515625" style="254" customWidth="1"/>
    <col min="10972" max="11225" width="9.140625" style="254"/>
    <col min="11226" max="11226" width="9" style="254" customWidth="1"/>
    <col min="11227" max="11227" width="68.28515625" style="254" customWidth="1"/>
    <col min="11228" max="11481" width="9.140625" style="254"/>
    <col min="11482" max="11482" width="9" style="254" customWidth="1"/>
    <col min="11483" max="11483" width="68.28515625" style="254" customWidth="1"/>
    <col min="11484" max="11737" width="9.140625" style="254"/>
    <col min="11738" max="11738" width="9" style="254" customWidth="1"/>
    <col min="11739" max="11739" width="68.28515625" style="254" customWidth="1"/>
    <col min="11740" max="11993" width="9.140625" style="254"/>
    <col min="11994" max="11994" width="9" style="254" customWidth="1"/>
    <col min="11995" max="11995" width="68.28515625" style="254" customWidth="1"/>
    <col min="11996" max="12249" width="9.140625" style="254"/>
    <col min="12250" max="12250" width="9" style="254" customWidth="1"/>
    <col min="12251" max="12251" width="68.28515625" style="254" customWidth="1"/>
    <col min="12252" max="12505" width="9.140625" style="254"/>
    <col min="12506" max="12506" width="9" style="254" customWidth="1"/>
    <col min="12507" max="12507" width="68.28515625" style="254" customWidth="1"/>
    <col min="12508" max="12761" width="9.140625" style="254"/>
    <col min="12762" max="12762" width="9" style="254" customWidth="1"/>
    <col min="12763" max="12763" width="68.28515625" style="254" customWidth="1"/>
    <col min="12764" max="13017" width="9.140625" style="254"/>
    <col min="13018" max="13018" width="9" style="254" customWidth="1"/>
    <col min="13019" max="13019" width="68.28515625" style="254" customWidth="1"/>
    <col min="13020" max="13273" width="9.140625" style="254"/>
    <col min="13274" max="13274" width="9" style="254" customWidth="1"/>
    <col min="13275" max="13275" width="68.28515625" style="254" customWidth="1"/>
    <col min="13276" max="13529" width="9.140625" style="254"/>
    <col min="13530" max="13530" width="9" style="254" customWidth="1"/>
    <col min="13531" max="13531" width="68.28515625" style="254" customWidth="1"/>
    <col min="13532" max="13785" width="9.140625" style="254"/>
    <col min="13786" max="13786" width="9" style="254" customWidth="1"/>
    <col min="13787" max="13787" width="68.28515625" style="254" customWidth="1"/>
    <col min="13788" max="14041" width="9.140625" style="254"/>
    <col min="14042" max="14042" width="9" style="254" customWidth="1"/>
    <col min="14043" max="14043" width="68.28515625" style="254" customWidth="1"/>
    <col min="14044" max="14297" width="9.140625" style="254"/>
    <col min="14298" max="14298" width="9" style="254" customWidth="1"/>
    <col min="14299" max="14299" width="68.28515625" style="254" customWidth="1"/>
    <col min="14300" max="14553" width="9.140625" style="254"/>
    <col min="14554" max="14554" width="9" style="254" customWidth="1"/>
    <col min="14555" max="14555" width="68.28515625" style="254" customWidth="1"/>
    <col min="14556" max="14809" width="9.140625" style="254"/>
    <col min="14810" max="14810" width="9" style="254" customWidth="1"/>
    <col min="14811" max="14811" width="68.28515625" style="254" customWidth="1"/>
    <col min="14812" max="15065" width="9.140625" style="254"/>
    <col min="15066" max="15066" width="9" style="254" customWidth="1"/>
    <col min="15067" max="15067" width="68.28515625" style="254" customWidth="1"/>
    <col min="15068" max="15321" width="9.140625" style="254"/>
    <col min="15322" max="15322" width="9" style="254" customWidth="1"/>
    <col min="15323" max="15323" width="68.28515625" style="254" customWidth="1"/>
    <col min="15324" max="15577" width="9.140625" style="254"/>
    <col min="15578" max="15578" width="9" style="254" customWidth="1"/>
    <col min="15579" max="15579" width="68.28515625" style="254" customWidth="1"/>
    <col min="15580" max="15833" width="9.140625" style="254"/>
    <col min="15834" max="15834" width="9" style="254" customWidth="1"/>
    <col min="15835" max="15835" width="68.28515625" style="254" customWidth="1"/>
    <col min="15836" max="16089" width="9.140625" style="254"/>
    <col min="16090" max="16090" width="9" style="254" customWidth="1"/>
    <col min="16091" max="16091" width="68.28515625" style="254" customWidth="1"/>
    <col min="16092" max="16384" width="9.140625" style="254"/>
  </cols>
  <sheetData>
    <row r="2" spans="2:7" ht="21" customHeight="1">
      <c r="B2" s="1920" t="s">
        <v>1118</v>
      </c>
      <c r="C2" s="1920"/>
      <c r="D2" s="1920"/>
      <c r="E2" s="1920"/>
      <c r="F2" s="1920"/>
      <c r="G2" s="1920"/>
    </row>
    <row r="3" spans="2:7" ht="21" customHeight="1">
      <c r="B3" s="1921" t="s">
        <v>1233</v>
      </c>
      <c r="C3" s="1921"/>
      <c r="D3" s="1921"/>
      <c r="E3" s="1921"/>
      <c r="F3" s="1921"/>
      <c r="G3" s="1921"/>
    </row>
    <row r="4" spans="2:7" ht="21" customHeight="1">
      <c r="B4" s="964" t="s">
        <v>1119</v>
      </c>
      <c r="C4" s="964"/>
      <c r="D4" s="964"/>
      <c r="E4" s="964"/>
      <c r="F4" s="964"/>
      <c r="G4" s="964" t="s">
        <v>1792</v>
      </c>
    </row>
    <row r="5" spans="2:7" ht="25.5" customHeight="1">
      <c r="B5" s="1920"/>
      <c r="C5" s="1920"/>
      <c r="D5" s="1920"/>
      <c r="E5" s="1920"/>
      <c r="F5" s="1920"/>
      <c r="G5" s="1920"/>
    </row>
    <row r="6" spans="2:7" ht="31.5" customHeight="1">
      <c r="B6" s="965" t="s">
        <v>1120</v>
      </c>
      <c r="C6" s="965" t="s">
        <v>1121</v>
      </c>
      <c r="D6" s="1703" t="s">
        <v>485</v>
      </c>
      <c r="E6" s="1703"/>
      <c r="F6" s="1703" t="s">
        <v>864</v>
      </c>
      <c r="G6" s="1703"/>
    </row>
    <row r="7" spans="2:7" ht="45">
      <c r="B7" s="965"/>
      <c r="C7" s="965"/>
      <c r="D7" s="907" t="s">
        <v>1122</v>
      </c>
      <c r="E7" s="906" t="s">
        <v>466</v>
      </c>
      <c r="F7" s="907" t="s">
        <v>1122</v>
      </c>
      <c r="G7" s="906" t="s">
        <v>466</v>
      </c>
    </row>
    <row r="8" spans="2:7" ht="21" customHeight="1">
      <c r="B8" s="909" t="s">
        <v>161</v>
      </c>
      <c r="C8" s="235" t="s">
        <v>1123</v>
      </c>
      <c r="D8" s="909"/>
      <c r="E8" s="909"/>
      <c r="F8" s="909"/>
      <c r="G8" s="909"/>
    </row>
    <row r="9" spans="2:7" ht="21" customHeight="1">
      <c r="B9" s="965" t="s">
        <v>327</v>
      </c>
      <c r="C9" s="235" t="s">
        <v>1124</v>
      </c>
      <c r="D9" s="909"/>
      <c r="E9" s="961"/>
      <c r="F9" s="909"/>
      <c r="G9" s="961"/>
    </row>
    <row r="10" spans="2:7" ht="21" customHeight="1">
      <c r="B10" s="965" t="s">
        <v>328</v>
      </c>
      <c r="C10" s="235" t="s">
        <v>1125</v>
      </c>
      <c r="D10" s="357">
        <v>1</v>
      </c>
      <c r="E10" s="960">
        <v>5.5555555555555552E-2</v>
      </c>
      <c r="F10" s="357">
        <v>1</v>
      </c>
      <c r="G10" s="960">
        <v>4.3055555555555562E-2</v>
      </c>
    </row>
    <row r="11" spans="2:7" ht="21" customHeight="1">
      <c r="B11" s="965" t="s">
        <v>1120</v>
      </c>
      <c r="C11" s="1922" t="s">
        <v>1121</v>
      </c>
      <c r="D11" s="1923"/>
      <c r="E11" s="1923"/>
      <c r="F11" s="1923"/>
      <c r="G11" s="1924"/>
    </row>
    <row r="12" spans="2:7" ht="21" customHeight="1">
      <c r="B12" s="965"/>
      <c r="C12" s="965"/>
      <c r="D12" s="909"/>
      <c r="E12" s="910"/>
      <c r="F12" s="909"/>
      <c r="G12" s="910"/>
    </row>
    <row r="13" spans="2:7" ht="21" customHeight="1">
      <c r="B13" s="965" t="s">
        <v>333</v>
      </c>
      <c r="C13" s="235" t="s">
        <v>1126</v>
      </c>
      <c r="D13" s="909"/>
      <c r="E13" s="909"/>
      <c r="F13" s="909"/>
      <c r="G13" s="961"/>
    </row>
    <row r="14" spans="2:7" ht="21" customHeight="1">
      <c r="B14" s="965" t="s">
        <v>451</v>
      </c>
      <c r="C14" s="235" t="s">
        <v>1127</v>
      </c>
      <c r="D14" s="357">
        <v>105</v>
      </c>
      <c r="E14" s="962">
        <v>14.031944444444443</v>
      </c>
      <c r="F14" s="357">
        <v>112</v>
      </c>
      <c r="G14" s="962">
        <v>13.388888888888888</v>
      </c>
    </row>
    <row r="15" spans="2:7" ht="21" customHeight="1">
      <c r="B15" s="965" t="s">
        <v>452</v>
      </c>
      <c r="C15" s="235" t="s">
        <v>1128</v>
      </c>
      <c r="D15" s="909"/>
      <c r="E15" s="884"/>
      <c r="F15" s="909"/>
      <c r="G15" s="961"/>
    </row>
    <row r="16" spans="2:7" ht="21" customHeight="1">
      <c r="B16" s="213"/>
      <c r="C16" s="966"/>
      <c r="D16" s="1753"/>
      <c r="E16" s="1753"/>
      <c r="F16" s="1753"/>
      <c r="G16" s="1753"/>
    </row>
    <row r="17" spans="2:7" ht="21" customHeight="1">
      <c r="B17" s="213" t="s">
        <v>166</v>
      </c>
      <c r="C17" s="1925" t="s">
        <v>467</v>
      </c>
      <c r="D17" s="1926"/>
      <c r="E17" s="1926"/>
      <c r="F17" s="1926"/>
      <c r="G17" s="1927"/>
    </row>
    <row r="18" spans="2:7" ht="21" customHeight="1">
      <c r="B18" s="213"/>
      <c r="C18" s="966"/>
      <c r="D18" s="963"/>
      <c r="E18" s="963"/>
      <c r="F18" s="963"/>
      <c r="G18" s="963"/>
    </row>
    <row r="19" spans="2:7" ht="27.75" customHeight="1">
      <c r="B19" s="213" t="s">
        <v>208</v>
      </c>
      <c r="C19" s="1928" t="s">
        <v>468</v>
      </c>
      <c r="D19" s="1929"/>
      <c r="E19" s="1929"/>
      <c r="F19" s="1929"/>
      <c r="G19" s="1930"/>
    </row>
    <row r="20" spans="2:7" ht="21" customHeight="1">
      <c r="B20" s="213"/>
      <c r="C20" s="966"/>
      <c r="D20" s="963"/>
      <c r="E20" s="963"/>
      <c r="F20" s="963"/>
      <c r="G20" s="963"/>
    </row>
    <row r="21" spans="2:7" ht="21" customHeight="1">
      <c r="B21" s="967"/>
      <c r="C21" s="968"/>
      <c r="D21" s="969"/>
      <c r="E21" s="969"/>
      <c r="F21" s="969"/>
      <c r="G21" s="969"/>
    </row>
    <row r="22" spans="2:7" ht="21" customHeight="1"/>
    <row r="23" spans="2:7" ht="21" customHeight="1">
      <c r="F23" s="1919" t="s">
        <v>1163</v>
      </c>
      <c r="G23" s="1919"/>
    </row>
    <row r="24" spans="2:7" ht="21" customHeight="1"/>
    <row r="25" spans="2:7" ht="21" customHeight="1"/>
    <row r="26" spans="2:7" ht="21" customHeight="1"/>
    <row r="27" spans="2:7" ht="21" customHeight="1"/>
    <row r="28" spans="2:7" ht="21" customHeight="1"/>
    <row r="29" spans="2:7" ht="21" customHeight="1"/>
    <row r="30" spans="2:7" ht="21" customHeight="1"/>
    <row r="31" spans="2:7" ht="21" customHeight="1"/>
    <row r="32" spans="2: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sheetData>
  <mergeCells count="11">
    <mergeCell ref="F23:G23"/>
    <mergeCell ref="B2:G2"/>
    <mergeCell ref="B3:G3"/>
    <mergeCell ref="B5:G5"/>
    <mergeCell ref="D6:E6"/>
    <mergeCell ref="F6:G6"/>
    <mergeCell ref="D16:E16"/>
    <mergeCell ref="F16:G16"/>
    <mergeCell ref="C11:G11"/>
    <mergeCell ref="C17:G17"/>
    <mergeCell ref="C19:G19"/>
  </mergeCells>
  <pageMargins left="0.7" right="0.7" top="0.75" bottom="0.75" header="0.3" footer="0.3"/>
  <pageSetup paperSize="9" scale="81"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20"/>
  <sheetViews>
    <sheetView showGridLines="0" view="pageBreakPreview" topLeftCell="D1" zoomScale="85" zoomScaleNormal="70" zoomScaleSheetLayoutView="85" workbookViewId="0">
      <selection activeCell="I5" sqref="I5"/>
    </sheetView>
  </sheetViews>
  <sheetFormatPr defaultRowHeight="15"/>
  <cols>
    <col min="1" max="1" width="3.140625" customWidth="1"/>
    <col min="3" max="3" width="22.5703125" customWidth="1"/>
    <col min="4" max="4" width="15.7109375" bestFit="1" customWidth="1"/>
    <col min="5" max="5" width="17.140625" customWidth="1"/>
    <col min="6" max="6" width="15.7109375" bestFit="1" customWidth="1"/>
    <col min="7" max="7" width="20.5703125" customWidth="1"/>
    <col min="8" max="8" width="15.7109375" bestFit="1" customWidth="1"/>
    <col min="9" max="9" width="24.28515625" customWidth="1"/>
    <col min="10" max="10" width="3.42578125" customWidth="1"/>
    <col min="259" max="259" width="16.85546875" customWidth="1"/>
    <col min="260" max="260" width="26.140625" customWidth="1"/>
    <col min="261" max="261" width="17.140625" customWidth="1"/>
    <col min="262" max="262" width="14.85546875" customWidth="1"/>
    <col min="263" max="263" width="20.5703125" customWidth="1"/>
    <col min="264" max="264" width="15.140625" customWidth="1"/>
    <col min="265" max="265" width="24.28515625" customWidth="1"/>
    <col min="515" max="515" width="16.85546875" customWidth="1"/>
    <col min="516" max="516" width="26.140625" customWidth="1"/>
    <col min="517" max="517" width="17.140625" customWidth="1"/>
    <col min="518" max="518" width="14.85546875" customWidth="1"/>
    <col min="519" max="519" width="20.5703125" customWidth="1"/>
    <col min="520" max="520" width="15.140625" customWidth="1"/>
    <col min="521" max="521" width="24.28515625" customWidth="1"/>
    <col min="771" max="771" width="16.85546875" customWidth="1"/>
    <col min="772" max="772" width="26.140625" customWidth="1"/>
    <col min="773" max="773" width="17.140625" customWidth="1"/>
    <col min="774" max="774" width="14.85546875" customWidth="1"/>
    <col min="775" max="775" width="20.5703125" customWidth="1"/>
    <col min="776" max="776" width="15.140625" customWidth="1"/>
    <col min="777" max="777" width="24.28515625" customWidth="1"/>
    <col min="1027" max="1027" width="16.85546875" customWidth="1"/>
    <col min="1028" max="1028" width="26.140625" customWidth="1"/>
    <col min="1029" max="1029" width="17.140625" customWidth="1"/>
    <col min="1030" max="1030" width="14.85546875" customWidth="1"/>
    <col min="1031" max="1031" width="20.5703125" customWidth="1"/>
    <col min="1032" max="1032" width="15.140625" customWidth="1"/>
    <col min="1033" max="1033" width="24.28515625" customWidth="1"/>
    <col min="1283" max="1283" width="16.85546875" customWidth="1"/>
    <col min="1284" max="1284" width="26.140625" customWidth="1"/>
    <col min="1285" max="1285" width="17.140625" customWidth="1"/>
    <col min="1286" max="1286" width="14.85546875" customWidth="1"/>
    <col min="1287" max="1287" width="20.5703125" customWidth="1"/>
    <col min="1288" max="1288" width="15.140625" customWidth="1"/>
    <col min="1289" max="1289" width="24.28515625" customWidth="1"/>
    <col min="1539" max="1539" width="16.85546875" customWidth="1"/>
    <col min="1540" max="1540" width="26.140625" customWidth="1"/>
    <col min="1541" max="1541" width="17.140625" customWidth="1"/>
    <col min="1542" max="1542" width="14.85546875" customWidth="1"/>
    <col min="1543" max="1543" width="20.5703125" customWidth="1"/>
    <col min="1544" max="1544" width="15.140625" customWidth="1"/>
    <col min="1545" max="1545" width="24.28515625" customWidth="1"/>
    <col min="1795" max="1795" width="16.85546875" customWidth="1"/>
    <col min="1796" max="1796" width="26.140625" customWidth="1"/>
    <col min="1797" max="1797" width="17.140625" customWidth="1"/>
    <col min="1798" max="1798" width="14.85546875" customWidth="1"/>
    <col min="1799" max="1799" width="20.5703125" customWidth="1"/>
    <col min="1800" max="1800" width="15.140625" customWidth="1"/>
    <col min="1801" max="1801" width="24.28515625" customWidth="1"/>
    <col min="2051" max="2051" width="16.85546875" customWidth="1"/>
    <col min="2052" max="2052" width="26.140625" customWidth="1"/>
    <col min="2053" max="2053" width="17.140625" customWidth="1"/>
    <col min="2054" max="2054" width="14.85546875" customWidth="1"/>
    <col min="2055" max="2055" width="20.5703125" customWidth="1"/>
    <col min="2056" max="2056" width="15.140625" customWidth="1"/>
    <col min="2057" max="2057" width="24.28515625" customWidth="1"/>
    <col min="2307" max="2307" width="16.85546875" customWidth="1"/>
    <col min="2308" max="2308" width="26.140625" customWidth="1"/>
    <col min="2309" max="2309" width="17.140625" customWidth="1"/>
    <col min="2310" max="2310" width="14.85546875" customWidth="1"/>
    <col min="2311" max="2311" width="20.5703125" customWidth="1"/>
    <col min="2312" max="2312" width="15.140625" customWidth="1"/>
    <col min="2313" max="2313" width="24.28515625" customWidth="1"/>
    <col min="2563" max="2563" width="16.85546875" customWidth="1"/>
    <col min="2564" max="2564" width="26.140625" customWidth="1"/>
    <col min="2565" max="2565" width="17.140625" customWidth="1"/>
    <col min="2566" max="2566" width="14.85546875" customWidth="1"/>
    <col min="2567" max="2567" width="20.5703125" customWidth="1"/>
    <col min="2568" max="2568" width="15.140625" customWidth="1"/>
    <col min="2569" max="2569" width="24.28515625" customWidth="1"/>
    <col min="2819" max="2819" width="16.85546875" customWidth="1"/>
    <col min="2820" max="2820" width="26.140625" customWidth="1"/>
    <col min="2821" max="2821" width="17.140625" customWidth="1"/>
    <col min="2822" max="2822" width="14.85546875" customWidth="1"/>
    <col min="2823" max="2823" width="20.5703125" customWidth="1"/>
    <col min="2824" max="2824" width="15.140625" customWidth="1"/>
    <col min="2825" max="2825" width="24.28515625" customWidth="1"/>
    <col min="3075" max="3075" width="16.85546875" customWidth="1"/>
    <col min="3076" max="3076" width="26.140625" customWidth="1"/>
    <col min="3077" max="3077" width="17.140625" customWidth="1"/>
    <col min="3078" max="3078" width="14.85546875" customWidth="1"/>
    <col min="3079" max="3079" width="20.5703125" customWidth="1"/>
    <col min="3080" max="3080" width="15.140625" customWidth="1"/>
    <col min="3081" max="3081" width="24.28515625" customWidth="1"/>
    <col min="3331" max="3331" width="16.85546875" customWidth="1"/>
    <col min="3332" max="3332" width="26.140625" customWidth="1"/>
    <col min="3333" max="3333" width="17.140625" customWidth="1"/>
    <col min="3334" max="3334" width="14.85546875" customWidth="1"/>
    <col min="3335" max="3335" width="20.5703125" customWidth="1"/>
    <col min="3336" max="3336" width="15.140625" customWidth="1"/>
    <col min="3337" max="3337" width="24.28515625" customWidth="1"/>
    <col min="3587" max="3587" width="16.85546875" customWidth="1"/>
    <col min="3588" max="3588" width="26.140625" customWidth="1"/>
    <col min="3589" max="3589" width="17.140625" customWidth="1"/>
    <col min="3590" max="3590" width="14.85546875" customWidth="1"/>
    <col min="3591" max="3591" width="20.5703125" customWidth="1"/>
    <col min="3592" max="3592" width="15.140625" customWidth="1"/>
    <col min="3593" max="3593" width="24.28515625" customWidth="1"/>
    <col min="3843" max="3843" width="16.85546875" customWidth="1"/>
    <col min="3844" max="3844" width="26.140625" customWidth="1"/>
    <col min="3845" max="3845" width="17.140625" customWidth="1"/>
    <col min="3846" max="3846" width="14.85546875" customWidth="1"/>
    <col min="3847" max="3847" width="20.5703125" customWidth="1"/>
    <col min="3848" max="3848" width="15.140625" customWidth="1"/>
    <col min="3849" max="3849" width="24.28515625" customWidth="1"/>
    <col min="4099" max="4099" width="16.85546875" customWidth="1"/>
    <col min="4100" max="4100" width="26.140625" customWidth="1"/>
    <col min="4101" max="4101" width="17.140625" customWidth="1"/>
    <col min="4102" max="4102" width="14.85546875" customWidth="1"/>
    <col min="4103" max="4103" width="20.5703125" customWidth="1"/>
    <col min="4104" max="4104" width="15.140625" customWidth="1"/>
    <col min="4105" max="4105" width="24.28515625" customWidth="1"/>
    <col min="4355" max="4355" width="16.85546875" customWidth="1"/>
    <col min="4356" max="4356" width="26.140625" customWidth="1"/>
    <col min="4357" max="4357" width="17.140625" customWidth="1"/>
    <col min="4358" max="4358" width="14.85546875" customWidth="1"/>
    <col min="4359" max="4359" width="20.5703125" customWidth="1"/>
    <col min="4360" max="4360" width="15.140625" customWidth="1"/>
    <col min="4361" max="4361" width="24.28515625" customWidth="1"/>
    <col min="4611" max="4611" width="16.85546875" customWidth="1"/>
    <col min="4612" max="4612" width="26.140625" customWidth="1"/>
    <col min="4613" max="4613" width="17.140625" customWidth="1"/>
    <col min="4614" max="4614" width="14.85546875" customWidth="1"/>
    <col min="4615" max="4615" width="20.5703125" customWidth="1"/>
    <col min="4616" max="4616" width="15.140625" customWidth="1"/>
    <col min="4617" max="4617" width="24.28515625" customWidth="1"/>
    <col min="4867" max="4867" width="16.85546875" customWidth="1"/>
    <col min="4868" max="4868" width="26.140625" customWidth="1"/>
    <col min="4869" max="4869" width="17.140625" customWidth="1"/>
    <col min="4870" max="4870" width="14.85546875" customWidth="1"/>
    <col min="4871" max="4871" width="20.5703125" customWidth="1"/>
    <col min="4872" max="4872" width="15.140625" customWidth="1"/>
    <col min="4873" max="4873" width="24.28515625" customWidth="1"/>
    <col min="5123" max="5123" width="16.85546875" customWidth="1"/>
    <col min="5124" max="5124" width="26.140625" customWidth="1"/>
    <col min="5125" max="5125" width="17.140625" customWidth="1"/>
    <col min="5126" max="5126" width="14.85546875" customWidth="1"/>
    <col min="5127" max="5127" width="20.5703125" customWidth="1"/>
    <col min="5128" max="5128" width="15.140625" customWidth="1"/>
    <col min="5129" max="5129" width="24.28515625" customWidth="1"/>
    <col min="5379" max="5379" width="16.85546875" customWidth="1"/>
    <col min="5380" max="5380" width="26.140625" customWidth="1"/>
    <col min="5381" max="5381" width="17.140625" customWidth="1"/>
    <col min="5382" max="5382" width="14.85546875" customWidth="1"/>
    <col min="5383" max="5383" width="20.5703125" customWidth="1"/>
    <col min="5384" max="5384" width="15.140625" customWidth="1"/>
    <col min="5385" max="5385" width="24.28515625" customWidth="1"/>
    <col min="5635" max="5635" width="16.85546875" customWidth="1"/>
    <col min="5636" max="5636" width="26.140625" customWidth="1"/>
    <col min="5637" max="5637" width="17.140625" customWidth="1"/>
    <col min="5638" max="5638" width="14.85546875" customWidth="1"/>
    <col min="5639" max="5639" width="20.5703125" customWidth="1"/>
    <col min="5640" max="5640" width="15.140625" customWidth="1"/>
    <col min="5641" max="5641" width="24.28515625" customWidth="1"/>
    <col min="5891" max="5891" width="16.85546875" customWidth="1"/>
    <col min="5892" max="5892" width="26.140625" customWidth="1"/>
    <col min="5893" max="5893" width="17.140625" customWidth="1"/>
    <col min="5894" max="5894" width="14.85546875" customWidth="1"/>
    <col min="5895" max="5895" width="20.5703125" customWidth="1"/>
    <col min="5896" max="5896" width="15.140625" customWidth="1"/>
    <col min="5897" max="5897" width="24.28515625" customWidth="1"/>
    <col min="6147" max="6147" width="16.85546875" customWidth="1"/>
    <col min="6148" max="6148" width="26.140625" customWidth="1"/>
    <col min="6149" max="6149" width="17.140625" customWidth="1"/>
    <col min="6150" max="6150" width="14.85546875" customWidth="1"/>
    <col min="6151" max="6151" width="20.5703125" customWidth="1"/>
    <col min="6152" max="6152" width="15.140625" customWidth="1"/>
    <col min="6153" max="6153" width="24.28515625" customWidth="1"/>
    <col min="6403" max="6403" width="16.85546875" customWidth="1"/>
    <col min="6404" max="6404" width="26.140625" customWidth="1"/>
    <col min="6405" max="6405" width="17.140625" customWidth="1"/>
    <col min="6406" max="6406" width="14.85546875" customWidth="1"/>
    <col min="6407" max="6407" width="20.5703125" customWidth="1"/>
    <col min="6408" max="6408" width="15.140625" customWidth="1"/>
    <col min="6409" max="6409" width="24.28515625" customWidth="1"/>
    <col min="6659" max="6659" width="16.85546875" customWidth="1"/>
    <col min="6660" max="6660" width="26.140625" customWidth="1"/>
    <col min="6661" max="6661" width="17.140625" customWidth="1"/>
    <col min="6662" max="6662" width="14.85546875" customWidth="1"/>
    <col min="6663" max="6663" width="20.5703125" customWidth="1"/>
    <col min="6664" max="6664" width="15.140625" customWidth="1"/>
    <col min="6665" max="6665" width="24.28515625" customWidth="1"/>
    <col min="6915" max="6915" width="16.85546875" customWidth="1"/>
    <col min="6916" max="6916" width="26.140625" customWidth="1"/>
    <col min="6917" max="6917" width="17.140625" customWidth="1"/>
    <col min="6918" max="6918" width="14.85546875" customWidth="1"/>
    <col min="6919" max="6919" width="20.5703125" customWidth="1"/>
    <col min="6920" max="6920" width="15.140625" customWidth="1"/>
    <col min="6921" max="6921" width="24.28515625" customWidth="1"/>
    <col min="7171" max="7171" width="16.85546875" customWidth="1"/>
    <col min="7172" max="7172" width="26.140625" customWidth="1"/>
    <col min="7173" max="7173" width="17.140625" customWidth="1"/>
    <col min="7174" max="7174" width="14.85546875" customWidth="1"/>
    <col min="7175" max="7175" width="20.5703125" customWidth="1"/>
    <col min="7176" max="7176" width="15.140625" customWidth="1"/>
    <col min="7177" max="7177" width="24.28515625" customWidth="1"/>
    <col min="7427" max="7427" width="16.85546875" customWidth="1"/>
    <col min="7428" max="7428" width="26.140625" customWidth="1"/>
    <col min="7429" max="7429" width="17.140625" customWidth="1"/>
    <col min="7430" max="7430" width="14.85546875" customWidth="1"/>
    <col min="7431" max="7431" width="20.5703125" customWidth="1"/>
    <col min="7432" max="7432" width="15.140625" customWidth="1"/>
    <col min="7433" max="7433" width="24.28515625" customWidth="1"/>
    <col min="7683" max="7683" width="16.85546875" customWidth="1"/>
    <col min="7684" max="7684" width="26.140625" customWidth="1"/>
    <col min="7685" max="7685" width="17.140625" customWidth="1"/>
    <col min="7686" max="7686" width="14.85546875" customWidth="1"/>
    <col min="7687" max="7687" width="20.5703125" customWidth="1"/>
    <col min="7688" max="7688" width="15.140625" customWidth="1"/>
    <col min="7689" max="7689" width="24.28515625" customWidth="1"/>
    <col min="7939" max="7939" width="16.85546875" customWidth="1"/>
    <col min="7940" max="7940" width="26.140625" customWidth="1"/>
    <col min="7941" max="7941" width="17.140625" customWidth="1"/>
    <col min="7942" max="7942" width="14.85546875" customWidth="1"/>
    <col min="7943" max="7943" width="20.5703125" customWidth="1"/>
    <col min="7944" max="7944" width="15.140625" customWidth="1"/>
    <col min="7945" max="7945" width="24.28515625" customWidth="1"/>
    <col min="8195" max="8195" width="16.85546875" customWidth="1"/>
    <col min="8196" max="8196" width="26.140625" customWidth="1"/>
    <col min="8197" max="8197" width="17.140625" customWidth="1"/>
    <col min="8198" max="8198" width="14.85546875" customWidth="1"/>
    <col min="8199" max="8199" width="20.5703125" customWidth="1"/>
    <col min="8200" max="8200" width="15.140625" customWidth="1"/>
    <col min="8201" max="8201" width="24.28515625" customWidth="1"/>
    <col min="8451" max="8451" width="16.85546875" customWidth="1"/>
    <col min="8452" max="8452" width="26.140625" customWidth="1"/>
    <col min="8453" max="8453" width="17.140625" customWidth="1"/>
    <col min="8454" max="8454" width="14.85546875" customWidth="1"/>
    <col min="8455" max="8455" width="20.5703125" customWidth="1"/>
    <col min="8456" max="8456" width="15.140625" customWidth="1"/>
    <col min="8457" max="8457" width="24.28515625" customWidth="1"/>
    <col min="8707" max="8707" width="16.85546875" customWidth="1"/>
    <col min="8708" max="8708" width="26.140625" customWidth="1"/>
    <col min="8709" max="8709" width="17.140625" customWidth="1"/>
    <col min="8710" max="8710" width="14.85546875" customWidth="1"/>
    <col min="8711" max="8711" width="20.5703125" customWidth="1"/>
    <col min="8712" max="8712" width="15.140625" customWidth="1"/>
    <col min="8713" max="8713" width="24.28515625" customWidth="1"/>
    <col min="8963" max="8963" width="16.85546875" customWidth="1"/>
    <col min="8964" max="8964" width="26.140625" customWidth="1"/>
    <col min="8965" max="8965" width="17.140625" customWidth="1"/>
    <col min="8966" max="8966" width="14.85546875" customWidth="1"/>
    <col min="8967" max="8967" width="20.5703125" customWidth="1"/>
    <col min="8968" max="8968" width="15.140625" customWidth="1"/>
    <col min="8969" max="8969" width="24.28515625" customWidth="1"/>
    <col min="9219" max="9219" width="16.85546875" customWidth="1"/>
    <col min="9220" max="9220" width="26.140625" customWidth="1"/>
    <col min="9221" max="9221" width="17.140625" customWidth="1"/>
    <col min="9222" max="9222" width="14.85546875" customWidth="1"/>
    <col min="9223" max="9223" width="20.5703125" customWidth="1"/>
    <col min="9224" max="9224" width="15.140625" customWidth="1"/>
    <col min="9225" max="9225" width="24.28515625" customWidth="1"/>
    <col min="9475" max="9475" width="16.85546875" customWidth="1"/>
    <col min="9476" max="9476" width="26.140625" customWidth="1"/>
    <col min="9477" max="9477" width="17.140625" customWidth="1"/>
    <col min="9478" max="9478" width="14.85546875" customWidth="1"/>
    <col min="9479" max="9479" width="20.5703125" customWidth="1"/>
    <col min="9480" max="9480" width="15.140625" customWidth="1"/>
    <col min="9481" max="9481" width="24.28515625" customWidth="1"/>
    <col min="9731" max="9731" width="16.85546875" customWidth="1"/>
    <col min="9732" max="9732" width="26.140625" customWidth="1"/>
    <col min="9733" max="9733" width="17.140625" customWidth="1"/>
    <col min="9734" max="9734" width="14.85546875" customWidth="1"/>
    <col min="9735" max="9735" width="20.5703125" customWidth="1"/>
    <col min="9736" max="9736" width="15.140625" customWidth="1"/>
    <col min="9737" max="9737" width="24.28515625" customWidth="1"/>
    <col min="9987" max="9987" width="16.85546875" customWidth="1"/>
    <col min="9988" max="9988" width="26.140625" customWidth="1"/>
    <col min="9989" max="9989" width="17.140625" customWidth="1"/>
    <col min="9990" max="9990" width="14.85546875" customWidth="1"/>
    <col min="9991" max="9991" width="20.5703125" customWidth="1"/>
    <col min="9992" max="9992" width="15.140625" customWidth="1"/>
    <col min="9993" max="9993" width="24.28515625" customWidth="1"/>
    <col min="10243" max="10243" width="16.85546875" customWidth="1"/>
    <col min="10244" max="10244" width="26.140625" customWidth="1"/>
    <col min="10245" max="10245" width="17.140625" customWidth="1"/>
    <col min="10246" max="10246" width="14.85546875" customWidth="1"/>
    <col min="10247" max="10247" width="20.5703125" customWidth="1"/>
    <col min="10248" max="10248" width="15.140625" customWidth="1"/>
    <col min="10249" max="10249" width="24.28515625" customWidth="1"/>
    <col min="10499" max="10499" width="16.85546875" customWidth="1"/>
    <col min="10500" max="10500" width="26.140625" customWidth="1"/>
    <col min="10501" max="10501" width="17.140625" customWidth="1"/>
    <col min="10502" max="10502" width="14.85546875" customWidth="1"/>
    <col min="10503" max="10503" width="20.5703125" customWidth="1"/>
    <col min="10504" max="10504" width="15.140625" customWidth="1"/>
    <col min="10505" max="10505" width="24.28515625" customWidth="1"/>
    <col min="10755" max="10755" width="16.85546875" customWidth="1"/>
    <col min="10756" max="10756" width="26.140625" customWidth="1"/>
    <col min="10757" max="10757" width="17.140625" customWidth="1"/>
    <col min="10758" max="10758" width="14.85546875" customWidth="1"/>
    <col min="10759" max="10759" width="20.5703125" customWidth="1"/>
    <col min="10760" max="10760" width="15.140625" customWidth="1"/>
    <col min="10761" max="10761" width="24.28515625" customWidth="1"/>
    <col min="11011" max="11011" width="16.85546875" customWidth="1"/>
    <col min="11012" max="11012" width="26.140625" customWidth="1"/>
    <col min="11013" max="11013" width="17.140625" customWidth="1"/>
    <col min="11014" max="11014" width="14.85546875" customWidth="1"/>
    <col min="11015" max="11015" width="20.5703125" customWidth="1"/>
    <col min="11016" max="11016" width="15.140625" customWidth="1"/>
    <col min="11017" max="11017" width="24.28515625" customWidth="1"/>
    <col min="11267" max="11267" width="16.85546875" customWidth="1"/>
    <col min="11268" max="11268" width="26.140625" customWidth="1"/>
    <col min="11269" max="11269" width="17.140625" customWidth="1"/>
    <col min="11270" max="11270" width="14.85546875" customWidth="1"/>
    <col min="11271" max="11271" width="20.5703125" customWidth="1"/>
    <col min="11272" max="11272" width="15.140625" customWidth="1"/>
    <col min="11273" max="11273" width="24.28515625" customWidth="1"/>
    <col min="11523" max="11523" width="16.85546875" customWidth="1"/>
    <col min="11524" max="11524" width="26.140625" customWidth="1"/>
    <col min="11525" max="11525" width="17.140625" customWidth="1"/>
    <col min="11526" max="11526" width="14.85546875" customWidth="1"/>
    <col min="11527" max="11527" width="20.5703125" customWidth="1"/>
    <col min="11528" max="11528" width="15.140625" customWidth="1"/>
    <col min="11529" max="11529" width="24.28515625" customWidth="1"/>
    <col min="11779" max="11779" width="16.85546875" customWidth="1"/>
    <col min="11780" max="11780" width="26.140625" customWidth="1"/>
    <col min="11781" max="11781" width="17.140625" customWidth="1"/>
    <col min="11782" max="11782" width="14.85546875" customWidth="1"/>
    <col min="11783" max="11783" width="20.5703125" customWidth="1"/>
    <col min="11784" max="11784" width="15.140625" customWidth="1"/>
    <col min="11785" max="11785" width="24.28515625" customWidth="1"/>
    <col min="12035" max="12035" width="16.85546875" customWidth="1"/>
    <col min="12036" max="12036" width="26.140625" customWidth="1"/>
    <col min="12037" max="12037" width="17.140625" customWidth="1"/>
    <col min="12038" max="12038" width="14.85546875" customWidth="1"/>
    <col min="12039" max="12039" width="20.5703125" customWidth="1"/>
    <col min="12040" max="12040" width="15.140625" customWidth="1"/>
    <col min="12041" max="12041" width="24.28515625" customWidth="1"/>
    <col min="12291" max="12291" width="16.85546875" customWidth="1"/>
    <col min="12292" max="12292" width="26.140625" customWidth="1"/>
    <col min="12293" max="12293" width="17.140625" customWidth="1"/>
    <col min="12294" max="12294" width="14.85546875" customWidth="1"/>
    <col min="12295" max="12295" width="20.5703125" customWidth="1"/>
    <col min="12296" max="12296" width="15.140625" customWidth="1"/>
    <col min="12297" max="12297" width="24.28515625" customWidth="1"/>
    <col min="12547" max="12547" width="16.85546875" customWidth="1"/>
    <col min="12548" max="12548" width="26.140625" customWidth="1"/>
    <col min="12549" max="12549" width="17.140625" customWidth="1"/>
    <col min="12550" max="12550" width="14.85546875" customWidth="1"/>
    <col min="12551" max="12551" width="20.5703125" customWidth="1"/>
    <col min="12552" max="12552" width="15.140625" customWidth="1"/>
    <col min="12553" max="12553" width="24.28515625" customWidth="1"/>
    <col min="12803" max="12803" width="16.85546875" customWidth="1"/>
    <col min="12804" max="12804" width="26.140625" customWidth="1"/>
    <col min="12805" max="12805" width="17.140625" customWidth="1"/>
    <col min="12806" max="12806" width="14.85546875" customWidth="1"/>
    <col min="12807" max="12807" width="20.5703125" customWidth="1"/>
    <col min="12808" max="12808" width="15.140625" customWidth="1"/>
    <col min="12809" max="12809" width="24.28515625" customWidth="1"/>
    <col min="13059" max="13059" width="16.85546875" customWidth="1"/>
    <col min="13060" max="13060" width="26.140625" customWidth="1"/>
    <col min="13061" max="13061" width="17.140625" customWidth="1"/>
    <col min="13062" max="13062" width="14.85546875" customWidth="1"/>
    <col min="13063" max="13063" width="20.5703125" customWidth="1"/>
    <col min="13064" max="13064" width="15.140625" customWidth="1"/>
    <col min="13065" max="13065" width="24.28515625" customWidth="1"/>
    <col min="13315" max="13315" width="16.85546875" customWidth="1"/>
    <col min="13316" max="13316" width="26.140625" customWidth="1"/>
    <col min="13317" max="13317" width="17.140625" customWidth="1"/>
    <col min="13318" max="13318" width="14.85546875" customWidth="1"/>
    <col min="13319" max="13319" width="20.5703125" customWidth="1"/>
    <col min="13320" max="13320" width="15.140625" customWidth="1"/>
    <col min="13321" max="13321" width="24.28515625" customWidth="1"/>
    <col min="13571" max="13571" width="16.85546875" customWidth="1"/>
    <col min="13572" max="13572" width="26.140625" customWidth="1"/>
    <col min="13573" max="13573" width="17.140625" customWidth="1"/>
    <col min="13574" max="13574" width="14.85546875" customWidth="1"/>
    <col min="13575" max="13575" width="20.5703125" customWidth="1"/>
    <col min="13576" max="13576" width="15.140625" customWidth="1"/>
    <col min="13577" max="13577" width="24.28515625" customWidth="1"/>
    <col min="13827" max="13827" width="16.85546875" customWidth="1"/>
    <col min="13828" max="13828" width="26.140625" customWidth="1"/>
    <col min="13829" max="13829" width="17.140625" customWidth="1"/>
    <col min="13830" max="13830" width="14.85546875" customWidth="1"/>
    <col min="13831" max="13831" width="20.5703125" customWidth="1"/>
    <col min="13832" max="13832" width="15.140625" customWidth="1"/>
    <col min="13833" max="13833" width="24.28515625" customWidth="1"/>
    <col min="14083" max="14083" width="16.85546875" customWidth="1"/>
    <col min="14084" max="14084" width="26.140625" customWidth="1"/>
    <col min="14085" max="14085" width="17.140625" customWidth="1"/>
    <col min="14086" max="14086" width="14.85546875" customWidth="1"/>
    <col min="14087" max="14087" width="20.5703125" customWidth="1"/>
    <col min="14088" max="14088" width="15.140625" customWidth="1"/>
    <col min="14089" max="14089" width="24.28515625" customWidth="1"/>
    <col min="14339" max="14339" width="16.85546875" customWidth="1"/>
    <col min="14340" max="14340" width="26.140625" customWidth="1"/>
    <col min="14341" max="14341" width="17.140625" customWidth="1"/>
    <col min="14342" max="14342" width="14.85546875" customWidth="1"/>
    <col min="14343" max="14343" width="20.5703125" customWidth="1"/>
    <col min="14344" max="14344" width="15.140625" customWidth="1"/>
    <col min="14345" max="14345" width="24.28515625" customWidth="1"/>
    <col min="14595" max="14595" width="16.85546875" customWidth="1"/>
    <col min="14596" max="14596" width="26.140625" customWidth="1"/>
    <col min="14597" max="14597" width="17.140625" customWidth="1"/>
    <col min="14598" max="14598" width="14.85546875" customWidth="1"/>
    <col min="14599" max="14599" width="20.5703125" customWidth="1"/>
    <col min="14600" max="14600" width="15.140625" customWidth="1"/>
    <col min="14601" max="14601" width="24.28515625" customWidth="1"/>
    <col min="14851" max="14851" width="16.85546875" customWidth="1"/>
    <col min="14852" max="14852" width="26.140625" customWidth="1"/>
    <col min="14853" max="14853" width="17.140625" customWidth="1"/>
    <col min="14854" max="14854" width="14.85546875" customWidth="1"/>
    <col min="14855" max="14855" width="20.5703125" customWidth="1"/>
    <col min="14856" max="14856" width="15.140625" customWidth="1"/>
    <col min="14857" max="14857" width="24.28515625" customWidth="1"/>
    <col min="15107" max="15107" width="16.85546875" customWidth="1"/>
    <col min="15108" max="15108" width="26.140625" customWidth="1"/>
    <col min="15109" max="15109" width="17.140625" customWidth="1"/>
    <col min="15110" max="15110" width="14.85546875" customWidth="1"/>
    <col min="15111" max="15111" width="20.5703125" customWidth="1"/>
    <col min="15112" max="15112" width="15.140625" customWidth="1"/>
    <col min="15113" max="15113" width="24.28515625" customWidth="1"/>
    <col min="15363" max="15363" width="16.85546875" customWidth="1"/>
    <col min="15364" max="15364" width="26.140625" customWidth="1"/>
    <col min="15365" max="15365" width="17.140625" customWidth="1"/>
    <col min="15366" max="15366" width="14.85546875" customWidth="1"/>
    <col min="15367" max="15367" width="20.5703125" customWidth="1"/>
    <col min="15368" max="15368" width="15.140625" customWidth="1"/>
    <col min="15369" max="15369" width="24.28515625" customWidth="1"/>
    <col min="15619" max="15619" width="16.85546875" customWidth="1"/>
    <col min="15620" max="15620" width="26.140625" customWidth="1"/>
    <col min="15621" max="15621" width="17.140625" customWidth="1"/>
    <col min="15622" max="15622" width="14.85546875" customWidth="1"/>
    <col min="15623" max="15623" width="20.5703125" customWidth="1"/>
    <col min="15624" max="15624" width="15.140625" customWidth="1"/>
    <col min="15625" max="15625" width="24.28515625" customWidth="1"/>
    <col min="15875" max="15875" width="16.85546875" customWidth="1"/>
    <col min="15876" max="15876" width="26.140625" customWidth="1"/>
    <col min="15877" max="15877" width="17.140625" customWidth="1"/>
    <col min="15878" max="15878" width="14.85546875" customWidth="1"/>
    <col min="15879" max="15879" width="20.5703125" customWidth="1"/>
    <col min="15880" max="15880" width="15.140625" customWidth="1"/>
    <col min="15881" max="15881" width="24.28515625" customWidth="1"/>
    <col min="16131" max="16131" width="16.85546875" customWidth="1"/>
    <col min="16132" max="16132" width="26.140625" customWidth="1"/>
    <col min="16133" max="16133" width="17.140625" customWidth="1"/>
    <col min="16134" max="16134" width="14.85546875" customWidth="1"/>
    <col min="16135" max="16135" width="20.5703125" customWidth="1"/>
    <col min="16136" max="16136" width="15.140625" customWidth="1"/>
    <col min="16137" max="16137" width="24.28515625" customWidth="1"/>
  </cols>
  <sheetData>
    <row r="1" spans="2:10" ht="15.75">
      <c r="B1" s="1931" t="s">
        <v>1107</v>
      </c>
      <c r="C1" s="1931"/>
      <c r="D1" s="1931"/>
      <c r="E1" s="1931"/>
      <c r="F1" s="1931"/>
      <c r="G1" s="1931"/>
      <c r="H1" s="1931"/>
      <c r="I1" s="1931"/>
      <c r="J1" s="1931"/>
    </row>
    <row r="2" spans="2:10" ht="15.75">
      <c r="B2" s="1932" t="s">
        <v>1233</v>
      </c>
      <c r="C2" s="1932"/>
      <c r="D2" s="1932"/>
      <c r="E2" s="1932"/>
      <c r="F2" s="1932"/>
      <c r="G2" s="1932"/>
      <c r="H2" s="1932"/>
      <c r="I2" s="368"/>
      <c r="J2" s="368"/>
    </row>
    <row r="3" spans="2:10" ht="15.75">
      <c r="B3" s="1933" t="s">
        <v>1176</v>
      </c>
      <c r="C3" s="1933"/>
      <c r="D3" s="1933"/>
      <c r="E3" s="1933"/>
      <c r="F3" s="1933"/>
      <c r="G3" s="1933"/>
      <c r="H3" s="1933"/>
      <c r="I3" s="368" t="s">
        <v>1177</v>
      </c>
      <c r="J3" s="368"/>
    </row>
    <row r="4" spans="2:10" ht="15.75">
      <c r="B4" s="369" t="s">
        <v>1120</v>
      </c>
      <c r="C4" s="369" t="s">
        <v>1178</v>
      </c>
      <c r="D4" s="1934" t="s">
        <v>865</v>
      </c>
      <c r="E4" s="1935"/>
      <c r="F4" s="1934" t="s">
        <v>2055</v>
      </c>
      <c r="G4" s="1935"/>
      <c r="H4" s="1934" t="s">
        <v>1111</v>
      </c>
      <c r="I4" s="1935"/>
      <c r="J4" s="368"/>
    </row>
    <row r="5" spans="2:10" ht="47.25">
      <c r="B5" s="369"/>
      <c r="C5" s="369"/>
      <c r="D5" s="370" t="s">
        <v>471</v>
      </c>
      <c r="E5" s="351" t="s">
        <v>472</v>
      </c>
      <c r="F5" s="370" t="s">
        <v>471</v>
      </c>
      <c r="G5" s="351" t="s">
        <v>472</v>
      </c>
      <c r="H5" s="370" t="s">
        <v>471</v>
      </c>
      <c r="I5" s="351" t="s">
        <v>472</v>
      </c>
      <c r="J5" s="368"/>
    </row>
    <row r="6" spans="2:10" ht="15.75">
      <c r="B6" s="371">
        <v>1</v>
      </c>
      <c r="C6" s="369" t="s">
        <v>1179</v>
      </c>
      <c r="D6" s="371" t="s">
        <v>1016</v>
      </c>
      <c r="E6" s="371" t="s">
        <v>1016</v>
      </c>
      <c r="F6" s="371" t="s">
        <v>1016</v>
      </c>
      <c r="G6" s="371" t="s">
        <v>1016</v>
      </c>
      <c r="H6" s="371" t="s">
        <v>1016</v>
      </c>
      <c r="I6" s="371" t="s">
        <v>1016</v>
      </c>
      <c r="J6" s="368"/>
    </row>
    <row r="7" spans="2:10" ht="15.75">
      <c r="B7" s="371">
        <v>2</v>
      </c>
      <c r="C7" s="368" t="s">
        <v>2054</v>
      </c>
      <c r="D7" s="371">
        <v>1</v>
      </c>
      <c r="E7" s="860">
        <v>0.01</v>
      </c>
      <c r="F7" s="357">
        <v>1</v>
      </c>
      <c r="G7" s="861">
        <v>0.02</v>
      </c>
      <c r="H7" s="357">
        <v>1</v>
      </c>
      <c r="I7" s="861">
        <v>0.02</v>
      </c>
      <c r="J7" s="368"/>
    </row>
    <row r="8" spans="2:10" ht="15.75">
      <c r="B8" s="371">
        <v>3</v>
      </c>
      <c r="C8" s="369" t="s">
        <v>1180</v>
      </c>
      <c r="D8" s="371">
        <v>8783</v>
      </c>
      <c r="E8" s="860">
        <v>99.99</v>
      </c>
      <c r="F8" s="371">
        <v>4391</v>
      </c>
      <c r="G8" s="860">
        <v>99.98</v>
      </c>
      <c r="H8" s="371">
        <v>4391</v>
      </c>
      <c r="I8" s="860">
        <v>99.98</v>
      </c>
      <c r="J8" s="368"/>
    </row>
    <row r="9" spans="2:10" ht="15.75">
      <c r="B9" s="371">
        <v>4</v>
      </c>
      <c r="C9" s="369" t="s">
        <v>473</v>
      </c>
      <c r="D9" s="371" t="s">
        <v>1016</v>
      </c>
      <c r="E9" s="371" t="s">
        <v>1016</v>
      </c>
      <c r="F9" s="371" t="s">
        <v>1016</v>
      </c>
      <c r="G9" s="371" t="s">
        <v>1016</v>
      </c>
      <c r="H9" s="371" t="s">
        <v>1016</v>
      </c>
      <c r="I9" s="371" t="s">
        <v>1016</v>
      </c>
      <c r="J9" s="368"/>
    </row>
    <row r="10" spans="2:10" ht="15.75">
      <c r="B10" s="371">
        <v>5</v>
      </c>
      <c r="C10" s="369" t="s">
        <v>1181</v>
      </c>
      <c r="D10" s="371" t="s">
        <v>1016</v>
      </c>
      <c r="E10" s="371" t="s">
        <v>1016</v>
      </c>
      <c r="F10" s="371" t="s">
        <v>1016</v>
      </c>
      <c r="G10" s="371" t="s">
        <v>1016</v>
      </c>
      <c r="H10" s="371" t="s">
        <v>1016</v>
      </c>
      <c r="I10" s="371" t="s">
        <v>1016</v>
      </c>
      <c r="J10" s="368"/>
    </row>
    <row r="11" spans="2:10" ht="15.75">
      <c r="B11" s="371">
        <v>6</v>
      </c>
      <c r="C11" s="369" t="s">
        <v>1182</v>
      </c>
      <c r="D11" s="371" t="s">
        <v>1016</v>
      </c>
      <c r="E11" s="371" t="s">
        <v>1016</v>
      </c>
      <c r="F11" s="371" t="s">
        <v>1016</v>
      </c>
      <c r="G11" s="371" t="s">
        <v>1016</v>
      </c>
      <c r="H11" s="371" t="s">
        <v>1016</v>
      </c>
      <c r="I11" s="371" t="s">
        <v>1016</v>
      </c>
      <c r="J11" s="368"/>
    </row>
    <row r="12" spans="2:10" ht="15.75">
      <c r="B12" s="371">
        <v>7</v>
      </c>
      <c r="C12" s="369" t="s">
        <v>1183</v>
      </c>
      <c r="D12" s="371" t="s">
        <v>1016</v>
      </c>
      <c r="E12" s="371" t="s">
        <v>1016</v>
      </c>
      <c r="F12" s="371" t="s">
        <v>1016</v>
      </c>
      <c r="G12" s="371" t="s">
        <v>1016</v>
      </c>
      <c r="H12" s="371" t="s">
        <v>1016</v>
      </c>
      <c r="I12" s="371" t="s">
        <v>1016</v>
      </c>
      <c r="J12" s="368"/>
    </row>
    <row r="13" spans="2:10" ht="15.75">
      <c r="B13" s="779"/>
      <c r="C13" s="779"/>
      <c r="D13" s="779"/>
      <c r="E13" s="779"/>
      <c r="F13" s="779"/>
      <c r="G13" s="779"/>
      <c r="H13" s="779"/>
      <c r="I13" s="368"/>
      <c r="J13" s="368"/>
    </row>
    <row r="14" spans="2:10" ht="15.75">
      <c r="B14" s="368"/>
      <c r="C14" s="368"/>
      <c r="D14" s="368"/>
      <c r="E14" s="368"/>
      <c r="F14" s="368"/>
      <c r="G14" s="368"/>
      <c r="H14" s="368"/>
      <c r="I14" s="368"/>
      <c r="J14" s="368"/>
    </row>
    <row r="15" spans="2:10" ht="15.75">
      <c r="B15" s="372"/>
      <c r="C15" s="372"/>
      <c r="D15" s="372"/>
      <c r="E15" s="372"/>
      <c r="F15" s="372"/>
      <c r="G15" s="372"/>
      <c r="H15" s="368"/>
      <c r="I15" s="368"/>
      <c r="J15" s="368"/>
    </row>
    <row r="16" spans="2:10" ht="18.75">
      <c r="B16" s="372"/>
      <c r="C16" s="372"/>
      <c r="D16" s="372"/>
      <c r="E16" s="372"/>
      <c r="F16" s="372"/>
      <c r="G16" s="1903" t="s">
        <v>1163</v>
      </c>
      <c r="H16" s="1903"/>
      <c r="I16" s="1903"/>
      <c r="J16" s="368"/>
    </row>
    <row r="17" spans="2:10" ht="15.75">
      <c r="B17" s="372"/>
      <c r="C17" s="372"/>
      <c r="D17" s="372"/>
      <c r="E17" s="372"/>
      <c r="F17" s="372"/>
      <c r="G17" s="372"/>
      <c r="H17" s="368"/>
      <c r="I17" s="368"/>
      <c r="J17" s="368"/>
    </row>
    <row r="18" spans="2:10" ht="15.75">
      <c r="B18" s="368"/>
      <c r="C18" s="368"/>
      <c r="D18" s="368"/>
      <c r="E18" s="368"/>
      <c r="F18" s="368"/>
      <c r="G18" s="368"/>
      <c r="H18" s="368"/>
      <c r="I18" s="368"/>
      <c r="J18" s="368"/>
    </row>
    <row r="19" spans="2:10" ht="15.75">
      <c r="B19" s="368"/>
      <c r="C19" s="368"/>
      <c r="D19" s="368"/>
      <c r="E19" s="368"/>
      <c r="F19" s="368"/>
      <c r="G19" s="368"/>
      <c r="H19" s="368"/>
      <c r="I19" s="368"/>
      <c r="J19" s="368"/>
    </row>
    <row r="20" spans="2:10" ht="15.75">
      <c r="B20" s="368"/>
      <c r="C20" s="368"/>
      <c r="D20" s="368"/>
      <c r="E20" s="368"/>
      <c r="F20" s="368"/>
      <c r="G20" s="368"/>
      <c r="H20" s="368"/>
      <c r="I20" s="368"/>
      <c r="J20" s="368"/>
    </row>
  </sheetData>
  <mergeCells count="7">
    <mergeCell ref="G16:I16"/>
    <mergeCell ref="B1:J1"/>
    <mergeCell ref="B2:H2"/>
    <mergeCell ref="B3:H3"/>
    <mergeCell ref="D4:E4"/>
    <mergeCell ref="F4:G4"/>
    <mergeCell ref="H4:I4"/>
  </mergeCells>
  <pageMargins left="0.70866141732283472" right="0.70866141732283472" top="0.74803149606299213" bottom="0.74803149606299213" header="0.31496062992125984" footer="0.31496062992125984"/>
  <pageSetup paperSize="9" scale="88"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2"/>
  <sheetViews>
    <sheetView showGridLines="0" view="pageBreakPreview" topLeftCell="E1" zoomScale="85" zoomScaleNormal="55" zoomScaleSheetLayoutView="85" workbookViewId="0">
      <selection activeCell="H22" sqref="H22"/>
    </sheetView>
  </sheetViews>
  <sheetFormatPr defaultColWidth="8.85546875" defaultRowHeight="15"/>
  <cols>
    <col min="1" max="1" width="3" style="57" customWidth="1"/>
    <col min="2" max="2" width="24.5703125" style="57" customWidth="1"/>
    <col min="3" max="3" width="0" style="57" hidden="1" customWidth="1"/>
    <col min="4" max="4" width="3.42578125" style="57" hidden="1" customWidth="1"/>
    <col min="5" max="227" width="8.85546875" style="57"/>
    <col min="228" max="228" width="3" style="57" customWidth="1"/>
    <col min="229" max="229" width="24.5703125" style="57" customWidth="1"/>
    <col min="230" max="483" width="8.85546875" style="57"/>
    <col min="484" max="484" width="3" style="57" customWidth="1"/>
    <col min="485" max="485" width="24.5703125" style="57" customWidth="1"/>
    <col min="486" max="739" width="8.85546875" style="57"/>
    <col min="740" max="740" width="3" style="57" customWidth="1"/>
    <col min="741" max="741" width="24.5703125" style="57" customWidth="1"/>
    <col min="742" max="995" width="8.85546875" style="57"/>
    <col min="996" max="996" width="3" style="57" customWidth="1"/>
    <col min="997" max="997" width="24.5703125" style="57" customWidth="1"/>
    <col min="998" max="1251" width="8.85546875" style="57"/>
    <col min="1252" max="1252" width="3" style="57" customWidth="1"/>
    <col min="1253" max="1253" width="24.5703125" style="57" customWidth="1"/>
    <col min="1254" max="1507" width="8.85546875" style="57"/>
    <col min="1508" max="1508" width="3" style="57" customWidth="1"/>
    <col min="1509" max="1509" width="24.5703125" style="57" customWidth="1"/>
    <col min="1510" max="1763" width="8.85546875" style="57"/>
    <col min="1764" max="1764" width="3" style="57" customWidth="1"/>
    <col min="1765" max="1765" width="24.5703125" style="57" customWidth="1"/>
    <col min="1766" max="2019" width="8.85546875" style="57"/>
    <col min="2020" max="2020" width="3" style="57" customWidth="1"/>
    <col min="2021" max="2021" width="24.5703125" style="57" customWidth="1"/>
    <col min="2022" max="2275" width="8.85546875" style="57"/>
    <col min="2276" max="2276" width="3" style="57" customWidth="1"/>
    <col min="2277" max="2277" width="24.5703125" style="57" customWidth="1"/>
    <col min="2278" max="2531" width="8.85546875" style="57"/>
    <col min="2532" max="2532" width="3" style="57" customWidth="1"/>
    <col min="2533" max="2533" width="24.5703125" style="57" customWidth="1"/>
    <col min="2534" max="2787" width="8.85546875" style="57"/>
    <col min="2788" max="2788" width="3" style="57" customWidth="1"/>
    <col min="2789" max="2789" width="24.5703125" style="57" customWidth="1"/>
    <col min="2790" max="3043" width="8.85546875" style="57"/>
    <col min="3044" max="3044" width="3" style="57" customWidth="1"/>
    <col min="3045" max="3045" width="24.5703125" style="57" customWidth="1"/>
    <col min="3046" max="3299" width="8.85546875" style="57"/>
    <col min="3300" max="3300" width="3" style="57" customWidth="1"/>
    <col min="3301" max="3301" width="24.5703125" style="57" customWidth="1"/>
    <col min="3302" max="3555" width="8.85546875" style="57"/>
    <col min="3556" max="3556" width="3" style="57" customWidth="1"/>
    <col min="3557" max="3557" width="24.5703125" style="57" customWidth="1"/>
    <col min="3558" max="3811" width="8.85546875" style="57"/>
    <col min="3812" max="3812" width="3" style="57" customWidth="1"/>
    <col min="3813" max="3813" width="24.5703125" style="57" customWidth="1"/>
    <col min="3814" max="4067" width="8.85546875" style="57"/>
    <col min="4068" max="4068" width="3" style="57" customWidth="1"/>
    <col min="4069" max="4069" width="24.5703125" style="57" customWidth="1"/>
    <col min="4070" max="4323" width="8.85546875" style="57"/>
    <col min="4324" max="4324" width="3" style="57" customWidth="1"/>
    <col min="4325" max="4325" width="24.5703125" style="57" customWidth="1"/>
    <col min="4326" max="4579" width="8.85546875" style="57"/>
    <col min="4580" max="4580" width="3" style="57" customWidth="1"/>
    <col min="4581" max="4581" width="24.5703125" style="57" customWidth="1"/>
    <col min="4582" max="4835" width="8.85546875" style="57"/>
    <col min="4836" max="4836" width="3" style="57" customWidth="1"/>
    <col min="4837" max="4837" width="24.5703125" style="57" customWidth="1"/>
    <col min="4838" max="5091" width="8.85546875" style="57"/>
    <col min="5092" max="5092" width="3" style="57" customWidth="1"/>
    <col min="5093" max="5093" width="24.5703125" style="57" customWidth="1"/>
    <col min="5094" max="5347" width="8.85546875" style="57"/>
    <col min="5348" max="5348" width="3" style="57" customWidth="1"/>
    <col min="5349" max="5349" width="24.5703125" style="57" customWidth="1"/>
    <col min="5350" max="5603" width="8.85546875" style="57"/>
    <col min="5604" max="5604" width="3" style="57" customWidth="1"/>
    <col min="5605" max="5605" width="24.5703125" style="57" customWidth="1"/>
    <col min="5606" max="5859" width="8.85546875" style="57"/>
    <col min="5860" max="5860" width="3" style="57" customWidth="1"/>
    <col min="5861" max="5861" width="24.5703125" style="57" customWidth="1"/>
    <col min="5862" max="6115" width="8.85546875" style="57"/>
    <col min="6116" max="6116" width="3" style="57" customWidth="1"/>
    <col min="6117" max="6117" width="24.5703125" style="57" customWidth="1"/>
    <col min="6118" max="6371" width="8.85546875" style="57"/>
    <col min="6372" max="6372" width="3" style="57" customWidth="1"/>
    <col min="6373" max="6373" width="24.5703125" style="57" customWidth="1"/>
    <col min="6374" max="6627" width="8.85546875" style="57"/>
    <col min="6628" max="6628" width="3" style="57" customWidth="1"/>
    <col min="6629" max="6629" width="24.5703125" style="57" customWidth="1"/>
    <col min="6630" max="6883" width="8.85546875" style="57"/>
    <col min="6884" max="6884" width="3" style="57" customWidth="1"/>
    <col min="6885" max="6885" width="24.5703125" style="57" customWidth="1"/>
    <col min="6886" max="7139" width="8.85546875" style="57"/>
    <col min="7140" max="7140" width="3" style="57" customWidth="1"/>
    <col min="7141" max="7141" width="24.5703125" style="57" customWidth="1"/>
    <col min="7142" max="7395" width="8.85546875" style="57"/>
    <col min="7396" max="7396" width="3" style="57" customWidth="1"/>
    <col min="7397" max="7397" width="24.5703125" style="57" customWidth="1"/>
    <col min="7398" max="7651" width="8.85546875" style="57"/>
    <col min="7652" max="7652" width="3" style="57" customWidth="1"/>
    <col min="7653" max="7653" width="24.5703125" style="57" customWidth="1"/>
    <col min="7654" max="7907" width="8.85546875" style="57"/>
    <col min="7908" max="7908" width="3" style="57" customWidth="1"/>
    <col min="7909" max="7909" width="24.5703125" style="57" customWidth="1"/>
    <col min="7910" max="8163" width="8.85546875" style="57"/>
    <col min="8164" max="8164" width="3" style="57" customWidth="1"/>
    <col min="8165" max="8165" width="24.5703125" style="57" customWidth="1"/>
    <col min="8166" max="8419" width="8.85546875" style="57"/>
    <col min="8420" max="8420" width="3" style="57" customWidth="1"/>
    <col min="8421" max="8421" width="24.5703125" style="57" customWidth="1"/>
    <col min="8422" max="8675" width="8.85546875" style="57"/>
    <col min="8676" max="8676" width="3" style="57" customWidth="1"/>
    <col min="8677" max="8677" width="24.5703125" style="57" customWidth="1"/>
    <col min="8678" max="8931" width="8.85546875" style="57"/>
    <col min="8932" max="8932" width="3" style="57" customWidth="1"/>
    <col min="8933" max="8933" width="24.5703125" style="57" customWidth="1"/>
    <col min="8934" max="9187" width="8.85546875" style="57"/>
    <col min="9188" max="9188" width="3" style="57" customWidth="1"/>
    <col min="9189" max="9189" width="24.5703125" style="57" customWidth="1"/>
    <col min="9190" max="9443" width="8.85546875" style="57"/>
    <col min="9444" max="9444" width="3" style="57" customWidth="1"/>
    <col min="9445" max="9445" width="24.5703125" style="57" customWidth="1"/>
    <col min="9446" max="9699" width="8.85546875" style="57"/>
    <col min="9700" max="9700" width="3" style="57" customWidth="1"/>
    <col min="9701" max="9701" width="24.5703125" style="57" customWidth="1"/>
    <col min="9702" max="9955" width="8.85546875" style="57"/>
    <col min="9956" max="9956" width="3" style="57" customWidth="1"/>
    <col min="9957" max="9957" width="24.5703125" style="57" customWidth="1"/>
    <col min="9958" max="10211" width="8.85546875" style="57"/>
    <col min="10212" max="10212" width="3" style="57" customWidth="1"/>
    <col min="10213" max="10213" width="24.5703125" style="57" customWidth="1"/>
    <col min="10214" max="10467" width="8.85546875" style="57"/>
    <col min="10468" max="10468" width="3" style="57" customWidth="1"/>
    <col min="10469" max="10469" width="24.5703125" style="57" customWidth="1"/>
    <col min="10470" max="10723" width="8.85546875" style="57"/>
    <col min="10724" max="10724" width="3" style="57" customWidth="1"/>
    <col min="10725" max="10725" width="24.5703125" style="57" customWidth="1"/>
    <col min="10726" max="10979" width="8.85546875" style="57"/>
    <col min="10980" max="10980" width="3" style="57" customWidth="1"/>
    <col min="10981" max="10981" width="24.5703125" style="57" customWidth="1"/>
    <col min="10982" max="11235" width="8.85546875" style="57"/>
    <col min="11236" max="11236" width="3" style="57" customWidth="1"/>
    <col min="11237" max="11237" width="24.5703125" style="57" customWidth="1"/>
    <col min="11238" max="11491" width="8.85546875" style="57"/>
    <col min="11492" max="11492" width="3" style="57" customWidth="1"/>
    <col min="11493" max="11493" width="24.5703125" style="57" customWidth="1"/>
    <col min="11494" max="11747" width="8.85546875" style="57"/>
    <col min="11748" max="11748" width="3" style="57" customWidth="1"/>
    <col min="11749" max="11749" width="24.5703125" style="57" customWidth="1"/>
    <col min="11750" max="12003" width="8.85546875" style="57"/>
    <col min="12004" max="12004" width="3" style="57" customWidth="1"/>
    <col min="12005" max="12005" width="24.5703125" style="57" customWidth="1"/>
    <col min="12006" max="12259" width="8.85546875" style="57"/>
    <col min="12260" max="12260" width="3" style="57" customWidth="1"/>
    <col min="12261" max="12261" width="24.5703125" style="57" customWidth="1"/>
    <col min="12262" max="12515" width="8.85546875" style="57"/>
    <col min="12516" max="12516" width="3" style="57" customWidth="1"/>
    <col min="12517" max="12517" width="24.5703125" style="57" customWidth="1"/>
    <col min="12518" max="12771" width="8.85546875" style="57"/>
    <col min="12772" max="12772" width="3" style="57" customWidth="1"/>
    <col min="12773" max="12773" width="24.5703125" style="57" customWidth="1"/>
    <col min="12774" max="13027" width="8.85546875" style="57"/>
    <col min="13028" max="13028" width="3" style="57" customWidth="1"/>
    <col min="13029" max="13029" width="24.5703125" style="57" customWidth="1"/>
    <col min="13030" max="13283" width="8.85546875" style="57"/>
    <col min="13284" max="13284" width="3" style="57" customWidth="1"/>
    <col min="13285" max="13285" width="24.5703125" style="57" customWidth="1"/>
    <col min="13286" max="13539" width="8.85546875" style="57"/>
    <col min="13540" max="13540" width="3" style="57" customWidth="1"/>
    <col min="13541" max="13541" width="24.5703125" style="57" customWidth="1"/>
    <col min="13542" max="13795" width="8.85546875" style="57"/>
    <col min="13796" max="13796" width="3" style="57" customWidth="1"/>
    <col min="13797" max="13797" width="24.5703125" style="57" customWidth="1"/>
    <col min="13798" max="14051" width="8.85546875" style="57"/>
    <col min="14052" max="14052" width="3" style="57" customWidth="1"/>
    <col min="14053" max="14053" width="24.5703125" style="57" customWidth="1"/>
    <col min="14054" max="14307" width="8.85546875" style="57"/>
    <col min="14308" max="14308" width="3" style="57" customWidth="1"/>
    <col min="14309" max="14309" width="24.5703125" style="57" customWidth="1"/>
    <col min="14310" max="14563" width="8.85546875" style="57"/>
    <col min="14564" max="14564" width="3" style="57" customWidth="1"/>
    <col min="14565" max="14565" width="24.5703125" style="57" customWidth="1"/>
    <col min="14566" max="14819" width="8.85546875" style="57"/>
    <col min="14820" max="14820" width="3" style="57" customWidth="1"/>
    <col min="14821" max="14821" width="24.5703125" style="57" customWidth="1"/>
    <col min="14822" max="15075" width="8.85546875" style="57"/>
    <col min="15076" max="15076" width="3" style="57" customWidth="1"/>
    <col min="15077" max="15077" width="24.5703125" style="57" customWidth="1"/>
    <col min="15078" max="15331" width="8.85546875" style="57"/>
    <col min="15332" max="15332" width="3" style="57" customWidth="1"/>
    <col min="15333" max="15333" width="24.5703125" style="57" customWidth="1"/>
    <col min="15334" max="15587" width="8.85546875" style="57"/>
    <col min="15588" max="15588" width="3" style="57" customWidth="1"/>
    <col min="15589" max="15589" width="24.5703125" style="57" customWidth="1"/>
    <col min="15590" max="15843" width="8.85546875" style="57"/>
    <col min="15844" max="15844" width="3" style="57" customWidth="1"/>
    <col min="15845" max="15845" width="24.5703125" style="57" customWidth="1"/>
    <col min="15846" max="16099" width="8.85546875" style="57"/>
    <col min="16100" max="16100" width="3" style="57" customWidth="1"/>
    <col min="16101" max="16101" width="24.5703125" style="57" customWidth="1"/>
    <col min="16102" max="16384" width="8.85546875" style="57"/>
  </cols>
  <sheetData>
    <row r="1" spans="1:16">
      <c r="A1" s="1936" t="s">
        <v>1107</v>
      </c>
      <c r="B1" s="1936"/>
      <c r="C1" s="1936"/>
      <c r="D1" s="1936"/>
      <c r="E1" s="1936"/>
      <c r="F1" s="1936"/>
      <c r="G1" s="1936"/>
      <c r="H1" s="1936"/>
      <c r="I1" s="1936"/>
      <c r="J1" s="1936"/>
      <c r="K1" s="1936"/>
      <c r="L1" s="1936"/>
      <c r="M1" s="1936"/>
      <c r="N1" s="1936"/>
      <c r="O1" s="1936"/>
      <c r="P1" s="1936"/>
    </row>
    <row r="2" spans="1:16">
      <c r="A2" s="1937" t="s">
        <v>1233</v>
      </c>
      <c r="B2" s="1937"/>
      <c r="C2" s="1937"/>
      <c r="D2" s="1937"/>
      <c r="E2" s="1937"/>
      <c r="F2" s="1937"/>
      <c r="G2" s="1937"/>
      <c r="H2" s="1937"/>
      <c r="I2" s="1937"/>
      <c r="J2" s="1937"/>
      <c r="K2" s="1937"/>
      <c r="L2" s="1937"/>
      <c r="M2" s="1937"/>
      <c r="N2" s="1937"/>
      <c r="O2" s="1937"/>
      <c r="P2" s="1937"/>
    </row>
    <row r="3" spans="1:16">
      <c r="A3" s="1938" t="s">
        <v>1185</v>
      </c>
      <c r="B3" s="1938"/>
      <c r="C3" s="1938"/>
      <c r="D3" s="1938"/>
      <c r="E3" s="1938"/>
      <c r="F3" s="1938"/>
      <c r="G3" s="1938"/>
      <c r="H3" s="1938"/>
      <c r="I3" s="1938"/>
      <c r="J3" s="1938"/>
      <c r="K3" s="1938"/>
      <c r="L3" s="862"/>
      <c r="M3" s="863"/>
      <c r="N3" s="862" t="s">
        <v>1186</v>
      </c>
      <c r="O3" s="863"/>
      <c r="P3" s="863"/>
    </row>
    <row r="4" spans="1:16" ht="0.6" customHeight="1">
      <c r="A4" s="864"/>
      <c r="B4" s="865"/>
      <c r="C4" s="865"/>
      <c r="D4" s="865"/>
      <c r="E4" s="865"/>
      <c r="F4" s="865"/>
      <c r="G4" s="865"/>
      <c r="H4" s="865"/>
      <c r="I4" s="865"/>
      <c r="J4" s="865"/>
      <c r="K4" s="865"/>
      <c r="L4" s="865"/>
      <c r="M4" s="865"/>
      <c r="N4" s="865"/>
      <c r="O4" s="865"/>
      <c r="P4" s="865"/>
    </row>
    <row r="5" spans="1:16">
      <c r="A5" s="1939" t="s">
        <v>44</v>
      </c>
      <c r="B5" s="1940" t="s">
        <v>1187</v>
      </c>
      <c r="C5" s="1940" t="s">
        <v>1188</v>
      </c>
      <c r="D5" s="1940" t="s">
        <v>1189</v>
      </c>
      <c r="E5" s="1942" t="s">
        <v>865</v>
      </c>
      <c r="F5" s="1943"/>
      <c r="G5" s="1943"/>
      <c r="H5" s="1943"/>
      <c r="I5" s="1943"/>
      <c r="J5" s="1944"/>
      <c r="K5" s="1945" t="s">
        <v>864</v>
      </c>
      <c r="L5" s="1945"/>
      <c r="M5" s="1945"/>
      <c r="N5" s="1945"/>
      <c r="O5" s="1945"/>
      <c r="P5" s="1945"/>
    </row>
    <row r="6" spans="1:16">
      <c r="A6" s="1939"/>
      <c r="B6" s="1940"/>
      <c r="C6" s="1940"/>
      <c r="D6" s="1940"/>
      <c r="E6" s="1942" t="s">
        <v>480</v>
      </c>
      <c r="F6" s="1943"/>
      <c r="G6" s="1943"/>
      <c r="H6" s="1943"/>
      <c r="I6" s="1943"/>
      <c r="J6" s="1944"/>
      <c r="K6" s="1945" t="s">
        <v>2050</v>
      </c>
      <c r="L6" s="1945"/>
      <c r="M6" s="1945"/>
      <c r="N6" s="1945"/>
      <c r="O6" s="1945"/>
      <c r="P6" s="1945"/>
    </row>
    <row r="7" spans="1:16" ht="29.45" customHeight="1">
      <c r="A7" s="1939"/>
      <c r="B7" s="1941"/>
      <c r="C7" s="1940"/>
      <c r="D7" s="1940" t="s">
        <v>1190</v>
      </c>
      <c r="E7" s="1940" t="s">
        <v>476</v>
      </c>
      <c r="F7" s="1940"/>
      <c r="G7" s="1940" t="s">
        <v>477</v>
      </c>
      <c r="H7" s="1940"/>
      <c r="I7" s="1940" t="s">
        <v>478</v>
      </c>
      <c r="J7" s="1940"/>
      <c r="K7" s="1940" t="s">
        <v>476</v>
      </c>
      <c r="L7" s="1940"/>
      <c r="M7" s="1940" t="s">
        <v>477</v>
      </c>
      <c r="N7" s="1940"/>
      <c r="O7" s="1940" t="s">
        <v>478</v>
      </c>
      <c r="P7" s="1940"/>
    </row>
    <row r="8" spans="1:16">
      <c r="A8" s="866"/>
      <c r="B8" s="373"/>
      <c r="C8" s="867" t="s">
        <v>1005</v>
      </c>
      <c r="D8" s="373"/>
      <c r="E8" s="373" t="s">
        <v>1191</v>
      </c>
      <c r="F8" s="373" t="s">
        <v>479</v>
      </c>
      <c r="G8" s="373" t="s">
        <v>1191</v>
      </c>
      <c r="H8" s="373" t="s">
        <v>479</v>
      </c>
      <c r="I8" s="373" t="s">
        <v>1191</v>
      </c>
      <c r="J8" s="373" t="s">
        <v>479</v>
      </c>
      <c r="K8" s="373" t="s">
        <v>1191</v>
      </c>
      <c r="L8" s="373" t="s">
        <v>479</v>
      </c>
      <c r="M8" s="373" t="s">
        <v>1191</v>
      </c>
      <c r="N8" s="373" t="s">
        <v>479</v>
      </c>
      <c r="O8" s="373" t="s">
        <v>1191</v>
      </c>
      <c r="P8" s="373" t="s">
        <v>479</v>
      </c>
    </row>
    <row r="9" spans="1:16">
      <c r="A9" s="866">
        <v>1</v>
      </c>
      <c r="B9" s="868" t="s">
        <v>2051</v>
      </c>
      <c r="C9" s="867"/>
      <c r="D9" s="373"/>
      <c r="E9" s="911" t="s">
        <v>1016</v>
      </c>
      <c r="F9" s="959">
        <v>0</v>
      </c>
      <c r="G9" s="911">
        <v>8784</v>
      </c>
      <c r="H9" s="959">
        <v>1</v>
      </c>
      <c r="I9" s="911" t="s">
        <v>1016</v>
      </c>
      <c r="J9" s="959">
        <v>0</v>
      </c>
      <c r="K9" s="911" t="s">
        <v>1016</v>
      </c>
      <c r="L9" s="959">
        <v>0</v>
      </c>
      <c r="M9" s="911">
        <v>4392</v>
      </c>
      <c r="N9" s="959">
        <v>1</v>
      </c>
      <c r="O9" s="911" t="s">
        <v>1016</v>
      </c>
      <c r="P9" s="959">
        <v>0</v>
      </c>
    </row>
    <row r="10" spans="1:16">
      <c r="A10" s="866">
        <v>2</v>
      </c>
      <c r="B10" s="868" t="s">
        <v>2052</v>
      </c>
      <c r="C10" s="867"/>
      <c r="D10" s="373"/>
      <c r="E10" s="911" t="s">
        <v>1016</v>
      </c>
      <c r="F10" s="959">
        <v>0</v>
      </c>
      <c r="G10" s="911">
        <v>8784</v>
      </c>
      <c r="H10" s="959">
        <v>1</v>
      </c>
      <c r="I10" s="911" t="s">
        <v>1016</v>
      </c>
      <c r="J10" s="959">
        <v>0</v>
      </c>
      <c r="K10" s="911" t="s">
        <v>1016</v>
      </c>
      <c r="L10" s="959">
        <v>0</v>
      </c>
      <c r="M10" s="911">
        <v>4392</v>
      </c>
      <c r="N10" s="959">
        <v>1</v>
      </c>
      <c r="O10" s="911" t="s">
        <v>1016</v>
      </c>
      <c r="P10" s="959">
        <v>0</v>
      </c>
    </row>
    <row r="11" spans="1:16">
      <c r="A11" s="866">
        <v>3</v>
      </c>
      <c r="B11" s="868" t="s">
        <v>2053</v>
      </c>
      <c r="C11" s="867"/>
      <c r="D11" s="373"/>
      <c r="E11" s="911" t="s">
        <v>1016</v>
      </c>
      <c r="F11" s="959">
        <v>0</v>
      </c>
      <c r="G11" s="911">
        <v>8784</v>
      </c>
      <c r="H11" s="959">
        <v>1</v>
      </c>
      <c r="I11" s="911" t="s">
        <v>1016</v>
      </c>
      <c r="J11" s="959">
        <v>0</v>
      </c>
      <c r="K11" s="911" t="s">
        <v>1016</v>
      </c>
      <c r="L11" s="959">
        <v>0</v>
      </c>
      <c r="M11" s="911">
        <v>4392</v>
      </c>
      <c r="N11" s="959">
        <v>1</v>
      </c>
      <c r="O11" s="911" t="s">
        <v>1016</v>
      </c>
      <c r="P11" s="959">
        <v>0</v>
      </c>
    </row>
    <row r="12" spans="1:16" s="872" customFormat="1">
      <c r="A12" s="869"/>
      <c r="B12" s="870"/>
      <c r="C12" s="871"/>
      <c r="D12" s="870"/>
      <c r="E12" s="870"/>
      <c r="F12" s="870"/>
      <c r="G12" s="870"/>
      <c r="H12" s="870"/>
      <c r="I12" s="870"/>
      <c r="J12" s="870"/>
      <c r="K12" s="870"/>
      <c r="L12" s="870"/>
      <c r="M12" s="870"/>
      <c r="N12" s="870"/>
      <c r="O12" s="870"/>
      <c r="P12" s="870"/>
    </row>
    <row r="13" spans="1:16" s="872" customFormat="1">
      <c r="A13" s="872" t="s">
        <v>1208</v>
      </c>
    </row>
    <row r="14" spans="1:16" s="872" customFormat="1" ht="15.75">
      <c r="B14" s="873" t="s">
        <v>1184</v>
      </c>
    </row>
    <row r="15" spans="1:16" s="872" customFormat="1" ht="15.75">
      <c r="B15" s="873"/>
    </row>
    <row r="16" spans="1:16" s="872" customFormat="1" ht="18.75">
      <c r="B16" s="873"/>
      <c r="L16" s="1903" t="s">
        <v>1163</v>
      </c>
      <c r="M16" s="1903"/>
      <c r="N16" s="1903"/>
    </row>
    <row r="17" spans="2:2" s="872" customFormat="1" ht="15.75">
      <c r="B17" s="873"/>
    </row>
    <row r="18" spans="2:2" s="872" customFormat="1" ht="15.75">
      <c r="B18" s="873"/>
    </row>
    <row r="19" spans="2:2" s="872" customFormat="1" ht="15.75">
      <c r="B19" s="873"/>
    </row>
    <row r="20" spans="2:2" s="872" customFormat="1"/>
    <row r="21" spans="2:2" s="872" customFormat="1"/>
    <row r="22" spans="2:2" s="872" customFormat="1"/>
    <row r="23" spans="2:2" s="872" customFormat="1"/>
    <row r="24" spans="2:2" s="872" customFormat="1"/>
    <row r="25" spans="2:2" s="872" customFormat="1"/>
    <row r="26" spans="2:2" s="872" customFormat="1"/>
    <row r="27" spans="2:2" s="872" customFormat="1"/>
    <row r="28" spans="2:2" s="872" customFormat="1"/>
    <row r="29" spans="2:2" s="872" customFormat="1"/>
    <row r="30" spans="2:2" s="872" customFormat="1"/>
    <row r="31" spans="2:2" s="872" customFormat="1"/>
    <row r="32" spans="2:2" s="872" customFormat="1"/>
  </sheetData>
  <mergeCells count="18">
    <mergeCell ref="L16:N16"/>
    <mergeCell ref="E6:J6"/>
    <mergeCell ref="K6:P6"/>
    <mergeCell ref="E7:F7"/>
    <mergeCell ref="G7:H7"/>
    <mergeCell ref="I7:J7"/>
    <mergeCell ref="K7:L7"/>
    <mergeCell ref="M7:N7"/>
    <mergeCell ref="O7:P7"/>
    <mergeCell ref="A1:P1"/>
    <mergeCell ref="A2:P2"/>
    <mergeCell ref="A3:K3"/>
    <mergeCell ref="A5:A7"/>
    <mergeCell ref="B5:B7"/>
    <mergeCell ref="C5:C7"/>
    <mergeCell ref="D5:D7"/>
    <mergeCell ref="E5:J5"/>
    <mergeCell ref="K5:P5"/>
  </mergeCells>
  <pageMargins left="0.4" right="0.41"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1"/>
  <sheetViews>
    <sheetView showGridLines="0" view="pageBreakPreview" zoomScaleNormal="85" zoomScaleSheetLayoutView="100" workbookViewId="0">
      <selection activeCell="J6" sqref="J6:L17"/>
    </sheetView>
  </sheetViews>
  <sheetFormatPr defaultColWidth="8.85546875" defaultRowHeight="15"/>
  <cols>
    <col min="1" max="1" width="4.140625" customWidth="1"/>
    <col min="3" max="3" width="52.42578125" customWidth="1"/>
    <col min="4" max="7" width="15.140625" customWidth="1"/>
    <col min="8" max="8" width="3.42578125" customWidth="1"/>
    <col min="259" max="259" width="52.42578125" customWidth="1"/>
    <col min="260" max="260" width="13.42578125" customWidth="1"/>
    <col min="261" max="261" width="12.5703125" customWidth="1"/>
    <col min="262" max="262" width="12.140625" customWidth="1"/>
    <col min="263" max="263" width="12" customWidth="1"/>
    <col min="264" max="264" width="20.85546875" customWidth="1"/>
    <col min="515" max="515" width="52.42578125" customWidth="1"/>
    <col min="516" max="516" width="13.42578125" customWidth="1"/>
    <col min="517" max="517" width="12.5703125" customWidth="1"/>
    <col min="518" max="518" width="12.140625" customWidth="1"/>
    <col min="519" max="519" width="12" customWidth="1"/>
    <col min="520" max="520" width="20.85546875" customWidth="1"/>
    <col min="771" max="771" width="52.42578125" customWidth="1"/>
    <col min="772" max="772" width="13.42578125" customWidth="1"/>
    <col min="773" max="773" width="12.5703125" customWidth="1"/>
    <col min="774" max="774" width="12.140625" customWidth="1"/>
    <col min="775" max="775" width="12" customWidth="1"/>
    <col min="776" max="776" width="20.85546875" customWidth="1"/>
    <col min="1027" max="1027" width="52.42578125" customWidth="1"/>
    <col min="1028" max="1028" width="13.42578125" customWidth="1"/>
    <col min="1029" max="1029" width="12.5703125" customWidth="1"/>
    <col min="1030" max="1030" width="12.140625" customWidth="1"/>
    <col min="1031" max="1031" width="12" customWidth="1"/>
    <col min="1032" max="1032" width="20.85546875" customWidth="1"/>
    <col min="1283" max="1283" width="52.42578125" customWidth="1"/>
    <col min="1284" max="1284" width="13.42578125" customWidth="1"/>
    <col min="1285" max="1285" width="12.5703125" customWidth="1"/>
    <col min="1286" max="1286" width="12.140625" customWidth="1"/>
    <col min="1287" max="1287" width="12" customWidth="1"/>
    <col min="1288" max="1288" width="20.85546875" customWidth="1"/>
    <col min="1539" max="1539" width="52.42578125" customWidth="1"/>
    <col min="1540" max="1540" width="13.42578125" customWidth="1"/>
    <col min="1541" max="1541" width="12.5703125" customWidth="1"/>
    <col min="1542" max="1542" width="12.140625" customWidth="1"/>
    <col min="1543" max="1543" width="12" customWidth="1"/>
    <col min="1544" max="1544" width="20.85546875" customWidth="1"/>
    <col min="1795" max="1795" width="52.42578125" customWidth="1"/>
    <col min="1796" max="1796" width="13.42578125" customWidth="1"/>
    <col min="1797" max="1797" width="12.5703125" customWidth="1"/>
    <col min="1798" max="1798" width="12.140625" customWidth="1"/>
    <col min="1799" max="1799" width="12" customWidth="1"/>
    <col min="1800" max="1800" width="20.85546875" customWidth="1"/>
    <col min="2051" max="2051" width="52.42578125" customWidth="1"/>
    <col min="2052" max="2052" width="13.42578125" customWidth="1"/>
    <col min="2053" max="2053" width="12.5703125" customWidth="1"/>
    <col min="2054" max="2054" width="12.140625" customWidth="1"/>
    <col min="2055" max="2055" width="12" customWidth="1"/>
    <col min="2056" max="2056" width="20.85546875" customWidth="1"/>
    <col min="2307" max="2307" width="52.42578125" customWidth="1"/>
    <col min="2308" max="2308" width="13.42578125" customWidth="1"/>
    <col min="2309" max="2309" width="12.5703125" customWidth="1"/>
    <col min="2310" max="2310" width="12.140625" customWidth="1"/>
    <col min="2311" max="2311" width="12" customWidth="1"/>
    <col min="2312" max="2312" width="20.85546875" customWidth="1"/>
    <col min="2563" max="2563" width="52.42578125" customWidth="1"/>
    <col min="2564" max="2564" width="13.42578125" customWidth="1"/>
    <col min="2565" max="2565" width="12.5703125" customWidth="1"/>
    <col min="2566" max="2566" width="12.140625" customWidth="1"/>
    <col min="2567" max="2567" width="12" customWidth="1"/>
    <col min="2568" max="2568" width="20.85546875" customWidth="1"/>
    <col min="2819" max="2819" width="52.42578125" customWidth="1"/>
    <col min="2820" max="2820" width="13.42578125" customWidth="1"/>
    <col min="2821" max="2821" width="12.5703125" customWidth="1"/>
    <col min="2822" max="2822" width="12.140625" customWidth="1"/>
    <col min="2823" max="2823" width="12" customWidth="1"/>
    <col min="2824" max="2824" width="20.85546875" customWidth="1"/>
    <col min="3075" max="3075" width="52.42578125" customWidth="1"/>
    <col min="3076" max="3076" width="13.42578125" customWidth="1"/>
    <col min="3077" max="3077" width="12.5703125" customWidth="1"/>
    <col min="3078" max="3078" width="12.140625" customWidth="1"/>
    <col min="3079" max="3079" width="12" customWidth="1"/>
    <col min="3080" max="3080" width="20.85546875" customWidth="1"/>
    <col min="3331" max="3331" width="52.42578125" customWidth="1"/>
    <col min="3332" max="3332" width="13.42578125" customWidth="1"/>
    <col min="3333" max="3333" width="12.5703125" customWidth="1"/>
    <col min="3334" max="3334" width="12.140625" customWidth="1"/>
    <col min="3335" max="3335" width="12" customWidth="1"/>
    <col min="3336" max="3336" width="20.85546875" customWidth="1"/>
    <col min="3587" max="3587" width="52.42578125" customWidth="1"/>
    <col min="3588" max="3588" width="13.42578125" customWidth="1"/>
    <col min="3589" max="3589" width="12.5703125" customWidth="1"/>
    <col min="3590" max="3590" width="12.140625" customWidth="1"/>
    <col min="3591" max="3591" width="12" customWidth="1"/>
    <col min="3592" max="3592" width="20.85546875" customWidth="1"/>
    <col min="3843" max="3843" width="52.42578125" customWidth="1"/>
    <col min="3844" max="3844" width="13.42578125" customWidth="1"/>
    <col min="3845" max="3845" width="12.5703125" customWidth="1"/>
    <col min="3846" max="3846" width="12.140625" customWidth="1"/>
    <col min="3847" max="3847" width="12" customWidth="1"/>
    <col min="3848" max="3848" width="20.85546875" customWidth="1"/>
    <col min="4099" max="4099" width="52.42578125" customWidth="1"/>
    <col min="4100" max="4100" width="13.42578125" customWidth="1"/>
    <col min="4101" max="4101" width="12.5703125" customWidth="1"/>
    <col min="4102" max="4102" width="12.140625" customWidth="1"/>
    <col min="4103" max="4103" width="12" customWidth="1"/>
    <col min="4104" max="4104" width="20.85546875" customWidth="1"/>
    <col min="4355" max="4355" width="52.42578125" customWidth="1"/>
    <col min="4356" max="4356" width="13.42578125" customWidth="1"/>
    <col min="4357" max="4357" width="12.5703125" customWidth="1"/>
    <col min="4358" max="4358" width="12.140625" customWidth="1"/>
    <col min="4359" max="4359" width="12" customWidth="1"/>
    <col min="4360" max="4360" width="20.85546875" customWidth="1"/>
    <col min="4611" max="4611" width="52.42578125" customWidth="1"/>
    <col min="4612" max="4612" width="13.42578125" customWidth="1"/>
    <col min="4613" max="4613" width="12.5703125" customWidth="1"/>
    <col min="4614" max="4614" width="12.140625" customWidth="1"/>
    <col min="4615" max="4615" width="12" customWidth="1"/>
    <col min="4616" max="4616" width="20.85546875" customWidth="1"/>
    <col min="4867" max="4867" width="52.42578125" customWidth="1"/>
    <col min="4868" max="4868" width="13.42578125" customWidth="1"/>
    <col min="4869" max="4869" width="12.5703125" customWidth="1"/>
    <col min="4870" max="4870" width="12.140625" customWidth="1"/>
    <col min="4871" max="4871" width="12" customWidth="1"/>
    <col min="4872" max="4872" width="20.85546875" customWidth="1"/>
    <col min="5123" max="5123" width="52.42578125" customWidth="1"/>
    <col min="5124" max="5124" width="13.42578125" customWidth="1"/>
    <col min="5125" max="5125" width="12.5703125" customWidth="1"/>
    <col min="5126" max="5126" width="12.140625" customWidth="1"/>
    <col min="5127" max="5127" width="12" customWidth="1"/>
    <col min="5128" max="5128" width="20.85546875" customWidth="1"/>
    <col min="5379" max="5379" width="52.42578125" customWidth="1"/>
    <col min="5380" max="5380" width="13.42578125" customWidth="1"/>
    <col min="5381" max="5381" width="12.5703125" customWidth="1"/>
    <col min="5382" max="5382" width="12.140625" customWidth="1"/>
    <col min="5383" max="5383" width="12" customWidth="1"/>
    <col min="5384" max="5384" width="20.85546875" customWidth="1"/>
    <col min="5635" max="5635" width="52.42578125" customWidth="1"/>
    <col min="5636" max="5636" width="13.42578125" customWidth="1"/>
    <col min="5637" max="5637" width="12.5703125" customWidth="1"/>
    <col min="5638" max="5638" width="12.140625" customWidth="1"/>
    <col min="5639" max="5639" width="12" customWidth="1"/>
    <col min="5640" max="5640" width="20.85546875" customWidth="1"/>
    <col min="5891" max="5891" width="52.42578125" customWidth="1"/>
    <col min="5892" max="5892" width="13.42578125" customWidth="1"/>
    <col min="5893" max="5893" width="12.5703125" customWidth="1"/>
    <col min="5894" max="5894" width="12.140625" customWidth="1"/>
    <col min="5895" max="5895" width="12" customWidth="1"/>
    <col min="5896" max="5896" width="20.85546875" customWidth="1"/>
    <col min="6147" max="6147" width="52.42578125" customWidth="1"/>
    <col min="6148" max="6148" width="13.42578125" customWidth="1"/>
    <col min="6149" max="6149" width="12.5703125" customWidth="1"/>
    <col min="6150" max="6150" width="12.140625" customWidth="1"/>
    <col min="6151" max="6151" width="12" customWidth="1"/>
    <col min="6152" max="6152" width="20.85546875" customWidth="1"/>
    <col min="6403" max="6403" width="52.42578125" customWidth="1"/>
    <col min="6404" max="6404" width="13.42578125" customWidth="1"/>
    <col min="6405" max="6405" width="12.5703125" customWidth="1"/>
    <col min="6406" max="6406" width="12.140625" customWidth="1"/>
    <col min="6407" max="6407" width="12" customWidth="1"/>
    <col min="6408" max="6408" width="20.85546875" customWidth="1"/>
    <col min="6659" max="6659" width="52.42578125" customWidth="1"/>
    <col min="6660" max="6660" width="13.42578125" customWidth="1"/>
    <col min="6661" max="6661" width="12.5703125" customWidth="1"/>
    <col min="6662" max="6662" width="12.140625" customWidth="1"/>
    <col min="6663" max="6663" width="12" customWidth="1"/>
    <col min="6664" max="6664" width="20.85546875" customWidth="1"/>
    <col min="6915" max="6915" width="52.42578125" customWidth="1"/>
    <col min="6916" max="6916" width="13.42578125" customWidth="1"/>
    <col min="6917" max="6917" width="12.5703125" customWidth="1"/>
    <col min="6918" max="6918" width="12.140625" customWidth="1"/>
    <col min="6919" max="6919" width="12" customWidth="1"/>
    <col min="6920" max="6920" width="20.85546875" customWidth="1"/>
    <col min="7171" max="7171" width="52.42578125" customWidth="1"/>
    <col min="7172" max="7172" width="13.42578125" customWidth="1"/>
    <col min="7173" max="7173" width="12.5703125" customWidth="1"/>
    <col min="7174" max="7174" width="12.140625" customWidth="1"/>
    <col min="7175" max="7175" width="12" customWidth="1"/>
    <col min="7176" max="7176" width="20.85546875" customWidth="1"/>
    <col min="7427" max="7427" width="52.42578125" customWidth="1"/>
    <col min="7428" max="7428" width="13.42578125" customWidth="1"/>
    <col min="7429" max="7429" width="12.5703125" customWidth="1"/>
    <col min="7430" max="7430" width="12.140625" customWidth="1"/>
    <col min="7431" max="7431" width="12" customWidth="1"/>
    <col min="7432" max="7432" width="20.85546875" customWidth="1"/>
    <col min="7683" max="7683" width="52.42578125" customWidth="1"/>
    <col min="7684" max="7684" width="13.42578125" customWidth="1"/>
    <col min="7685" max="7685" width="12.5703125" customWidth="1"/>
    <col min="7686" max="7686" width="12.140625" customWidth="1"/>
    <col min="7687" max="7687" width="12" customWidth="1"/>
    <col min="7688" max="7688" width="20.85546875" customWidth="1"/>
    <col min="7939" max="7939" width="52.42578125" customWidth="1"/>
    <col min="7940" max="7940" width="13.42578125" customWidth="1"/>
    <col min="7941" max="7941" width="12.5703125" customWidth="1"/>
    <col min="7942" max="7942" width="12.140625" customWidth="1"/>
    <col min="7943" max="7943" width="12" customWidth="1"/>
    <col min="7944" max="7944" width="20.85546875" customWidth="1"/>
    <col min="8195" max="8195" width="52.42578125" customWidth="1"/>
    <col min="8196" max="8196" width="13.42578125" customWidth="1"/>
    <col min="8197" max="8197" width="12.5703125" customWidth="1"/>
    <col min="8198" max="8198" width="12.140625" customWidth="1"/>
    <col min="8199" max="8199" width="12" customWidth="1"/>
    <col min="8200" max="8200" width="20.85546875" customWidth="1"/>
    <col min="8451" max="8451" width="52.42578125" customWidth="1"/>
    <col min="8452" max="8452" width="13.42578125" customWidth="1"/>
    <col min="8453" max="8453" width="12.5703125" customWidth="1"/>
    <col min="8454" max="8454" width="12.140625" customWidth="1"/>
    <col min="8455" max="8455" width="12" customWidth="1"/>
    <col min="8456" max="8456" width="20.85546875" customWidth="1"/>
    <col min="8707" max="8707" width="52.42578125" customWidth="1"/>
    <col min="8708" max="8708" width="13.42578125" customWidth="1"/>
    <col min="8709" max="8709" width="12.5703125" customWidth="1"/>
    <col min="8710" max="8710" width="12.140625" customWidth="1"/>
    <col min="8711" max="8711" width="12" customWidth="1"/>
    <col min="8712" max="8712" width="20.85546875" customWidth="1"/>
    <col min="8963" max="8963" width="52.42578125" customWidth="1"/>
    <col min="8964" max="8964" width="13.42578125" customWidth="1"/>
    <col min="8965" max="8965" width="12.5703125" customWidth="1"/>
    <col min="8966" max="8966" width="12.140625" customWidth="1"/>
    <col min="8967" max="8967" width="12" customWidth="1"/>
    <col min="8968" max="8968" width="20.85546875" customWidth="1"/>
    <col min="9219" max="9219" width="52.42578125" customWidth="1"/>
    <col min="9220" max="9220" width="13.42578125" customWidth="1"/>
    <col min="9221" max="9221" width="12.5703125" customWidth="1"/>
    <col min="9222" max="9222" width="12.140625" customWidth="1"/>
    <col min="9223" max="9223" width="12" customWidth="1"/>
    <col min="9224" max="9224" width="20.85546875" customWidth="1"/>
    <col min="9475" max="9475" width="52.42578125" customWidth="1"/>
    <col min="9476" max="9476" width="13.42578125" customWidth="1"/>
    <col min="9477" max="9477" width="12.5703125" customWidth="1"/>
    <col min="9478" max="9478" width="12.140625" customWidth="1"/>
    <col min="9479" max="9479" width="12" customWidth="1"/>
    <col min="9480" max="9480" width="20.85546875" customWidth="1"/>
    <col min="9731" max="9731" width="52.42578125" customWidth="1"/>
    <col min="9732" max="9732" width="13.42578125" customWidth="1"/>
    <col min="9733" max="9733" width="12.5703125" customWidth="1"/>
    <col min="9734" max="9734" width="12.140625" customWidth="1"/>
    <col min="9735" max="9735" width="12" customWidth="1"/>
    <col min="9736" max="9736" width="20.85546875" customWidth="1"/>
    <col min="9987" max="9987" width="52.42578125" customWidth="1"/>
    <col min="9988" max="9988" width="13.42578125" customWidth="1"/>
    <col min="9989" max="9989" width="12.5703125" customWidth="1"/>
    <col min="9990" max="9990" width="12.140625" customWidth="1"/>
    <col min="9991" max="9991" width="12" customWidth="1"/>
    <col min="9992" max="9992" width="20.85546875" customWidth="1"/>
    <col min="10243" max="10243" width="52.42578125" customWidth="1"/>
    <col min="10244" max="10244" width="13.42578125" customWidth="1"/>
    <col min="10245" max="10245" width="12.5703125" customWidth="1"/>
    <col min="10246" max="10246" width="12.140625" customWidth="1"/>
    <col min="10247" max="10247" width="12" customWidth="1"/>
    <col min="10248" max="10248" width="20.85546875" customWidth="1"/>
    <col min="10499" max="10499" width="52.42578125" customWidth="1"/>
    <col min="10500" max="10500" width="13.42578125" customWidth="1"/>
    <col min="10501" max="10501" width="12.5703125" customWidth="1"/>
    <col min="10502" max="10502" width="12.140625" customWidth="1"/>
    <col min="10503" max="10503" width="12" customWidth="1"/>
    <col min="10504" max="10504" width="20.85546875" customWidth="1"/>
    <col min="10755" max="10755" width="52.42578125" customWidth="1"/>
    <col min="10756" max="10756" width="13.42578125" customWidth="1"/>
    <col min="10757" max="10757" width="12.5703125" customWidth="1"/>
    <col min="10758" max="10758" width="12.140625" customWidth="1"/>
    <col min="10759" max="10759" width="12" customWidth="1"/>
    <col min="10760" max="10760" width="20.85546875" customWidth="1"/>
    <col min="11011" max="11011" width="52.42578125" customWidth="1"/>
    <col min="11012" max="11012" width="13.42578125" customWidth="1"/>
    <col min="11013" max="11013" width="12.5703125" customWidth="1"/>
    <col min="11014" max="11014" width="12.140625" customWidth="1"/>
    <col min="11015" max="11015" width="12" customWidth="1"/>
    <col min="11016" max="11016" width="20.85546875" customWidth="1"/>
    <col min="11267" max="11267" width="52.42578125" customWidth="1"/>
    <col min="11268" max="11268" width="13.42578125" customWidth="1"/>
    <col min="11269" max="11269" width="12.5703125" customWidth="1"/>
    <col min="11270" max="11270" width="12.140625" customWidth="1"/>
    <col min="11271" max="11271" width="12" customWidth="1"/>
    <col min="11272" max="11272" width="20.85546875" customWidth="1"/>
    <col min="11523" max="11523" width="52.42578125" customWidth="1"/>
    <col min="11524" max="11524" width="13.42578125" customWidth="1"/>
    <col min="11525" max="11525" width="12.5703125" customWidth="1"/>
    <col min="11526" max="11526" width="12.140625" customWidth="1"/>
    <col min="11527" max="11527" width="12" customWidth="1"/>
    <col min="11528" max="11528" width="20.85546875" customWidth="1"/>
    <col min="11779" max="11779" width="52.42578125" customWidth="1"/>
    <col min="11780" max="11780" width="13.42578125" customWidth="1"/>
    <col min="11781" max="11781" width="12.5703125" customWidth="1"/>
    <col min="11782" max="11782" width="12.140625" customWidth="1"/>
    <col min="11783" max="11783" width="12" customWidth="1"/>
    <col min="11784" max="11784" width="20.85546875" customWidth="1"/>
    <col min="12035" max="12035" width="52.42578125" customWidth="1"/>
    <col min="12036" max="12036" width="13.42578125" customWidth="1"/>
    <col min="12037" max="12037" width="12.5703125" customWidth="1"/>
    <col min="12038" max="12038" width="12.140625" customWidth="1"/>
    <col min="12039" max="12039" width="12" customWidth="1"/>
    <col min="12040" max="12040" width="20.85546875" customWidth="1"/>
    <col min="12291" max="12291" width="52.42578125" customWidth="1"/>
    <col min="12292" max="12292" width="13.42578125" customWidth="1"/>
    <col min="12293" max="12293" width="12.5703125" customWidth="1"/>
    <col min="12294" max="12294" width="12.140625" customWidth="1"/>
    <col min="12295" max="12295" width="12" customWidth="1"/>
    <col min="12296" max="12296" width="20.85546875" customWidth="1"/>
    <col min="12547" max="12547" width="52.42578125" customWidth="1"/>
    <col min="12548" max="12548" width="13.42578125" customWidth="1"/>
    <col min="12549" max="12549" width="12.5703125" customWidth="1"/>
    <col min="12550" max="12550" width="12.140625" customWidth="1"/>
    <col min="12551" max="12551" width="12" customWidth="1"/>
    <col min="12552" max="12552" width="20.85546875" customWidth="1"/>
    <col min="12803" max="12803" width="52.42578125" customWidth="1"/>
    <col min="12804" max="12804" width="13.42578125" customWidth="1"/>
    <col min="12805" max="12805" width="12.5703125" customWidth="1"/>
    <col min="12806" max="12806" width="12.140625" customWidth="1"/>
    <col min="12807" max="12807" width="12" customWidth="1"/>
    <col min="12808" max="12808" width="20.85546875" customWidth="1"/>
    <col min="13059" max="13059" width="52.42578125" customWidth="1"/>
    <col min="13060" max="13060" width="13.42578125" customWidth="1"/>
    <col min="13061" max="13061" width="12.5703125" customWidth="1"/>
    <col min="13062" max="13062" width="12.140625" customWidth="1"/>
    <col min="13063" max="13063" width="12" customWidth="1"/>
    <col min="13064" max="13064" width="20.85546875" customWidth="1"/>
    <col min="13315" max="13315" width="52.42578125" customWidth="1"/>
    <col min="13316" max="13316" width="13.42578125" customWidth="1"/>
    <col min="13317" max="13317" width="12.5703125" customWidth="1"/>
    <col min="13318" max="13318" width="12.140625" customWidth="1"/>
    <col min="13319" max="13319" width="12" customWidth="1"/>
    <col min="13320" max="13320" width="20.85546875" customWidth="1"/>
    <col min="13571" max="13571" width="52.42578125" customWidth="1"/>
    <col min="13572" max="13572" width="13.42578125" customWidth="1"/>
    <col min="13573" max="13573" width="12.5703125" customWidth="1"/>
    <col min="13574" max="13574" width="12.140625" customWidth="1"/>
    <col min="13575" max="13575" width="12" customWidth="1"/>
    <col min="13576" max="13576" width="20.85546875" customWidth="1"/>
    <col min="13827" max="13827" width="52.42578125" customWidth="1"/>
    <col min="13828" max="13828" width="13.42578125" customWidth="1"/>
    <col min="13829" max="13829" width="12.5703125" customWidth="1"/>
    <col min="13830" max="13830" width="12.140625" customWidth="1"/>
    <col min="13831" max="13831" width="12" customWidth="1"/>
    <col min="13832" max="13832" width="20.85546875" customWidth="1"/>
    <col min="14083" max="14083" width="52.42578125" customWidth="1"/>
    <col min="14084" max="14084" width="13.42578125" customWidth="1"/>
    <col min="14085" max="14085" width="12.5703125" customWidth="1"/>
    <col min="14086" max="14086" width="12.140625" customWidth="1"/>
    <col min="14087" max="14087" width="12" customWidth="1"/>
    <col min="14088" max="14088" width="20.85546875" customWidth="1"/>
    <col min="14339" max="14339" width="52.42578125" customWidth="1"/>
    <col min="14340" max="14340" width="13.42578125" customWidth="1"/>
    <col min="14341" max="14341" width="12.5703125" customWidth="1"/>
    <col min="14342" max="14342" width="12.140625" customWidth="1"/>
    <col min="14343" max="14343" width="12" customWidth="1"/>
    <col min="14344" max="14344" width="20.85546875" customWidth="1"/>
    <col min="14595" max="14595" width="52.42578125" customWidth="1"/>
    <col min="14596" max="14596" width="13.42578125" customWidth="1"/>
    <col min="14597" max="14597" width="12.5703125" customWidth="1"/>
    <col min="14598" max="14598" width="12.140625" customWidth="1"/>
    <col min="14599" max="14599" width="12" customWidth="1"/>
    <col min="14600" max="14600" width="20.85546875" customWidth="1"/>
    <col min="14851" max="14851" width="52.42578125" customWidth="1"/>
    <col min="14852" max="14852" width="13.42578125" customWidth="1"/>
    <col min="14853" max="14853" width="12.5703125" customWidth="1"/>
    <col min="14854" max="14854" width="12.140625" customWidth="1"/>
    <col min="14855" max="14855" width="12" customWidth="1"/>
    <col min="14856" max="14856" width="20.85546875" customWidth="1"/>
    <col min="15107" max="15107" width="52.42578125" customWidth="1"/>
    <col min="15108" max="15108" width="13.42578125" customWidth="1"/>
    <col min="15109" max="15109" width="12.5703125" customWidth="1"/>
    <col min="15110" max="15110" width="12.140625" customWidth="1"/>
    <col min="15111" max="15111" width="12" customWidth="1"/>
    <col min="15112" max="15112" width="20.85546875" customWidth="1"/>
    <col min="15363" max="15363" width="52.42578125" customWidth="1"/>
    <col min="15364" max="15364" width="13.42578125" customWidth="1"/>
    <col min="15365" max="15365" width="12.5703125" customWidth="1"/>
    <col min="15366" max="15366" width="12.140625" customWidth="1"/>
    <col min="15367" max="15367" width="12" customWidth="1"/>
    <col min="15368" max="15368" width="20.85546875" customWidth="1"/>
    <col min="15619" max="15619" width="52.42578125" customWidth="1"/>
    <col min="15620" max="15620" width="13.42578125" customWidth="1"/>
    <col min="15621" max="15621" width="12.5703125" customWidth="1"/>
    <col min="15622" max="15622" width="12.140625" customWidth="1"/>
    <col min="15623" max="15623" width="12" customWidth="1"/>
    <col min="15624" max="15624" width="20.85546875" customWidth="1"/>
    <col min="15875" max="15875" width="52.42578125" customWidth="1"/>
    <col min="15876" max="15876" width="13.42578125" customWidth="1"/>
    <col min="15877" max="15877" width="12.5703125" customWidth="1"/>
    <col min="15878" max="15878" width="12.140625" customWidth="1"/>
    <col min="15879" max="15879" width="12" customWidth="1"/>
    <col min="15880" max="15880" width="20.85546875" customWidth="1"/>
    <col min="16131" max="16131" width="52.42578125" customWidth="1"/>
    <col min="16132" max="16132" width="13.42578125" customWidth="1"/>
    <col min="16133" max="16133" width="12.5703125" customWidth="1"/>
    <col min="16134" max="16134" width="12.140625" customWidth="1"/>
    <col min="16135" max="16135" width="12" customWidth="1"/>
    <col min="16136" max="16136" width="20.85546875" customWidth="1"/>
  </cols>
  <sheetData>
    <row r="2" spans="2:10" ht="18.75">
      <c r="B2" s="1860" t="s">
        <v>1107</v>
      </c>
      <c r="C2" s="1860"/>
      <c r="D2" s="1860"/>
      <c r="E2" s="1860"/>
      <c r="F2" s="1860"/>
      <c r="G2" s="1860"/>
      <c r="H2" s="1860"/>
      <c r="I2" s="1860"/>
      <c r="J2" s="1860"/>
    </row>
    <row r="4" spans="2:10" ht="18.75">
      <c r="B4" s="1947" t="s">
        <v>1233</v>
      </c>
      <c r="C4" s="1947"/>
      <c r="D4" s="1947"/>
      <c r="E4" s="1947"/>
      <c r="F4" s="1947"/>
      <c r="G4" s="1947"/>
      <c r="H4" s="1947"/>
    </row>
    <row r="5" spans="2:10" ht="18.75">
      <c r="B5" s="374" t="s">
        <v>1209</v>
      </c>
      <c r="C5" s="374"/>
      <c r="D5" s="374"/>
      <c r="E5" s="374"/>
      <c r="F5" s="1948" t="s">
        <v>1210</v>
      </c>
      <c r="G5" s="1948"/>
      <c r="H5" s="1948"/>
    </row>
    <row r="6" spans="2:10" ht="18.75">
      <c r="B6" s="57"/>
      <c r="C6" s="57"/>
      <c r="D6" s="1949" t="s">
        <v>594</v>
      </c>
      <c r="E6" s="1949"/>
      <c r="F6" s="1949" t="s">
        <v>1211</v>
      </c>
      <c r="G6" s="1949"/>
    </row>
    <row r="7" spans="2:10" s="323" customFormat="1" ht="63" customHeight="1">
      <c r="B7" s="352" t="s">
        <v>1212</v>
      </c>
      <c r="C7" s="352" t="s">
        <v>48</v>
      </c>
      <c r="D7" s="1053" t="s">
        <v>2294</v>
      </c>
      <c r="E7" s="1053" t="s">
        <v>2297</v>
      </c>
      <c r="F7" s="1053" t="s">
        <v>2295</v>
      </c>
      <c r="G7" s="1053" t="s">
        <v>2296</v>
      </c>
    </row>
    <row r="8" spans="2:10" ht="18.75">
      <c r="B8" s="343"/>
      <c r="C8" s="343" t="s">
        <v>1213</v>
      </c>
      <c r="D8" s="343"/>
      <c r="E8" s="343"/>
      <c r="F8" s="343"/>
      <c r="G8" s="343"/>
    </row>
    <row r="9" spans="2:10" ht="18.75">
      <c r="B9" s="737">
        <v>1</v>
      </c>
      <c r="C9" s="343" t="s">
        <v>1214</v>
      </c>
      <c r="D9" s="343"/>
      <c r="E9" s="343"/>
      <c r="F9" s="343"/>
      <c r="G9" s="343"/>
    </row>
    <row r="10" spans="2:10" ht="18.75">
      <c r="B10" s="713" t="s">
        <v>64</v>
      </c>
      <c r="C10" s="343" t="s">
        <v>1760</v>
      </c>
      <c r="D10" s="738">
        <f>D15*0.75</f>
        <v>38138.850000000006</v>
      </c>
      <c r="E10" s="738">
        <f>E15*0.77</f>
        <v>33355.014000000003</v>
      </c>
      <c r="F10" s="738">
        <f>F15*0.81</f>
        <v>44003.752200000003</v>
      </c>
      <c r="G10" s="738">
        <f>G15*0.76</f>
        <v>35170.808800000006</v>
      </c>
    </row>
    <row r="11" spans="2:10" ht="18.75">
      <c r="B11" s="713" t="s">
        <v>65</v>
      </c>
      <c r="C11" s="343" t="s">
        <v>1761</v>
      </c>
      <c r="D11" s="738">
        <f>D15*0.12</f>
        <v>6102.2160000000003</v>
      </c>
      <c r="E11" s="738">
        <f>E15*0.12</f>
        <v>5198.1840000000002</v>
      </c>
      <c r="F11" s="738">
        <f>F15*0.08</f>
        <v>4346.0496000000003</v>
      </c>
      <c r="G11" s="738">
        <f>G15*0.1</f>
        <v>4627.7380000000003</v>
      </c>
    </row>
    <row r="12" spans="2:10" ht="18.75">
      <c r="B12" s="713" t="s">
        <v>66</v>
      </c>
      <c r="C12" s="343" t="s">
        <v>1762</v>
      </c>
      <c r="D12" s="738">
        <f>D15*0.02</f>
        <v>1017.0360000000001</v>
      </c>
      <c r="E12" s="738">
        <v>0</v>
      </c>
      <c r="F12" s="738">
        <f>F16*0.04</f>
        <v>4024.12</v>
      </c>
      <c r="G12" s="738">
        <f>G15*0.07</f>
        <v>3239.4166000000005</v>
      </c>
    </row>
    <row r="13" spans="2:10" ht="37.5">
      <c r="B13" s="342">
        <v>2</v>
      </c>
      <c r="C13" s="344" t="s">
        <v>1763</v>
      </c>
      <c r="D13" s="738">
        <f>D15*0.11</f>
        <v>5593.6980000000003</v>
      </c>
      <c r="E13" s="738">
        <f>E15*0.11</f>
        <v>4765.0020000000004</v>
      </c>
      <c r="F13" s="738">
        <f>F15*0.07</f>
        <v>3802.7934000000005</v>
      </c>
      <c r="G13" s="738">
        <f>G15*0.07</f>
        <v>3239.4166000000005</v>
      </c>
    </row>
    <row r="14" spans="2:10" ht="18.75">
      <c r="B14" s="737">
        <v>3</v>
      </c>
      <c r="C14" s="343" t="s">
        <v>1764</v>
      </c>
      <c r="D14" s="343"/>
      <c r="E14" s="343"/>
      <c r="F14" s="343"/>
      <c r="G14" s="343"/>
    </row>
    <row r="15" spans="2:10" ht="18.75">
      <c r="B15" s="1949" t="s">
        <v>1765</v>
      </c>
      <c r="C15" s="1949"/>
      <c r="D15" s="739">
        <f>D16*0.54</f>
        <v>50851.8</v>
      </c>
      <c r="E15" s="739">
        <f>D16*0.46</f>
        <v>43318.200000000004</v>
      </c>
      <c r="F15" s="739">
        <f>F16*0.54</f>
        <v>54325.62</v>
      </c>
      <c r="G15" s="739">
        <f>F16*0.46</f>
        <v>46277.380000000005</v>
      </c>
    </row>
    <row r="16" spans="2:10" ht="37.5">
      <c r="B16" s="57"/>
      <c r="C16" s="740" t="s">
        <v>1766</v>
      </c>
      <c r="D16" s="1946">
        <v>94170</v>
      </c>
      <c r="E16" s="1946"/>
      <c r="F16" s="1946">
        <v>100603</v>
      </c>
      <c r="G16" s="1946"/>
    </row>
    <row r="17" spans="3:7" ht="18.75">
      <c r="C17" s="375" t="s">
        <v>1767</v>
      </c>
      <c r="D17" s="375"/>
      <c r="E17" s="375"/>
      <c r="F17" s="375"/>
    </row>
    <row r="18" spans="3:7" ht="18.75">
      <c r="C18" s="375" t="s">
        <v>1215</v>
      </c>
      <c r="D18" s="375"/>
      <c r="E18" s="375"/>
      <c r="F18" s="375"/>
    </row>
    <row r="20" spans="3:7" ht="26.25" customHeight="1"/>
    <row r="21" spans="3:7" ht="30" customHeight="1">
      <c r="E21" s="1903" t="s">
        <v>1163</v>
      </c>
      <c r="F21" s="1903"/>
      <c r="G21" s="1903"/>
    </row>
  </sheetData>
  <mergeCells count="9">
    <mergeCell ref="D16:E16"/>
    <mergeCell ref="F16:G16"/>
    <mergeCell ref="E21:G21"/>
    <mergeCell ref="B2:J2"/>
    <mergeCell ref="B4:H4"/>
    <mergeCell ref="F5:H5"/>
    <mergeCell ref="D6:E6"/>
    <mergeCell ref="F6:G6"/>
    <mergeCell ref="B15:C15"/>
  </mergeCells>
  <pageMargins left="0.70866141732283472" right="0.70866141732283472" top="0.74803149606299213" bottom="0.74803149606299213" header="0.31496062992125984" footer="0.31496062992125984"/>
  <pageSetup paperSize="9" scale="94" orientation="landscape" r:id="rId1"/>
  <colBreaks count="1" manualBreakCount="1">
    <brk id="8"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I22"/>
  <sheetViews>
    <sheetView showGridLines="0" view="pageBreakPreview" topLeftCell="A4" zoomScale="60" zoomScaleNormal="70" workbookViewId="0">
      <selection activeCell="W28" sqref="W28"/>
    </sheetView>
  </sheetViews>
  <sheetFormatPr defaultColWidth="8.85546875" defaultRowHeight="15"/>
  <cols>
    <col min="1" max="1" width="4.85546875" customWidth="1"/>
    <col min="3" max="3" width="20.140625" customWidth="1"/>
    <col min="4" max="4" width="15.7109375" customWidth="1"/>
    <col min="5" max="5" width="19" customWidth="1"/>
    <col min="6" max="6" width="15.5703125" customWidth="1"/>
    <col min="7" max="7" width="25" customWidth="1"/>
    <col min="8" max="8" width="27.7109375" customWidth="1"/>
    <col min="9" max="9" width="19.42578125" customWidth="1"/>
    <col min="10" max="10" width="3.28515625" customWidth="1"/>
    <col min="259" max="259" width="20.140625" customWidth="1"/>
    <col min="260" max="260" width="15.7109375" customWidth="1"/>
    <col min="261" max="261" width="19" customWidth="1"/>
    <col min="262" max="262" width="15.5703125" customWidth="1"/>
    <col min="263" max="263" width="25" customWidth="1"/>
    <col min="264" max="264" width="21.7109375" customWidth="1"/>
    <col min="265" max="265" width="0" hidden="1" customWidth="1"/>
    <col min="266" max="266" width="37.140625" customWidth="1"/>
    <col min="515" max="515" width="20.140625" customWidth="1"/>
    <col min="516" max="516" width="15.7109375" customWidth="1"/>
    <col min="517" max="517" width="19" customWidth="1"/>
    <col min="518" max="518" width="15.5703125" customWidth="1"/>
    <col min="519" max="519" width="25" customWidth="1"/>
    <col min="520" max="520" width="21.7109375" customWidth="1"/>
    <col min="521" max="521" width="0" hidden="1" customWidth="1"/>
    <col min="522" max="522" width="37.140625" customWidth="1"/>
    <col min="771" max="771" width="20.140625" customWidth="1"/>
    <col min="772" max="772" width="15.7109375" customWidth="1"/>
    <col min="773" max="773" width="19" customWidth="1"/>
    <col min="774" max="774" width="15.5703125" customWidth="1"/>
    <col min="775" max="775" width="25" customWidth="1"/>
    <col min="776" max="776" width="21.7109375" customWidth="1"/>
    <col min="777" max="777" width="0" hidden="1" customWidth="1"/>
    <col min="778" max="778" width="37.140625" customWidth="1"/>
    <col min="1027" max="1027" width="20.140625" customWidth="1"/>
    <col min="1028" max="1028" width="15.7109375" customWidth="1"/>
    <col min="1029" max="1029" width="19" customWidth="1"/>
    <col min="1030" max="1030" width="15.5703125" customWidth="1"/>
    <col min="1031" max="1031" width="25" customWidth="1"/>
    <col min="1032" max="1032" width="21.7109375" customWidth="1"/>
    <col min="1033" max="1033" width="0" hidden="1" customWidth="1"/>
    <col min="1034" max="1034" width="37.140625" customWidth="1"/>
    <col min="1283" max="1283" width="20.140625" customWidth="1"/>
    <col min="1284" max="1284" width="15.7109375" customWidth="1"/>
    <col min="1285" max="1285" width="19" customWidth="1"/>
    <col min="1286" max="1286" width="15.5703125" customWidth="1"/>
    <col min="1287" max="1287" width="25" customWidth="1"/>
    <col min="1288" max="1288" width="21.7109375" customWidth="1"/>
    <col min="1289" max="1289" width="0" hidden="1" customWidth="1"/>
    <col min="1290" max="1290" width="37.140625" customWidth="1"/>
    <col min="1539" max="1539" width="20.140625" customWidth="1"/>
    <col min="1540" max="1540" width="15.7109375" customWidth="1"/>
    <col min="1541" max="1541" width="19" customWidth="1"/>
    <col min="1542" max="1542" width="15.5703125" customWidth="1"/>
    <col min="1543" max="1543" width="25" customWidth="1"/>
    <col min="1544" max="1544" width="21.7109375" customWidth="1"/>
    <col min="1545" max="1545" width="0" hidden="1" customWidth="1"/>
    <col min="1546" max="1546" width="37.140625" customWidth="1"/>
    <col min="1795" max="1795" width="20.140625" customWidth="1"/>
    <col min="1796" max="1796" width="15.7109375" customWidth="1"/>
    <col min="1797" max="1797" width="19" customWidth="1"/>
    <col min="1798" max="1798" width="15.5703125" customWidth="1"/>
    <col min="1799" max="1799" width="25" customWidth="1"/>
    <col min="1800" max="1800" width="21.7109375" customWidth="1"/>
    <col min="1801" max="1801" width="0" hidden="1" customWidth="1"/>
    <col min="1802" max="1802" width="37.140625" customWidth="1"/>
    <col min="2051" max="2051" width="20.140625" customWidth="1"/>
    <col min="2052" max="2052" width="15.7109375" customWidth="1"/>
    <col min="2053" max="2053" width="19" customWidth="1"/>
    <col min="2054" max="2054" width="15.5703125" customWidth="1"/>
    <col min="2055" max="2055" width="25" customWidth="1"/>
    <col min="2056" max="2056" width="21.7109375" customWidth="1"/>
    <col min="2057" max="2057" width="0" hidden="1" customWidth="1"/>
    <col min="2058" max="2058" width="37.140625" customWidth="1"/>
    <col min="2307" max="2307" width="20.140625" customWidth="1"/>
    <col min="2308" max="2308" width="15.7109375" customWidth="1"/>
    <col min="2309" max="2309" width="19" customWidth="1"/>
    <col min="2310" max="2310" width="15.5703125" customWidth="1"/>
    <col min="2311" max="2311" width="25" customWidth="1"/>
    <col min="2312" max="2312" width="21.7109375" customWidth="1"/>
    <col min="2313" max="2313" width="0" hidden="1" customWidth="1"/>
    <col min="2314" max="2314" width="37.140625" customWidth="1"/>
    <col min="2563" max="2563" width="20.140625" customWidth="1"/>
    <col min="2564" max="2564" width="15.7109375" customWidth="1"/>
    <col min="2565" max="2565" width="19" customWidth="1"/>
    <col min="2566" max="2566" width="15.5703125" customWidth="1"/>
    <col min="2567" max="2567" width="25" customWidth="1"/>
    <col min="2568" max="2568" width="21.7109375" customWidth="1"/>
    <col min="2569" max="2569" width="0" hidden="1" customWidth="1"/>
    <col min="2570" max="2570" width="37.140625" customWidth="1"/>
    <col min="2819" max="2819" width="20.140625" customWidth="1"/>
    <col min="2820" max="2820" width="15.7109375" customWidth="1"/>
    <col min="2821" max="2821" width="19" customWidth="1"/>
    <col min="2822" max="2822" width="15.5703125" customWidth="1"/>
    <col min="2823" max="2823" width="25" customWidth="1"/>
    <col min="2824" max="2824" width="21.7109375" customWidth="1"/>
    <col min="2825" max="2825" width="0" hidden="1" customWidth="1"/>
    <col min="2826" max="2826" width="37.140625" customWidth="1"/>
    <col min="3075" max="3075" width="20.140625" customWidth="1"/>
    <col min="3076" max="3076" width="15.7109375" customWidth="1"/>
    <col min="3077" max="3077" width="19" customWidth="1"/>
    <col min="3078" max="3078" width="15.5703125" customWidth="1"/>
    <col min="3079" max="3079" width="25" customWidth="1"/>
    <col min="3080" max="3080" width="21.7109375" customWidth="1"/>
    <col min="3081" max="3081" width="0" hidden="1" customWidth="1"/>
    <col min="3082" max="3082" width="37.140625" customWidth="1"/>
    <col min="3331" max="3331" width="20.140625" customWidth="1"/>
    <col min="3332" max="3332" width="15.7109375" customWidth="1"/>
    <col min="3333" max="3333" width="19" customWidth="1"/>
    <col min="3334" max="3334" width="15.5703125" customWidth="1"/>
    <col min="3335" max="3335" width="25" customWidth="1"/>
    <col min="3336" max="3336" width="21.7109375" customWidth="1"/>
    <col min="3337" max="3337" width="0" hidden="1" customWidth="1"/>
    <col min="3338" max="3338" width="37.140625" customWidth="1"/>
    <col min="3587" max="3587" width="20.140625" customWidth="1"/>
    <col min="3588" max="3588" width="15.7109375" customWidth="1"/>
    <col min="3589" max="3589" width="19" customWidth="1"/>
    <col min="3590" max="3590" width="15.5703125" customWidth="1"/>
    <col min="3591" max="3591" width="25" customWidth="1"/>
    <col min="3592" max="3592" width="21.7109375" customWidth="1"/>
    <col min="3593" max="3593" width="0" hidden="1" customWidth="1"/>
    <col min="3594" max="3594" width="37.140625" customWidth="1"/>
    <col min="3843" max="3843" width="20.140625" customWidth="1"/>
    <col min="3844" max="3844" width="15.7109375" customWidth="1"/>
    <col min="3845" max="3845" width="19" customWidth="1"/>
    <col min="3846" max="3846" width="15.5703125" customWidth="1"/>
    <col min="3847" max="3847" width="25" customWidth="1"/>
    <col min="3848" max="3848" width="21.7109375" customWidth="1"/>
    <col min="3849" max="3849" width="0" hidden="1" customWidth="1"/>
    <col min="3850" max="3850" width="37.140625" customWidth="1"/>
    <col min="4099" max="4099" width="20.140625" customWidth="1"/>
    <col min="4100" max="4100" width="15.7109375" customWidth="1"/>
    <col min="4101" max="4101" width="19" customWidth="1"/>
    <col min="4102" max="4102" width="15.5703125" customWidth="1"/>
    <col min="4103" max="4103" width="25" customWidth="1"/>
    <col min="4104" max="4104" width="21.7109375" customWidth="1"/>
    <col min="4105" max="4105" width="0" hidden="1" customWidth="1"/>
    <col min="4106" max="4106" width="37.140625" customWidth="1"/>
    <col min="4355" max="4355" width="20.140625" customWidth="1"/>
    <col min="4356" max="4356" width="15.7109375" customWidth="1"/>
    <col min="4357" max="4357" width="19" customWidth="1"/>
    <col min="4358" max="4358" width="15.5703125" customWidth="1"/>
    <col min="4359" max="4359" width="25" customWidth="1"/>
    <col min="4360" max="4360" width="21.7109375" customWidth="1"/>
    <col min="4361" max="4361" width="0" hidden="1" customWidth="1"/>
    <col min="4362" max="4362" width="37.140625" customWidth="1"/>
    <col min="4611" max="4611" width="20.140625" customWidth="1"/>
    <col min="4612" max="4612" width="15.7109375" customWidth="1"/>
    <col min="4613" max="4613" width="19" customWidth="1"/>
    <col min="4614" max="4614" width="15.5703125" customWidth="1"/>
    <col min="4615" max="4615" width="25" customWidth="1"/>
    <col min="4616" max="4616" width="21.7109375" customWidth="1"/>
    <col min="4617" max="4617" width="0" hidden="1" customWidth="1"/>
    <col min="4618" max="4618" width="37.140625" customWidth="1"/>
    <col min="4867" max="4867" width="20.140625" customWidth="1"/>
    <col min="4868" max="4868" width="15.7109375" customWidth="1"/>
    <col min="4869" max="4869" width="19" customWidth="1"/>
    <col min="4870" max="4870" width="15.5703125" customWidth="1"/>
    <col min="4871" max="4871" width="25" customWidth="1"/>
    <col min="4872" max="4872" width="21.7109375" customWidth="1"/>
    <col min="4873" max="4873" width="0" hidden="1" customWidth="1"/>
    <col min="4874" max="4874" width="37.140625" customWidth="1"/>
    <col min="5123" max="5123" width="20.140625" customWidth="1"/>
    <col min="5124" max="5124" width="15.7109375" customWidth="1"/>
    <col min="5125" max="5125" width="19" customWidth="1"/>
    <col min="5126" max="5126" width="15.5703125" customWidth="1"/>
    <col min="5127" max="5127" width="25" customWidth="1"/>
    <col min="5128" max="5128" width="21.7109375" customWidth="1"/>
    <col min="5129" max="5129" width="0" hidden="1" customWidth="1"/>
    <col min="5130" max="5130" width="37.140625" customWidth="1"/>
    <col min="5379" max="5379" width="20.140625" customWidth="1"/>
    <col min="5380" max="5380" width="15.7109375" customWidth="1"/>
    <col min="5381" max="5381" width="19" customWidth="1"/>
    <col min="5382" max="5382" width="15.5703125" customWidth="1"/>
    <col min="5383" max="5383" width="25" customWidth="1"/>
    <col min="5384" max="5384" width="21.7109375" customWidth="1"/>
    <col min="5385" max="5385" width="0" hidden="1" customWidth="1"/>
    <col min="5386" max="5386" width="37.140625" customWidth="1"/>
    <col min="5635" max="5635" width="20.140625" customWidth="1"/>
    <col min="5636" max="5636" width="15.7109375" customWidth="1"/>
    <col min="5637" max="5637" width="19" customWidth="1"/>
    <col min="5638" max="5638" width="15.5703125" customWidth="1"/>
    <col min="5639" max="5639" width="25" customWidth="1"/>
    <col min="5640" max="5640" width="21.7109375" customWidth="1"/>
    <col min="5641" max="5641" width="0" hidden="1" customWidth="1"/>
    <col min="5642" max="5642" width="37.140625" customWidth="1"/>
    <col min="5891" max="5891" width="20.140625" customWidth="1"/>
    <col min="5892" max="5892" width="15.7109375" customWidth="1"/>
    <col min="5893" max="5893" width="19" customWidth="1"/>
    <col min="5894" max="5894" width="15.5703125" customWidth="1"/>
    <col min="5895" max="5895" width="25" customWidth="1"/>
    <col min="5896" max="5896" width="21.7109375" customWidth="1"/>
    <col min="5897" max="5897" width="0" hidden="1" customWidth="1"/>
    <col min="5898" max="5898" width="37.140625" customWidth="1"/>
    <col min="6147" max="6147" width="20.140625" customWidth="1"/>
    <col min="6148" max="6148" width="15.7109375" customWidth="1"/>
    <col min="6149" max="6149" width="19" customWidth="1"/>
    <col min="6150" max="6150" width="15.5703125" customWidth="1"/>
    <col min="6151" max="6151" width="25" customWidth="1"/>
    <col min="6152" max="6152" width="21.7109375" customWidth="1"/>
    <col min="6153" max="6153" width="0" hidden="1" customWidth="1"/>
    <col min="6154" max="6154" width="37.140625" customWidth="1"/>
    <col min="6403" max="6403" width="20.140625" customWidth="1"/>
    <col min="6404" max="6404" width="15.7109375" customWidth="1"/>
    <col min="6405" max="6405" width="19" customWidth="1"/>
    <col min="6406" max="6406" width="15.5703125" customWidth="1"/>
    <col min="6407" max="6407" width="25" customWidth="1"/>
    <col min="6408" max="6408" width="21.7109375" customWidth="1"/>
    <col min="6409" max="6409" width="0" hidden="1" customWidth="1"/>
    <col min="6410" max="6410" width="37.140625" customWidth="1"/>
    <col min="6659" max="6659" width="20.140625" customWidth="1"/>
    <col min="6660" max="6660" width="15.7109375" customWidth="1"/>
    <col min="6661" max="6661" width="19" customWidth="1"/>
    <col min="6662" max="6662" width="15.5703125" customWidth="1"/>
    <col min="6663" max="6663" width="25" customWidth="1"/>
    <col min="6664" max="6664" width="21.7109375" customWidth="1"/>
    <col min="6665" max="6665" width="0" hidden="1" customWidth="1"/>
    <col min="6666" max="6666" width="37.140625" customWidth="1"/>
    <col min="6915" max="6915" width="20.140625" customWidth="1"/>
    <col min="6916" max="6916" width="15.7109375" customWidth="1"/>
    <col min="6917" max="6917" width="19" customWidth="1"/>
    <col min="6918" max="6918" width="15.5703125" customWidth="1"/>
    <col min="6919" max="6919" width="25" customWidth="1"/>
    <col min="6920" max="6920" width="21.7109375" customWidth="1"/>
    <col min="6921" max="6921" width="0" hidden="1" customWidth="1"/>
    <col min="6922" max="6922" width="37.140625" customWidth="1"/>
    <col min="7171" max="7171" width="20.140625" customWidth="1"/>
    <col min="7172" max="7172" width="15.7109375" customWidth="1"/>
    <col min="7173" max="7173" width="19" customWidth="1"/>
    <col min="7174" max="7174" width="15.5703125" customWidth="1"/>
    <col min="7175" max="7175" width="25" customWidth="1"/>
    <col min="7176" max="7176" width="21.7109375" customWidth="1"/>
    <col min="7177" max="7177" width="0" hidden="1" customWidth="1"/>
    <col min="7178" max="7178" width="37.140625" customWidth="1"/>
    <col min="7427" max="7427" width="20.140625" customWidth="1"/>
    <col min="7428" max="7428" width="15.7109375" customWidth="1"/>
    <col min="7429" max="7429" width="19" customWidth="1"/>
    <col min="7430" max="7430" width="15.5703125" customWidth="1"/>
    <col min="7431" max="7431" width="25" customWidth="1"/>
    <col min="7432" max="7432" width="21.7109375" customWidth="1"/>
    <col min="7433" max="7433" width="0" hidden="1" customWidth="1"/>
    <col min="7434" max="7434" width="37.140625" customWidth="1"/>
    <col min="7683" max="7683" width="20.140625" customWidth="1"/>
    <col min="7684" max="7684" width="15.7109375" customWidth="1"/>
    <col min="7685" max="7685" width="19" customWidth="1"/>
    <col min="7686" max="7686" width="15.5703125" customWidth="1"/>
    <col min="7687" max="7687" width="25" customWidth="1"/>
    <col min="7688" max="7688" width="21.7109375" customWidth="1"/>
    <col min="7689" max="7689" width="0" hidden="1" customWidth="1"/>
    <col min="7690" max="7690" width="37.140625" customWidth="1"/>
    <col min="7939" max="7939" width="20.140625" customWidth="1"/>
    <col min="7940" max="7940" width="15.7109375" customWidth="1"/>
    <col min="7941" max="7941" width="19" customWidth="1"/>
    <col min="7942" max="7942" width="15.5703125" customWidth="1"/>
    <col min="7943" max="7943" width="25" customWidth="1"/>
    <col min="7944" max="7944" width="21.7109375" customWidth="1"/>
    <col min="7945" max="7945" width="0" hidden="1" customWidth="1"/>
    <col min="7946" max="7946" width="37.140625" customWidth="1"/>
    <col min="8195" max="8195" width="20.140625" customWidth="1"/>
    <col min="8196" max="8196" width="15.7109375" customWidth="1"/>
    <col min="8197" max="8197" width="19" customWidth="1"/>
    <col min="8198" max="8198" width="15.5703125" customWidth="1"/>
    <col min="8199" max="8199" width="25" customWidth="1"/>
    <col min="8200" max="8200" width="21.7109375" customWidth="1"/>
    <col min="8201" max="8201" width="0" hidden="1" customWidth="1"/>
    <col min="8202" max="8202" width="37.140625" customWidth="1"/>
    <col min="8451" max="8451" width="20.140625" customWidth="1"/>
    <col min="8452" max="8452" width="15.7109375" customWidth="1"/>
    <col min="8453" max="8453" width="19" customWidth="1"/>
    <col min="8454" max="8454" width="15.5703125" customWidth="1"/>
    <col min="8455" max="8455" width="25" customWidth="1"/>
    <col min="8456" max="8456" width="21.7109375" customWidth="1"/>
    <col min="8457" max="8457" width="0" hidden="1" customWidth="1"/>
    <col min="8458" max="8458" width="37.140625" customWidth="1"/>
    <col min="8707" max="8707" width="20.140625" customWidth="1"/>
    <col min="8708" max="8708" width="15.7109375" customWidth="1"/>
    <col min="8709" max="8709" width="19" customWidth="1"/>
    <col min="8710" max="8710" width="15.5703125" customWidth="1"/>
    <col min="8711" max="8711" width="25" customWidth="1"/>
    <col min="8712" max="8712" width="21.7109375" customWidth="1"/>
    <col min="8713" max="8713" width="0" hidden="1" customWidth="1"/>
    <col min="8714" max="8714" width="37.140625" customWidth="1"/>
    <col min="8963" max="8963" width="20.140625" customWidth="1"/>
    <col min="8964" max="8964" width="15.7109375" customWidth="1"/>
    <col min="8965" max="8965" width="19" customWidth="1"/>
    <col min="8966" max="8966" width="15.5703125" customWidth="1"/>
    <col min="8967" max="8967" width="25" customWidth="1"/>
    <col min="8968" max="8968" width="21.7109375" customWidth="1"/>
    <col min="8969" max="8969" width="0" hidden="1" customWidth="1"/>
    <col min="8970" max="8970" width="37.140625" customWidth="1"/>
    <col min="9219" max="9219" width="20.140625" customWidth="1"/>
    <col min="9220" max="9220" width="15.7109375" customWidth="1"/>
    <col min="9221" max="9221" width="19" customWidth="1"/>
    <col min="9222" max="9222" width="15.5703125" customWidth="1"/>
    <col min="9223" max="9223" width="25" customWidth="1"/>
    <col min="9224" max="9224" width="21.7109375" customWidth="1"/>
    <col min="9225" max="9225" width="0" hidden="1" customWidth="1"/>
    <col min="9226" max="9226" width="37.140625" customWidth="1"/>
    <col min="9475" max="9475" width="20.140625" customWidth="1"/>
    <col min="9476" max="9476" width="15.7109375" customWidth="1"/>
    <col min="9477" max="9477" width="19" customWidth="1"/>
    <col min="9478" max="9478" width="15.5703125" customWidth="1"/>
    <col min="9479" max="9479" width="25" customWidth="1"/>
    <col min="9480" max="9480" width="21.7109375" customWidth="1"/>
    <col min="9481" max="9481" width="0" hidden="1" customWidth="1"/>
    <col min="9482" max="9482" width="37.140625" customWidth="1"/>
    <col min="9731" max="9731" width="20.140625" customWidth="1"/>
    <col min="9732" max="9732" width="15.7109375" customWidth="1"/>
    <col min="9733" max="9733" width="19" customWidth="1"/>
    <col min="9734" max="9734" width="15.5703125" customWidth="1"/>
    <col min="9735" max="9735" width="25" customWidth="1"/>
    <col min="9736" max="9736" width="21.7109375" customWidth="1"/>
    <col min="9737" max="9737" width="0" hidden="1" customWidth="1"/>
    <col min="9738" max="9738" width="37.140625" customWidth="1"/>
    <col min="9987" max="9987" width="20.140625" customWidth="1"/>
    <col min="9988" max="9988" width="15.7109375" customWidth="1"/>
    <col min="9989" max="9989" width="19" customWidth="1"/>
    <col min="9990" max="9990" width="15.5703125" customWidth="1"/>
    <col min="9991" max="9991" width="25" customWidth="1"/>
    <col min="9992" max="9992" width="21.7109375" customWidth="1"/>
    <col min="9993" max="9993" width="0" hidden="1" customWidth="1"/>
    <col min="9994" max="9994" width="37.140625" customWidth="1"/>
    <col min="10243" max="10243" width="20.140625" customWidth="1"/>
    <col min="10244" max="10244" width="15.7109375" customWidth="1"/>
    <col min="10245" max="10245" width="19" customWidth="1"/>
    <col min="10246" max="10246" width="15.5703125" customWidth="1"/>
    <col min="10247" max="10247" width="25" customWidth="1"/>
    <col min="10248" max="10248" width="21.7109375" customWidth="1"/>
    <col min="10249" max="10249" width="0" hidden="1" customWidth="1"/>
    <col min="10250" max="10250" width="37.140625" customWidth="1"/>
    <col min="10499" max="10499" width="20.140625" customWidth="1"/>
    <col min="10500" max="10500" width="15.7109375" customWidth="1"/>
    <col min="10501" max="10501" width="19" customWidth="1"/>
    <col min="10502" max="10502" width="15.5703125" customWidth="1"/>
    <col min="10503" max="10503" width="25" customWidth="1"/>
    <col min="10504" max="10504" width="21.7109375" customWidth="1"/>
    <col min="10505" max="10505" width="0" hidden="1" customWidth="1"/>
    <col min="10506" max="10506" width="37.140625" customWidth="1"/>
    <col min="10755" max="10755" width="20.140625" customWidth="1"/>
    <col min="10756" max="10756" width="15.7109375" customWidth="1"/>
    <col min="10757" max="10757" width="19" customWidth="1"/>
    <col min="10758" max="10758" width="15.5703125" customWidth="1"/>
    <col min="10759" max="10759" width="25" customWidth="1"/>
    <col min="10760" max="10760" width="21.7109375" customWidth="1"/>
    <col min="10761" max="10761" width="0" hidden="1" customWidth="1"/>
    <col min="10762" max="10762" width="37.140625" customWidth="1"/>
    <col min="11011" max="11011" width="20.140625" customWidth="1"/>
    <col min="11012" max="11012" width="15.7109375" customWidth="1"/>
    <col min="11013" max="11013" width="19" customWidth="1"/>
    <col min="11014" max="11014" width="15.5703125" customWidth="1"/>
    <col min="11015" max="11015" width="25" customWidth="1"/>
    <col min="11016" max="11016" width="21.7109375" customWidth="1"/>
    <col min="11017" max="11017" width="0" hidden="1" customWidth="1"/>
    <col min="11018" max="11018" width="37.140625" customWidth="1"/>
    <col min="11267" max="11267" width="20.140625" customWidth="1"/>
    <col min="11268" max="11268" width="15.7109375" customWidth="1"/>
    <col min="11269" max="11269" width="19" customWidth="1"/>
    <col min="11270" max="11270" width="15.5703125" customWidth="1"/>
    <col min="11271" max="11271" width="25" customWidth="1"/>
    <col min="11272" max="11272" width="21.7109375" customWidth="1"/>
    <col min="11273" max="11273" width="0" hidden="1" customWidth="1"/>
    <col min="11274" max="11274" width="37.140625" customWidth="1"/>
    <col min="11523" max="11523" width="20.140625" customWidth="1"/>
    <col min="11524" max="11524" width="15.7109375" customWidth="1"/>
    <col min="11525" max="11525" width="19" customWidth="1"/>
    <col min="11526" max="11526" width="15.5703125" customWidth="1"/>
    <col min="11527" max="11527" width="25" customWidth="1"/>
    <col min="11528" max="11528" width="21.7109375" customWidth="1"/>
    <col min="11529" max="11529" width="0" hidden="1" customWidth="1"/>
    <col min="11530" max="11530" width="37.140625" customWidth="1"/>
    <col min="11779" max="11779" width="20.140625" customWidth="1"/>
    <col min="11780" max="11780" width="15.7109375" customWidth="1"/>
    <col min="11781" max="11781" width="19" customWidth="1"/>
    <col min="11782" max="11782" width="15.5703125" customWidth="1"/>
    <col min="11783" max="11783" width="25" customWidth="1"/>
    <col min="11784" max="11784" width="21.7109375" customWidth="1"/>
    <col min="11785" max="11785" width="0" hidden="1" customWidth="1"/>
    <col min="11786" max="11786" width="37.140625" customWidth="1"/>
    <col min="12035" max="12035" width="20.140625" customWidth="1"/>
    <col min="12036" max="12036" width="15.7109375" customWidth="1"/>
    <col min="12037" max="12037" width="19" customWidth="1"/>
    <col min="12038" max="12038" width="15.5703125" customWidth="1"/>
    <col min="12039" max="12039" width="25" customWidth="1"/>
    <col min="12040" max="12040" width="21.7109375" customWidth="1"/>
    <col min="12041" max="12041" width="0" hidden="1" customWidth="1"/>
    <col min="12042" max="12042" width="37.140625" customWidth="1"/>
    <col min="12291" max="12291" width="20.140625" customWidth="1"/>
    <col min="12292" max="12292" width="15.7109375" customWidth="1"/>
    <col min="12293" max="12293" width="19" customWidth="1"/>
    <col min="12294" max="12294" width="15.5703125" customWidth="1"/>
    <col min="12295" max="12295" width="25" customWidth="1"/>
    <col min="12296" max="12296" width="21.7109375" customWidth="1"/>
    <col min="12297" max="12297" width="0" hidden="1" customWidth="1"/>
    <col min="12298" max="12298" width="37.140625" customWidth="1"/>
    <col min="12547" max="12547" width="20.140625" customWidth="1"/>
    <col min="12548" max="12548" width="15.7109375" customWidth="1"/>
    <col min="12549" max="12549" width="19" customWidth="1"/>
    <col min="12550" max="12550" width="15.5703125" customWidth="1"/>
    <col min="12551" max="12551" width="25" customWidth="1"/>
    <col min="12552" max="12552" width="21.7109375" customWidth="1"/>
    <col min="12553" max="12553" width="0" hidden="1" customWidth="1"/>
    <col min="12554" max="12554" width="37.140625" customWidth="1"/>
    <col min="12803" max="12803" width="20.140625" customWidth="1"/>
    <col min="12804" max="12804" width="15.7109375" customWidth="1"/>
    <col min="12805" max="12805" width="19" customWidth="1"/>
    <col min="12806" max="12806" width="15.5703125" customWidth="1"/>
    <col min="12807" max="12807" width="25" customWidth="1"/>
    <col min="12808" max="12808" width="21.7109375" customWidth="1"/>
    <col min="12809" max="12809" width="0" hidden="1" customWidth="1"/>
    <col min="12810" max="12810" width="37.140625" customWidth="1"/>
    <col min="13059" max="13059" width="20.140625" customWidth="1"/>
    <col min="13060" max="13060" width="15.7109375" customWidth="1"/>
    <col min="13061" max="13061" width="19" customWidth="1"/>
    <col min="13062" max="13062" width="15.5703125" customWidth="1"/>
    <col min="13063" max="13063" width="25" customWidth="1"/>
    <col min="13064" max="13064" width="21.7109375" customWidth="1"/>
    <col min="13065" max="13065" width="0" hidden="1" customWidth="1"/>
    <col min="13066" max="13066" width="37.140625" customWidth="1"/>
    <col min="13315" max="13315" width="20.140625" customWidth="1"/>
    <col min="13316" max="13316" width="15.7109375" customWidth="1"/>
    <col min="13317" max="13317" width="19" customWidth="1"/>
    <col min="13318" max="13318" width="15.5703125" customWidth="1"/>
    <col min="13319" max="13319" width="25" customWidth="1"/>
    <col min="13320" max="13320" width="21.7109375" customWidth="1"/>
    <col min="13321" max="13321" width="0" hidden="1" customWidth="1"/>
    <col min="13322" max="13322" width="37.140625" customWidth="1"/>
    <col min="13571" max="13571" width="20.140625" customWidth="1"/>
    <col min="13572" max="13572" width="15.7109375" customWidth="1"/>
    <col min="13573" max="13573" width="19" customWidth="1"/>
    <col min="13574" max="13574" width="15.5703125" customWidth="1"/>
    <col min="13575" max="13575" width="25" customWidth="1"/>
    <col min="13576" max="13576" width="21.7109375" customWidth="1"/>
    <col min="13577" max="13577" width="0" hidden="1" customWidth="1"/>
    <col min="13578" max="13578" width="37.140625" customWidth="1"/>
    <col min="13827" max="13827" width="20.140625" customWidth="1"/>
    <col min="13828" max="13828" width="15.7109375" customWidth="1"/>
    <col min="13829" max="13829" width="19" customWidth="1"/>
    <col min="13830" max="13830" width="15.5703125" customWidth="1"/>
    <col min="13831" max="13831" width="25" customWidth="1"/>
    <col min="13832" max="13832" width="21.7109375" customWidth="1"/>
    <col min="13833" max="13833" width="0" hidden="1" customWidth="1"/>
    <col min="13834" max="13834" width="37.140625" customWidth="1"/>
    <col min="14083" max="14083" width="20.140625" customWidth="1"/>
    <col min="14084" max="14084" width="15.7109375" customWidth="1"/>
    <col min="14085" max="14085" width="19" customWidth="1"/>
    <col min="14086" max="14086" width="15.5703125" customWidth="1"/>
    <col min="14087" max="14087" width="25" customWidth="1"/>
    <col min="14088" max="14088" width="21.7109375" customWidth="1"/>
    <col min="14089" max="14089" width="0" hidden="1" customWidth="1"/>
    <col min="14090" max="14090" width="37.140625" customWidth="1"/>
    <col min="14339" max="14339" width="20.140625" customWidth="1"/>
    <col min="14340" max="14340" width="15.7109375" customWidth="1"/>
    <col min="14341" max="14341" width="19" customWidth="1"/>
    <col min="14342" max="14342" width="15.5703125" customWidth="1"/>
    <col min="14343" max="14343" width="25" customWidth="1"/>
    <col min="14344" max="14344" width="21.7109375" customWidth="1"/>
    <col min="14345" max="14345" width="0" hidden="1" customWidth="1"/>
    <col min="14346" max="14346" width="37.140625" customWidth="1"/>
    <col min="14595" max="14595" width="20.140625" customWidth="1"/>
    <col min="14596" max="14596" width="15.7109375" customWidth="1"/>
    <col min="14597" max="14597" width="19" customWidth="1"/>
    <col min="14598" max="14598" width="15.5703125" customWidth="1"/>
    <col min="14599" max="14599" width="25" customWidth="1"/>
    <col min="14600" max="14600" width="21.7109375" customWidth="1"/>
    <col min="14601" max="14601" width="0" hidden="1" customWidth="1"/>
    <col min="14602" max="14602" width="37.140625" customWidth="1"/>
    <col min="14851" max="14851" width="20.140625" customWidth="1"/>
    <col min="14852" max="14852" width="15.7109375" customWidth="1"/>
    <col min="14853" max="14853" width="19" customWidth="1"/>
    <col min="14854" max="14854" width="15.5703125" customWidth="1"/>
    <col min="14855" max="14855" width="25" customWidth="1"/>
    <col min="14856" max="14856" width="21.7109375" customWidth="1"/>
    <col min="14857" max="14857" width="0" hidden="1" customWidth="1"/>
    <col min="14858" max="14858" width="37.140625" customWidth="1"/>
    <col min="15107" max="15107" width="20.140625" customWidth="1"/>
    <col min="15108" max="15108" width="15.7109375" customWidth="1"/>
    <col min="15109" max="15109" width="19" customWidth="1"/>
    <col min="15110" max="15110" width="15.5703125" customWidth="1"/>
    <col min="15111" max="15111" width="25" customWidth="1"/>
    <col min="15112" max="15112" width="21.7109375" customWidth="1"/>
    <col min="15113" max="15113" width="0" hidden="1" customWidth="1"/>
    <col min="15114" max="15114" width="37.140625" customWidth="1"/>
    <col min="15363" max="15363" width="20.140625" customWidth="1"/>
    <col min="15364" max="15364" width="15.7109375" customWidth="1"/>
    <col min="15365" max="15365" width="19" customWidth="1"/>
    <col min="15366" max="15366" width="15.5703125" customWidth="1"/>
    <col min="15367" max="15367" width="25" customWidth="1"/>
    <col min="15368" max="15368" width="21.7109375" customWidth="1"/>
    <col min="15369" max="15369" width="0" hidden="1" customWidth="1"/>
    <col min="15370" max="15370" width="37.140625" customWidth="1"/>
    <col min="15619" max="15619" width="20.140625" customWidth="1"/>
    <col min="15620" max="15620" width="15.7109375" customWidth="1"/>
    <col min="15621" max="15621" width="19" customWidth="1"/>
    <col min="15622" max="15622" width="15.5703125" customWidth="1"/>
    <col min="15623" max="15623" width="25" customWidth="1"/>
    <col min="15624" max="15624" width="21.7109375" customWidth="1"/>
    <col min="15625" max="15625" width="0" hidden="1" customWidth="1"/>
    <col min="15626" max="15626" width="37.140625" customWidth="1"/>
    <col min="15875" max="15875" width="20.140625" customWidth="1"/>
    <col min="15876" max="15876" width="15.7109375" customWidth="1"/>
    <col min="15877" max="15877" width="19" customWidth="1"/>
    <col min="15878" max="15878" width="15.5703125" customWidth="1"/>
    <col min="15879" max="15879" width="25" customWidth="1"/>
    <col min="15880" max="15880" width="21.7109375" customWidth="1"/>
    <col min="15881" max="15881" width="0" hidden="1" customWidth="1"/>
    <col min="15882" max="15882" width="37.140625" customWidth="1"/>
    <col min="16131" max="16131" width="20.140625" customWidth="1"/>
    <col min="16132" max="16132" width="15.7109375" customWidth="1"/>
    <col min="16133" max="16133" width="19" customWidth="1"/>
    <col min="16134" max="16134" width="15.5703125" customWidth="1"/>
    <col min="16135" max="16135" width="25" customWidth="1"/>
    <col min="16136" max="16136" width="21.7109375" customWidth="1"/>
    <col min="16137" max="16137" width="0" hidden="1" customWidth="1"/>
    <col min="16138" max="16138" width="37.140625" customWidth="1"/>
  </cols>
  <sheetData>
    <row r="2" spans="2:9" ht="18.75">
      <c r="B2" s="1950" t="s">
        <v>1129</v>
      </c>
      <c r="C2" s="1950"/>
      <c r="D2" s="1950"/>
      <c r="E2" s="1950"/>
      <c r="F2" s="1950"/>
      <c r="G2" s="1950"/>
      <c r="H2" s="1950"/>
      <c r="I2" s="1950"/>
    </row>
    <row r="5" spans="2:9" ht="21">
      <c r="B5" s="376" t="s">
        <v>1233</v>
      </c>
      <c r="C5" s="376"/>
      <c r="D5" s="376"/>
      <c r="E5" s="376"/>
      <c r="F5" s="376"/>
      <c r="G5" s="376"/>
      <c r="H5" s="377"/>
      <c r="I5" s="377"/>
    </row>
    <row r="6" spans="2:9" ht="21">
      <c r="B6" s="1951" t="s">
        <v>1216</v>
      </c>
      <c r="C6" s="1951"/>
      <c r="D6" s="1951"/>
      <c r="E6" s="1951"/>
      <c r="F6" s="1951"/>
      <c r="G6" s="1951"/>
      <c r="H6" s="378" t="s">
        <v>1217</v>
      </c>
      <c r="I6" s="379"/>
    </row>
    <row r="8" spans="2:9" ht="75.75" customHeight="1">
      <c r="B8" s="874" t="s">
        <v>490</v>
      </c>
      <c r="C8" s="874" t="s">
        <v>460</v>
      </c>
      <c r="D8" s="874" t="s">
        <v>484</v>
      </c>
      <c r="E8" s="874" t="s">
        <v>1218</v>
      </c>
      <c r="F8" s="874" t="s">
        <v>1219</v>
      </c>
      <c r="G8" s="874" t="s">
        <v>1220</v>
      </c>
      <c r="H8" s="874" t="s">
        <v>1221</v>
      </c>
      <c r="I8" s="874" t="s">
        <v>1222</v>
      </c>
    </row>
    <row r="9" spans="2:9" ht="18.75">
      <c r="B9" s="1952" t="s">
        <v>1153</v>
      </c>
      <c r="C9" s="1953"/>
      <c r="D9" s="1953"/>
      <c r="E9" s="1953"/>
      <c r="F9" s="1953"/>
      <c r="G9" s="1953"/>
      <c r="H9" s="1953"/>
      <c r="I9" s="1954"/>
    </row>
    <row r="10" spans="2:9" ht="18.75">
      <c r="B10" s="875">
        <v>1</v>
      </c>
      <c r="C10" s="876" t="s">
        <v>389</v>
      </c>
      <c r="D10" s="877"/>
      <c r="E10" s="877"/>
      <c r="F10" s="877"/>
      <c r="G10" s="877"/>
      <c r="H10" s="877"/>
      <c r="I10" s="877"/>
    </row>
    <row r="11" spans="2:9" ht="18.75">
      <c r="B11" s="877" t="s">
        <v>1223</v>
      </c>
      <c r="C11" s="878" t="s">
        <v>1797</v>
      </c>
      <c r="D11" s="713">
        <v>75</v>
      </c>
      <c r="E11" s="713">
        <v>3763</v>
      </c>
      <c r="F11" s="877">
        <v>11</v>
      </c>
      <c r="G11" s="877">
        <v>380</v>
      </c>
      <c r="H11" s="879">
        <f>F11/D11</f>
        <v>0.14666666666666667</v>
      </c>
      <c r="I11" s="879">
        <f>G11/E11</f>
        <v>0.10098325803879883</v>
      </c>
    </row>
    <row r="12" spans="2:9" ht="18.75">
      <c r="B12" s="875">
        <v>2</v>
      </c>
      <c r="C12" s="876" t="s">
        <v>1004</v>
      </c>
      <c r="D12" s="877"/>
      <c r="E12" s="877"/>
      <c r="F12" s="877"/>
      <c r="G12" s="877"/>
      <c r="H12" s="877"/>
      <c r="I12" s="877"/>
    </row>
    <row r="13" spans="2:9" ht="18.75">
      <c r="B13" s="877" t="s">
        <v>1223</v>
      </c>
      <c r="C13" s="878" t="s">
        <v>1797</v>
      </c>
      <c r="D13" s="380">
        <v>346</v>
      </c>
      <c r="E13" s="381">
        <v>11396</v>
      </c>
      <c r="F13" s="381">
        <v>58</v>
      </c>
      <c r="G13" s="381">
        <v>2372</v>
      </c>
      <c r="H13" s="879">
        <f>F13/D13</f>
        <v>0.16763005780346821</v>
      </c>
      <c r="I13" s="879">
        <f>G13/E13</f>
        <v>0.20814320814320814</v>
      </c>
    </row>
    <row r="14" spans="2:9" ht="18.75">
      <c r="B14" s="1952" t="s">
        <v>1225</v>
      </c>
      <c r="C14" s="1953"/>
      <c r="D14" s="1953"/>
      <c r="E14" s="1953"/>
      <c r="F14" s="1953"/>
      <c r="G14" s="1953"/>
      <c r="H14" s="1953"/>
      <c r="I14" s="1954"/>
    </row>
    <row r="15" spans="2:9" ht="18.75">
      <c r="B15" s="875">
        <v>1</v>
      </c>
      <c r="C15" s="876" t="s">
        <v>389</v>
      </c>
      <c r="D15" s="877"/>
      <c r="E15" s="877"/>
      <c r="F15" s="877"/>
      <c r="G15" s="877"/>
      <c r="H15" s="877"/>
      <c r="I15" s="877"/>
    </row>
    <row r="16" spans="2:9" ht="18.75">
      <c r="B16" s="877" t="s">
        <v>1223</v>
      </c>
      <c r="C16" s="878" t="s">
        <v>1797</v>
      </c>
      <c r="D16" s="713">
        <v>75</v>
      </c>
      <c r="E16" s="713">
        <v>3794</v>
      </c>
      <c r="F16" s="877">
        <v>19</v>
      </c>
      <c r="G16" s="1045">
        <v>629.71</v>
      </c>
      <c r="H16" s="879">
        <f>F16/D16</f>
        <v>0.25333333333333335</v>
      </c>
      <c r="I16" s="879">
        <f>G16/E16</f>
        <v>0.16597522403795467</v>
      </c>
    </row>
    <row r="17" spans="2:9" ht="18.75">
      <c r="B17" s="875">
        <v>2</v>
      </c>
      <c r="C17" s="876" t="s">
        <v>1004</v>
      </c>
      <c r="D17" s="877"/>
      <c r="E17" s="877"/>
      <c r="F17" s="877"/>
      <c r="G17" s="877"/>
      <c r="H17" s="877"/>
      <c r="I17" s="877"/>
    </row>
    <row r="18" spans="2:9" ht="18.75">
      <c r="B18" s="877" t="s">
        <v>1223</v>
      </c>
      <c r="C18" s="878" t="s">
        <v>1797</v>
      </c>
      <c r="D18" s="380">
        <v>350</v>
      </c>
      <c r="E18" s="381">
        <v>11529</v>
      </c>
      <c r="F18" s="381">
        <v>20</v>
      </c>
      <c r="G18" s="381">
        <v>861</v>
      </c>
      <c r="H18" s="879">
        <f>F18/D18</f>
        <v>5.7142857142857141E-2</v>
      </c>
      <c r="I18" s="879">
        <f>G18/E18</f>
        <v>7.4681238615664849E-2</v>
      </c>
    </row>
    <row r="19" spans="2:9" ht="18.75">
      <c r="B19" s="382"/>
      <c r="C19" s="383"/>
      <c r="D19" s="382"/>
      <c r="E19" s="382"/>
      <c r="F19" s="382"/>
      <c r="G19" s="384"/>
      <c r="H19" s="384"/>
      <c r="I19" s="382"/>
    </row>
    <row r="20" spans="2:9" ht="18.75">
      <c r="B20" s="382"/>
      <c r="C20" s="383"/>
      <c r="D20" s="382"/>
      <c r="E20" s="382"/>
      <c r="F20" s="382"/>
      <c r="G20" s="382"/>
      <c r="H20" s="382"/>
      <c r="I20" s="382"/>
    </row>
    <row r="21" spans="2:9" ht="18.75">
      <c r="B21" s="382"/>
      <c r="C21" s="383"/>
      <c r="D21" s="382"/>
      <c r="E21" s="382"/>
      <c r="F21" s="382"/>
      <c r="G21" s="1903" t="s">
        <v>1163</v>
      </c>
      <c r="H21" s="1903"/>
      <c r="I21" s="382"/>
    </row>
    <row r="22" spans="2:9" ht="18.75">
      <c r="B22" s="379"/>
      <c r="C22" s="379"/>
      <c r="D22" s="379"/>
      <c r="E22" s="379"/>
      <c r="F22" s="379"/>
      <c r="I22" s="880"/>
    </row>
  </sheetData>
  <mergeCells count="5">
    <mergeCell ref="B2:I2"/>
    <mergeCell ref="B6:G6"/>
    <mergeCell ref="B9:I9"/>
    <mergeCell ref="G21:H21"/>
    <mergeCell ref="B14:I14"/>
  </mergeCells>
  <pageMargins left="0.70866141732283472" right="0.70866141732283472" top="0.74803149606299213" bottom="0.74803149606299213" header="0.31496062992125984" footer="0.31496062992125984"/>
  <pageSetup paperSize="9" scale="8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L220"/>
  <sheetViews>
    <sheetView showGridLines="0" view="pageBreakPreview" topLeftCell="A4" zoomScale="55" zoomScaleNormal="55" zoomScaleSheetLayoutView="55" workbookViewId="0">
      <selection activeCell="F10" sqref="F10"/>
    </sheetView>
  </sheetViews>
  <sheetFormatPr defaultColWidth="8.85546875" defaultRowHeight="15"/>
  <cols>
    <col min="1" max="1" width="2.5703125" customWidth="1"/>
    <col min="3" max="3" width="24.140625" customWidth="1"/>
    <col min="4" max="4" width="18.42578125" customWidth="1"/>
    <col min="5" max="5" width="10.5703125" customWidth="1"/>
    <col min="6" max="7" width="11.5703125" customWidth="1"/>
    <col min="8" max="8" width="12.5703125" customWidth="1"/>
    <col min="9" max="9" width="11.85546875" customWidth="1"/>
    <col min="10" max="11" width="12.28515625" customWidth="1"/>
    <col min="12" max="12" width="16.28515625" customWidth="1"/>
    <col min="259" max="259" width="30.85546875" customWidth="1"/>
    <col min="260" max="260" width="10.5703125" customWidth="1"/>
    <col min="261" max="261" width="11.5703125" customWidth="1"/>
    <col min="262" max="262" width="12.5703125" customWidth="1"/>
    <col min="263" max="263" width="11.85546875" customWidth="1"/>
    <col min="264" max="264" width="12.28515625" customWidth="1"/>
    <col min="265" max="265" width="16.28515625" customWidth="1"/>
    <col min="266" max="266" width="13.5703125" customWidth="1"/>
    <col min="267" max="267" width="14.140625" customWidth="1"/>
    <col min="268" max="268" width="14.28515625" customWidth="1"/>
    <col min="515" max="515" width="30.85546875" customWidth="1"/>
    <col min="516" max="516" width="10.5703125" customWidth="1"/>
    <col min="517" max="517" width="11.5703125" customWidth="1"/>
    <col min="518" max="518" width="12.5703125" customWidth="1"/>
    <col min="519" max="519" width="11.85546875" customWidth="1"/>
    <col min="520" max="520" width="12.28515625" customWidth="1"/>
    <col min="521" max="521" width="16.28515625" customWidth="1"/>
    <col min="522" max="522" width="13.5703125" customWidth="1"/>
    <col min="523" max="523" width="14.140625" customWidth="1"/>
    <col min="524" max="524" width="14.28515625" customWidth="1"/>
    <col min="771" max="771" width="30.85546875" customWidth="1"/>
    <col min="772" max="772" width="10.5703125" customWidth="1"/>
    <col min="773" max="773" width="11.5703125" customWidth="1"/>
    <col min="774" max="774" width="12.5703125" customWidth="1"/>
    <col min="775" max="775" width="11.85546875" customWidth="1"/>
    <col min="776" max="776" width="12.28515625" customWidth="1"/>
    <col min="777" max="777" width="16.28515625" customWidth="1"/>
    <col min="778" max="778" width="13.5703125" customWidth="1"/>
    <col min="779" max="779" width="14.140625" customWidth="1"/>
    <col min="780" max="780" width="14.28515625" customWidth="1"/>
    <col min="1027" max="1027" width="30.85546875" customWidth="1"/>
    <col min="1028" max="1028" width="10.5703125" customWidth="1"/>
    <col min="1029" max="1029" width="11.5703125" customWidth="1"/>
    <col min="1030" max="1030" width="12.5703125" customWidth="1"/>
    <col min="1031" max="1031" width="11.85546875" customWidth="1"/>
    <col min="1032" max="1032" width="12.28515625" customWidth="1"/>
    <col min="1033" max="1033" width="16.28515625" customWidth="1"/>
    <col min="1034" max="1034" width="13.5703125" customWidth="1"/>
    <col min="1035" max="1035" width="14.140625" customWidth="1"/>
    <col min="1036" max="1036" width="14.28515625" customWidth="1"/>
    <col min="1283" max="1283" width="30.85546875" customWidth="1"/>
    <col min="1284" max="1284" width="10.5703125" customWidth="1"/>
    <col min="1285" max="1285" width="11.5703125" customWidth="1"/>
    <col min="1286" max="1286" width="12.5703125" customWidth="1"/>
    <col min="1287" max="1287" width="11.85546875" customWidth="1"/>
    <col min="1288" max="1288" width="12.28515625" customWidth="1"/>
    <col min="1289" max="1289" width="16.28515625" customWidth="1"/>
    <col min="1290" max="1290" width="13.5703125" customWidth="1"/>
    <col min="1291" max="1291" width="14.140625" customWidth="1"/>
    <col min="1292" max="1292" width="14.28515625" customWidth="1"/>
    <col min="1539" max="1539" width="30.85546875" customWidth="1"/>
    <col min="1540" max="1540" width="10.5703125" customWidth="1"/>
    <col min="1541" max="1541" width="11.5703125" customWidth="1"/>
    <col min="1542" max="1542" width="12.5703125" customWidth="1"/>
    <col min="1543" max="1543" width="11.85546875" customWidth="1"/>
    <col min="1544" max="1544" width="12.28515625" customWidth="1"/>
    <col min="1545" max="1545" width="16.28515625" customWidth="1"/>
    <col min="1546" max="1546" width="13.5703125" customWidth="1"/>
    <col min="1547" max="1547" width="14.140625" customWidth="1"/>
    <col min="1548" max="1548" width="14.28515625" customWidth="1"/>
    <col min="1795" max="1795" width="30.85546875" customWidth="1"/>
    <col min="1796" max="1796" width="10.5703125" customWidth="1"/>
    <col min="1797" max="1797" width="11.5703125" customWidth="1"/>
    <col min="1798" max="1798" width="12.5703125" customWidth="1"/>
    <col min="1799" max="1799" width="11.85546875" customWidth="1"/>
    <col min="1800" max="1800" width="12.28515625" customWidth="1"/>
    <col min="1801" max="1801" width="16.28515625" customWidth="1"/>
    <col min="1802" max="1802" width="13.5703125" customWidth="1"/>
    <col min="1803" max="1803" width="14.140625" customWidth="1"/>
    <col min="1804" max="1804" width="14.28515625" customWidth="1"/>
    <col min="2051" max="2051" width="30.85546875" customWidth="1"/>
    <col min="2052" max="2052" width="10.5703125" customWidth="1"/>
    <col min="2053" max="2053" width="11.5703125" customWidth="1"/>
    <col min="2054" max="2054" width="12.5703125" customWidth="1"/>
    <col min="2055" max="2055" width="11.85546875" customWidth="1"/>
    <col min="2056" max="2056" width="12.28515625" customWidth="1"/>
    <col min="2057" max="2057" width="16.28515625" customWidth="1"/>
    <col min="2058" max="2058" width="13.5703125" customWidth="1"/>
    <col min="2059" max="2059" width="14.140625" customWidth="1"/>
    <col min="2060" max="2060" width="14.28515625" customWidth="1"/>
    <col min="2307" max="2307" width="30.85546875" customWidth="1"/>
    <col min="2308" max="2308" width="10.5703125" customWidth="1"/>
    <col min="2309" max="2309" width="11.5703125" customWidth="1"/>
    <col min="2310" max="2310" width="12.5703125" customWidth="1"/>
    <col min="2311" max="2311" width="11.85546875" customWidth="1"/>
    <col min="2312" max="2312" width="12.28515625" customWidth="1"/>
    <col min="2313" max="2313" width="16.28515625" customWidth="1"/>
    <col min="2314" max="2314" width="13.5703125" customWidth="1"/>
    <col min="2315" max="2315" width="14.140625" customWidth="1"/>
    <col min="2316" max="2316" width="14.28515625" customWidth="1"/>
    <col min="2563" max="2563" width="30.85546875" customWidth="1"/>
    <col min="2564" max="2564" width="10.5703125" customWidth="1"/>
    <col min="2565" max="2565" width="11.5703125" customWidth="1"/>
    <col min="2566" max="2566" width="12.5703125" customWidth="1"/>
    <col min="2567" max="2567" width="11.85546875" customWidth="1"/>
    <col min="2568" max="2568" width="12.28515625" customWidth="1"/>
    <col min="2569" max="2569" width="16.28515625" customWidth="1"/>
    <col min="2570" max="2570" width="13.5703125" customWidth="1"/>
    <col min="2571" max="2571" width="14.140625" customWidth="1"/>
    <col min="2572" max="2572" width="14.28515625" customWidth="1"/>
    <col min="2819" max="2819" width="30.85546875" customWidth="1"/>
    <col min="2820" max="2820" width="10.5703125" customWidth="1"/>
    <col min="2821" max="2821" width="11.5703125" customWidth="1"/>
    <col min="2822" max="2822" width="12.5703125" customWidth="1"/>
    <col min="2823" max="2823" width="11.85546875" customWidth="1"/>
    <col min="2824" max="2824" width="12.28515625" customWidth="1"/>
    <col min="2825" max="2825" width="16.28515625" customWidth="1"/>
    <col min="2826" max="2826" width="13.5703125" customWidth="1"/>
    <col min="2827" max="2827" width="14.140625" customWidth="1"/>
    <col min="2828" max="2828" width="14.28515625" customWidth="1"/>
    <col min="3075" max="3075" width="30.85546875" customWidth="1"/>
    <col min="3076" max="3076" width="10.5703125" customWidth="1"/>
    <col min="3077" max="3077" width="11.5703125" customWidth="1"/>
    <col min="3078" max="3078" width="12.5703125" customWidth="1"/>
    <col min="3079" max="3079" width="11.85546875" customWidth="1"/>
    <col min="3080" max="3080" width="12.28515625" customWidth="1"/>
    <col min="3081" max="3081" width="16.28515625" customWidth="1"/>
    <col min="3082" max="3082" width="13.5703125" customWidth="1"/>
    <col min="3083" max="3083" width="14.140625" customWidth="1"/>
    <col min="3084" max="3084" width="14.28515625" customWidth="1"/>
    <col min="3331" max="3331" width="30.85546875" customWidth="1"/>
    <col min="3332" max="3332" width="10.5703125" customWidth="1"/>
    <col min="3333" max="3333" width="11.5703125" customWidth="1"/>
    <col min="3334" max="3334" width="12.5703125" customWidth="1"/>
    <col min="3335" max="3335" width="11.85546875" customWidth="1"/>
    <col min="3336" max="3336" width="12.28515625" customWidth="1"/>
    <col min="3337" max="3337" width="16.28515625" customWidth="1"/>
    <col min="3338" max="3338" width="13.5703125" customWidth="1"/>
    <col min="3339" max="3339" width="14.140625" customWidth="1"/>
    <col min="3340" max="3340" width="14.28515625" customWidth="1"/>
    <col min="3587" max="3587" width="30.85546875" customWidth="1"/>
    <col min="3588" max="3588" width="10.5703125" customWidth="1"/>
    <col min="3589" max="3589" width="11.5703125" customWidth="1"/>
    <col min="3590" max="3590" width="12.5703125" customWidth="1"/>
    <col min="3591" max="3591" width="11.85546875" customWidth="1"/>
    <col min="3592" max="3592" width="12.28515625" customWidth="1"/>
    <col min="3593" max="3593" width="16.28515625" customWidth="1"/>
    <col min="3594" max="3594" width="13.5703125" customWidth="1"/>
    <col min="3595" max="3595" width="14.140625" customWidth="1"/>
    <col min="3596" max="3596" width="14.28515625" customWidth="1"/>
    <col min="3843" max="3843" width="30.85546875" customWidth="1"/>
    <col min="3844" max="3844" width="10.5703125" customWidth="1"/>
    <col min="3845" max="3845" width="11.5703125" customWidth="1"/>
    <col min="3846" max="3846" width="12.5703125" customWidth="1"/>
    <col min="3847" max="3847" width="11.85546875" customWidth="1"/>
    <col min="3848" max="3848" width="12.28515625" customWidth="1"/>
    <col min="3849" max="3849" width="16.28515625" customWidth="1"/>
    <col min="3850" max="3850" width="13.5703125" customWidth="1"/>
    <col min="3851" max="3851" width="14.140625" customWidth="1"/>
    <col min="3852" max="3852" width="14.28515625" customWidth="1"/>
    <col min="4099" max="4099" width="30.85546875" customWidth="1"/>
    <col min="4100" max="4100" width="10.5703125" customWidth="1"/>
    <col min="4101" max="4101" width="11.5703125" customWidth="1"/>
    <col min="4102" max="4102" width="12.5703125" customWidth="1"/>
    <col min="4103" max="4103" width="11.85546875" customWidth="1"/>
    <col min="4104" max="4104" width="12.28515625" customWidth="1"/>
    <col min="4105" max="4105" width="16.28515625" customWidth="1"/>
    <col min="4106" max="4106" width="13.5703125" customWidth="1"/>
    <col min="4107" max="4107" width="14.140625" customWidth="1"/>
    <col min="4108" max="4108" width="14.28515625" customWidth="1"/>
    <col min="4355" max="4355" width="30.85546875" customWidth="1"/>
    <col min="4356" max="4356" width="10.5703125" customWidth="1"/>
    <col min="4357" max="4357" width="11.5703125" customWidth="1"/>
    <col min="4358" max="4358" width="12.5703125" customWidth="1"/>
    <col min="4359" max="4359" width="11.85546875" customWidth="1"/>
    <col min="4360" max="4360" width="12.28515625" customWidth="1"/>
    <col min="4361" max="4361" width="16.28515625" customWidth="1"/>
    <col min="4362" max="4362" width="13.5703125" customWidth="1"/>
    <col min="4363" max="4363" width="14.140625" customWidth="1"/>
    <col min="4364" max="4364" width="14.28515625" customWidth="1"/>
    <col min="4611" max="4611" width="30.85546875" customWidth="1"/>
    <col min="4612" max="4612" width="10.5703125" customWidth="1"/>
    <col min="4613" max="4613" width="11.5703125" customWidth="1"/>
    <col min="4614" max="4614" width="12.5703125" customWidth="1"/>
    <col min="4615" max="4615" width="11.85546875" customWidth="1"/>
    <col min="4616" max="4616" width="12.28515625" customWidth="1"/>
    <col min="4617" max="4617" width="16.28515625" customWidth="1"/>
    <col min="4618" max="4618" width="13.5703125" customWidth="1"/>
    <col min="4619" max="4619" width="14.140625" customWidth="1"/>
    <col min="4620" max="4620" width="14.28515625" customWidth="1"/>
    <col min="4867" max="4867" width="30.85546875" customWidth="1"/>
    <col min="4868" max="4868" width="10.5703125" customWidth="1"/>
    <col min="4869" max="4869" width="11.5703125" customWidth="1"/>
    <col min="4870" max="4870" width="12.5703125" customWidth="1"/>
    <col min="4871" max="4871" width="11.85546875" customWidth="1"/>
    <col min="4872" max="4872" width="12.28515625" customWidth="1"/>
    <col min="4873" max="4873" width="16.28515625" customWidth="1"/>
    <col min="4874" max="4874" width="13.5703125" customWidth="1"/>
    <col min="4875" max="4875" width="14.140625" customWidth="1"/>
    <col min="4876" max="4876" width="14.28515625" customWidth="1"/>
    <col min="5123" max="5123" width="30.85546875" customWidth="1"/>
    <col min="5124" max="5124" width="10.5703125" customWidth="1"/>
    <col min="5125" max="5125" width="11.5703125" customWidth="1"/>
    <col min="5126" max="5126" width="12.5703125" customWidth="1"/>
    <col min="5127" max="5127" width="11.85546875" customWidth="1"/>
    <col min="5128" max="5128" width="12.28515625" customWidth="1"/>
    <col min="5129" max="5129" width="16.28515625" customWidth="1"/>
    <col min="5130" max="5130" width="13.5703125" customWidth="1"/>
    <col min="5131" max="5131" width="14.140625" customWidth="1"/>
    <col min="5132" max="5132" width="14.28515625" customWidth="1"/>
    <col min="5379" max="5379" width="30.85546875" customWidth="1"/>
    <col min="5380" max="5380" width="10.5703125" customWidth="1"/>
    <col min="5381" max="5381" width="11.5703125" customWidth="1"/>
    <col min="5382" max="5382" width="12.5703125" customWidth="1"/>
    <col min="5383" max="5383" width="11.85546875" customWidth="1"/>
    <col min="5384" max="5384" width="12.28515625" customWidth="1"/>
    <col min="5385" max="5385" width="16.28515625" customWidth="1"/>
    <col min="5386" max="5386" width="13.5703125" customWidth="1"/>
    <col min="5387" max="5387" width="14.140625" customWidth="1"/>
    <col min="5388" max="5388" width="14.28515625" customWidth="1"/>
    <col min="5635" max="5635" width="30.85546875" customWidth="1"/>
    <col min="5636" max="5636" width="10.5703125" customWidth="1"/>
    <col min="5637" max="5637" width="11.5703125" customWidth="1"/>
    <col min="5638" max="5638" width="12.5703125" customWidth="1"/>
    <col min="5639" max="5639" width="11.85546875" customWidth="1"/>
    <col min="5640" max="5640" width="12.28515625" customWidth="1"/>
    <col min="5641" max="5641" width="16.28515625" customWidth="1"/>
    <col min="5642" max="5642" width="13.5703125" customWidth="1"/>
    <col min="5643" max="5643" width="14.140625" customWidth="1"/>
    <col min="5644" max="5644" width="14.28515625" customWidth="1"/>
    <col min="5891" max="5891" width="30.85546875" customWidth="1"/>
    <col min="5892" max="5892" width="10.5703125" customWidth="1"/>
    <col min="5893" max="5893" width="11.5703125" customWidth="1"/>
    <col min="5894" max="5894" width="12.5703125" customWidth="1"/>
    <col min="5895" max="5895" width="11.85546875" customWidth="1"/>
    <col min="5896" max="5896" width="12.28515625" customWidth="1"/>
    <col min="5897" max="5897" width="16.28515625" customWidth="1"/>
    <col min="5898" max="5898" width="13.5703125" customWidth="1"/>
    <col min="5899" max="5899" width="14.140625" customWidth="1"/>
    <col min="5900" max="5900" width="14.28515625" customWidth="1"/>
    <col min="6147" max="6147" width="30.85546875" customWidth="1"/>
    <col min="6148" max="6148" width="10.5703125" customWidth="1"/>
    <col min="6149" max="6149" width="11.5703125" customWidth="1"/>
    <col min="6150" max="6150" width="12.5703125" customWidth="1"/>
    <col min="6151" max="6151" width="11.85546875" customWidth="1"/>
    <col min="6152" max="6152" width="12.28515625" customWidth="1"/>
    <col min="6153" max="6153" width="16.28515625" customWidth="1"/>
    <col min="6154" max="6154" width="13.5703125" customWidth="1"/>
    <col min="6155" max="6155" width="14.140625" customWidth="1"/>
    <col min="6156" max="6156" width="14.28515625" customWidth="1"/>
    <col min="6403" max="6403" width="30.85546875" customWidth="1"/>
    <col min="6404" max="6404" width="10.5703125" customWidth="1"/>
    <col min="6405" max="6405" width="11.5703125" customWidth="1"/>
    <col min="6406" max="6406" width="12.5703125" customWidth="1"/>
    <col min="6407" max="6407" width="11.85546875" customWidth="1"/>
    <col min="6408" max="6408" width="12.28515625" customWidth="1"/>
    <col min="6409" max="6409" width="16.28515625" customWidth="1"/>
    <col min="6410" max="6410" width="13.5703125" customWidth="1"/>
    <col min="6411" max="6411" width="14.140625" customWidth="1"/>
    <col min="6412" max="6412" width="14.28515625" customWidth="1"/>
    <col min="6659" max="6659" width="30.85546875" customWidth="1"/>
    <col min="6660" max="6660" width="10.5703125" customWidth="1"/>
    <col min="6661" max="6661" width="11.5703125" customWidth="1"/>
    <col min="6662" max="6662" width="12.5703125" customWidth="1"/>
    <col min="6663" max="6663" width="11.85546875" customWidth="1"/>
    <col min="6664" max="6664" width="12.28515625" customWidth="1"/>
    <col min="6665" max="6665" width="16.28515625" customWidth="1"/>
    <col min="6666" max="6666" width="13.5703125" customWidth="1"/>
    <col min="6667" max="6667" width="14.140625" customWidth="1"/>
    <col min="6668" max="6668" width="14.28515625" customWidth="1"/>
    <col min="6915" max="6915" width="30.85546875" customWidth="1"/>
    <col min="6916" max="6916" width="10.5703125" customWidth="1"/>
    <col min="6917" max="6917" width="11.5703125" customWidth="1"/>
    <col min="6918" max="6918" width="12.5703125" customWidth="1"/>
    <col min="6919" max="6919" width="11.85546875" customWidth="1"/>
    <col min="6920" max="6920" width="12.28515625" customWidth="1"/>
    <col min="6921" max="6921" width="16.28515625" customWidth="1"/>
    <col min="6922" max="6922" width="13.5703125" customWidth="1"/>
    <col min="6923" max="6923" width="14.140625" customWidth="1"/>
    <col min="6924" max="6924" width="14.28515625" customWidth="1"/>
    <col min="7171" max="7171" width="30.85546875" customWidth="1"/>
    <col min="7172" max="7172" width="10.5703125" customWidth="1"/>
    <col min="7173" max="7173" width="11.5703125" customWidth="1"/>
    <col min="7174" max="7174" width="12.5703125" customWidth="1"/>
    <col min="7175" max="7175" width="11.85546875" customWidth="1"/>
    <col min="7176" max="7176" width="12.28515625" customWidth="1"/>
    <col min="7177" max="7177" width="16.28515625" customWidth="1"/>
    <col min="7178" max="7178" width="13.5703125" customWidth="1"/>
    <col min="7179" max="7179" width="14.140625" customWidth="1"/>
    <col min="7180" max="7180" width="14.28515625" customWidth="1"/>
    <col min="7427" max="7427" width="30.85546875" customWidth="1"/>
    <col min="7428" max="7428" width="10.5703125" customWidth="1"/>
    <col min="7429" max="7429" width="11.5703125" customWidth="1"/>
    <col min="7430" max="7430" width="12.5703125" customWidth="1"/>
    <col min="7431" max="7431" width="11.85546875" customWidth="1"/>
    <col min="7432" max="7432" width="12.28515625" customWidth="1"/>
    <col min="7433" max="7433" width="16.28515625" customWidth="1"/>
    <col min="7434" max="7434" width="13.5703125" customWidth="1"/>
    <col min="7435" max="7435" width="14.140625" customWidth="1"/>
    <col min="7436" max="7436" width="14.28515625" customWidth="1"/>
    <col min="7683" max="7683" width="30.85546875" customWidth="1"/>
    <col min="7684" max="7684" width="10.5703125" customWidth="1"/>
    <col min="7685" max="7685" width="11.5703125" customWidth="1"/>
    <col min="7686" max="7686" width="12.5703125" customWidth="1"/>
    <col min="7687" max="7687" width="11.85546875" customWidth="1"/>
    <col min="7688" max="7688" width="12.28515625" customWidth="1"/>
    <col min="7689" max="7689" width="16.28515625" customWidth="1"/>
    <col min="7690" max="7690" width="13.5703125" customWidth="1"/>
    <col min="7691" max="7691" width="14.140625" customWidth="1"/>
    <col min="7692" max="7692" width="14.28515625" customWidth="1"/>
    <col min="7939" max="7939" width="30.85546875" customWidth="1"/>
    <col min="7940" max="7940" width="10.5703125" customWidth="1"/>
    <col min="7941" max="7941" width="11.5703125" customWidth="1"/>
    <col min="7942" max="7942" width="12.5703125" customWidth="1"/>
    <col min="7943" max="7943" width="11.85546875" customWidth="1"/>
    <col min="7944" max="7944" width="12.28515625" customWidth="1"/>
    <col min="7945" max="7945" width="16.28515625" customWidth="1"/>
    <col min="7946" max="7946" width="13.5703125" customWidth="1"/>
    <col min="7947" max="7947" width="14.140625" customWidth="1"/>
    <col min="7948" max="7948" width="14.28515625" customWidth="1"/>
    <col min="8195" max="8195" width="30.85546875" customWidth="1"/>
    <col min="8196" max="8196" width="10.5703125" customWidth="1"/>
    <col min="8197" max="8197" width="11.5703125" customWidth="1"/>
    <col min="8198" max="8198" width="12.5703125" customWidth="1"/>
    <col min="8199" max="8199" width="11.85546875" customWidth="1"/>
    <col min="8200" max="8200" width="12.28515625" customWidth="1"/>
    <col min="8201" max="8201" width="16.28515625" customWidth="1"/>
    <col min="8202" max="8202" width="13.5703125" customWidth="1"/>
    <col min="8203" max="8203" width="14.140625" customWidth="1"/>
    <col min="8204" max="8204" width="14.28515625" customWidth="1"/>
    <col min="8451" max="8451" width="30.85546875" customWidth="1"/>
    <col min="8452" max="8452" width="10.5703125" customWidth="1"/>
    <col min="8453" max="8453" width="11.5703125" customWidth="1"/>
    <col min="8454" max="8454" width="12.5703125" customWidth="1"/>
    <col min="8455" max="8455" width="11.85546875" customWidth="1"/>
    <col min="8456" max="8456" width="12.28515625" customWidth="1"/>
    <col min="8457" max="8457" width="16.28515625" customWidth="1"/>
    <col min="8458" max="8458" width="13.5703125" customWidth="1"/>
    <col min="8459" max="8459" width="14.140625" customWidth="1"/>
    <col min="8460" max="8460" width="14.28515625" customWidth="1"/>
    <col min="8707" max="8707" width="30.85546875" customWidth="1"/>
    <col min="8708" max="8708" width="10.5703125" customWidth="1"/>
    <col min="8709" max="8709" width="11.5703125" customWidth="1"/>
    <col min="8710" max="8710" width="12.5703125" customWidth="1"/>
    <col min="8711" max="8711" width="11.85546875" customWidth="1"/>
    <col min="8712" max="8712" width="12.28515625" customWidth="1"/>
    <col min="8713" max="8713" width="16.28515625" customWidth="1"/>
    <col min="8714" max="8714" width="13.5703125" customWidth="1"/>
    <col min="8715" max="8715" width="14.140625" customWidth="1"/>
    <col min="8716" max="8716" width="14.28515625" customWidth="1"/>
    <col min="8963" max="8963" width="30.85546875" customWidth="1"/>
    <col min="8964" max="8964" width="10.5703125" customWidth="1"/>
    <col min="8965" max="8965" width="11.5703125" customWidth="1"/>
    <col min="8966" max="8966" width="12.5703125" customWidth="1"/>
    <col min="8967" max="8967" width="11.85546875" customWidth="1"/>
    <col min="8968" max="8968" width="12.28515625" customWidth="1"/>
    <col min="8969" max="8969" width="16.28515625" customWidth="1"/>
    <col min="8970" max="8970" width="13.5703125" customWidth="1"/>
    <col min="8971" max="8971" width="14.140625" customWidth="1"/>
    <col min="8972" max="8972" width="14.28515625" customWidth="1"/>
    <col min="9219" max="9219" width="30.85546875" customWidth="1"/>
    <col min="9220" max="9220" width="10.5703125" customWidth="1"/>
    <col min="9221" max="9221" width="11.5703125" customWidth="1"/>
    <col min="9222" max="9222" width="12.5703125" customWidth="1"/>
    <col min="9223" max="9223" width="11.85546875" customWidth="1"/>
    <col min="9224" max="9224" width="12.28515625" customWidth="1"/>
    <col min="9225" max="9225" width="16.28515625" customWidth="1"/>
    <col min="9226" max="9226" width="13.5703125" customWidth="1"/>
    <col min="9227" max="9227" width="14.140625" customWidth="1"/>
    <col min="9228" max="9228" width="14.28515625" customWidth="1"/>
    <col min="9475" max="9475" width="30.85546875" customWidth="1"/>
    <col min="9476" max="9476" width="10.5703125" customWidth="1"/>
    <col min="9477" max="9477" width="11.5703125" customWidth="1"/>
    <col min="9478" max="9478" width="12.5703125" customWidth="1"/>
    <col min="9479" max="9479" width="11.85546875" customWidth="1"/>
    <col min="9480" max="9480" width="12.28515625" customWidth="1"/>
    <col min="9481" max="9481" width="16.28515625" customWidth="1"/>
    <col min="9482" max="9482" width="13.5703125" customWidth="1"/>
    <col min="9483" max="9483" width="14.140625" customWidth="1"/>
    <col min="9484" max="9484" width="14.28515625" customWidth="1"/>
    <col min="9731" max="9731" width="30.85546875" customWidth="1"/>
    <col min="9732" max="9732" width="10.5703125" customWidth="1"/>
    <col min="9733" max="9733" width="11.5703125" customWidth="1"/>
    <col min="9734" max="9734" width="12.5703125" customWidth="1"/>
    <col min="9735" max="9735" width="11.85546875" customWidth="1"/>
    <col min="9736" max="9736" width="12.28515625" customWidth="1"/>
    <col min="9737" max="9737" width="16.28515625" customWidth="1"/>
    <col min="9738" max="9738" width="13.5703125" customWidth="1"/>
    <col min="9739" max="9739" width="14.140625" customWidth="1"/>
    <col min="9740" max="9740" width="14.28515625" customWidth="1"/>
    <col min="9987" max="9987" width="30.85546875" customWidth="1"/>
    <col min="9988" max="9988" width="10.5703125" customWidth="1"/>
    <col min="9989" max="9989" width="11.5703125" customWidth="1"/>
    <col min="9990" max="9990" width="12.5703125" customWidth="1"/>
    <col min="9991" max="9991" width="11.85546875" customWidth="1"/>
    <col min="9992" max="9992" width="12.28515625" customWidth="1"/>
    <col min="9993" max="9993" width="16.28515625" customWidth="1"/>
    <col min="9994" max="9994" width="13.5703125" customWidth="1"/>
    <col min="9995" max="9995" width="14.140625" customWidth="1"/>
    <col min="9996" max="9996" width="14.28515625" customWidth="1"/>
    <col min="10243" max="10243" width="30.85546875" customWidth="1"/>
    <col min="10244" max="10244" width="10.5703125" customWidth="1"/>
    <col min="10245" max="10245" width="11.5703125" customWidth="1"/>
    <col min="10246" max="10246" width="12.5703125" customWidth="1"/>
    <col min="10247" max="10247" width="11.85546875" customWidth="1"/>
    <col min="10248" max="10248" width="12.28515625" customWidth="1"/>
    <col min="10249" max="10249" width="16.28515625" customWidth="1"/>
    <col min="10250" max="10250" width="13.5703125" customWidth="1"/>
    <col min="10251" max="10251" width="14.140625" customWidth="1"/>
    <col min="10252" max="10252" width="14.28515625" customWidth="1"/>
    <col min="10499" max="10499" width="30.85546875" customWidth="1"/>
    <col min="10500" max="10500" width="10.5703125" customWidth="1"/>
    <col min="10501" max="10501" width="11.5703125" customWidth="1"/>
    <col min="10502" max="10502" width="12.5703125" customWidth="1"/>
    <col min="10503" max="10503" width="11.85546875" customWidth="1"/>
    <col min="10504" max="10504" width="12.28515625" customWidth="1"/>
    <col min="10505" max="10505" width="16.28515625" customWidth="1"/>
    <col min="10506" max="10506" width="13.5703125" customWidth="1"/>
    <col min="10507" max="10507" width="14.140625" customWidth="1"/>
    <col min="10508" max="10508" width="14.28515625" customWidth="1"/>
    <col min="10755" max="10755" width="30.85546875" customWidth="1"/>
    <col min="10756" max="10756" width="10.5703125" customWidth="1"/>
    <col min="10757" max="10757" width="11.5703125" customWidth="1"/>
    <col min="10758" max="10758" width="12.5703125" customWidth="1"/>
    <col min="10759" max="10759" width="11.85546875" customWidth="1"/>
    <col min="10760" max="10760" width="12.28515625" customWidth="1"/>
    <col min="10761" max="10761" width="16.28515625" customWidth="1"/>
    <col min="10762" max="10762" width="13.5703125" customWidth="1"/>
    <col min="10763" max="10763" width="14.140625" customWidth="1"/>
    <col min="10764" max="10764" width="14.28515625" customWidth="1"/>
    <col min="11011" max="11011" width="30.85546875" customWidth="1"/>
    <col min="11012" max="11012" width="10.5703125" customWidth="1"/>
    <col min="11013" max="11013" width="11.5703125" customWidth="1"/>
    <col min="11014" max="11014" width="12.5703125" customWidth="1"/>
    <col min="11015" max="11015" width="11.85546875" customWidth="1"/>
    <col min="11016" max="11016" width="12.28515625" customWidth="1"/>
    <col min="11017" max="11017" width="16.28515625" customWidth="1"/>
    <col min="11018" max="11018" width="13.5703125" customWidth="1"/>
    <col min="11019" max="11019" width="14.140625" customWidth="1"/>
    <col min="11020" max="11020" width="14.28515625" customWidth="1"/>
    <col min="11267" max="11267" width="30.85546875" customWidth="1"/>
    <col min="11268" max="11268" width="10.5703125" customWidth="1"/>
    <col min="11269" max="11269" width="11.5703125" customWidth="1"/>
    <col min="11270" max="11270" width="12.5703125" customWidth="1"/>
    <col min="11271" max="11271" width="11.85546875" customWidth="1"/>
    <col min="11272" max="11272" width="12.28515625" customWidth="1"/>
    <col min="11273" max="11273" width="16.28515625" customWidth="1"/>
    <col min="11274" max="11274" width="13.5703125" customWidth="1"/>
    <col min="11275" max="11275" width="14.140625" customWidth="1"/>
    <col min="11276" max="11276" width="14.28515625" customWidth="1"/>
    <col min="11523" max="11523" width="30.85546875" customWidth="1"/>
    <col min="11524" max="11524" width="10.5703125" customWidth="1"/>
    <col min="11525" max="11525" width="11.5703125" customWidth="1"/>
    <col min="11526" max="11526" width="12.5703125" customWidth="1"/>
    <col min="11527" max="11527" width="11.85546875" customWidth="1"/>
    <col min="11528" max="11528" width="12.28515625" customWidth="1"/>
    <col min="11529" max="11529" width="16.28515625" customWidth="1"/>
    <col min="11530" max="11530" width="13.5703125" customWidth="1"/>
    <col min="11531" max="11531" width="14.140625" customWidth="1"/>
    <col min="11532" max="11532" width="14.28515625" customWidth="1"/>
    <col min="11779" max="11779" width="30.85546875" customWidth="1"/>
    <col min="11780" max="11780" width="10.5703125" customWidth="1"/>
    <col min="11781" max="11781" width="11.5703125" customWidth="1"/>
    <col min="11782" max="11782" width="12.5703125" customWidth="1"/>
    <col min="11783" max="11783" width="11.85546875" customWidth="1"/>
    <col min="11784" max="11784" width="12.28515625" customWidth="1"/>
    <col min="11785" max="11785" width="16.28515625" customWidth="1"/>
    <col min="11786" max="11786" width="13.5703125" customWidth="1"/>
    <col min="11787" max="11787" width="14.140625" customWidth="1"/>
    <col min="11788" max="11788" width="14.28515625" customWidth="1"/>
    <col min="12035" max="12035" width="30.85546875" customWidth="1"/>
    <col min="12036" max="12036" width="10.5703125" customWidth="1"/>
    <col min="12037" max="12037" width="11.5703125" customWidth="1"/>
    <col min="12038" max="12038" width="12.5703125" customWidth="1"/>
    <col min="12039" max="12039" width="11.85546875" customWidth="1"/>
    <col min="12040" max="12040" width="12.28515625" customWidth="1"/>
    <col min="12041" max="12041" width="16.28515625" customWidth="1"/>
    <col min="12042" max="12042" width="13.5703125" customWidth="1"/>
    <col min="12043" max="12043" width="14.140625" customWidth="1"/>
    <col min="12044" max="12044" width="14.28515625" customWidth="1"/>
    <col min="12291" max="12291" width="30.85546875" customWidth="1"/>
    <col min="12292" max="12292" width="10.5703125" customWidth="1"/>
    <col min="12293" max="12293" width="11.5703125" customWidth="1"/>
    <col min="12294" max="12294" width="12.5703125" customWidth="1"/>
    <col min="12295" max="12295" width="11.85546875" customWidth="1"/>
    <col min="12296" max="12296" width="12.28515625" customWidth="1"/>
    <col min="12297" max="12297" width="16.28515625" customWidth="1"/>
    <col min="12298" max="12298" width="13.5703125" customWidth="1"/>
    <col min="12299" max="12299" width="14.140625" customWidth="1"/>
    <col min="12300" max="12300" width="14.28515625" customWidth="1"/>
    <col min="12547" max="12547" width="30.85546875" customWidth="1"/>
    <col min="12548" max="12548" width="10.5703125" customWidth="1"/>
    <col min="12549" max="12549" width="11.5703125" customWidth="1"/>
    <col min="12550" max="12550" width="12.5703125" customWidth="1"/>
    <col min="12551" max="12551" width="11.85546875" customWidth="1"/>
    <col min="12552" max="12552" width="12.28515625" customWidth="1"/>
    <col min="12553" max="12553" width="16.28515625" customWidth="1"/>
    <col min="12554" max="12554" width="13.5703125" customWidth="1"/>
    <col min="12555" max="12555" width="14.140625" customWidth="1"/>
    <col min="12556" max="12556" width="14.28515625" customWidth="1"/>
    <col min="12803" max="12803" width="30.85546875" customWidth="1"/>
    <col min="12804" max="12804" width="10.5703125" customWidth="1"/>
    <col min="12805" max="12805" width="11.5703125" customWidth="1"/>
    <col min="12806" max="12806" width="12.5703125" customWidth="1"/>
    <col min="12807" max="12807" width="11.85546875" customWidth="1"/>
    <col min="12808" max="12808" width="12.28515625" customWidth="1"/>
    <col min="12809" max="12809" width="16.28515625" customWidth="1"/>
    <col min="12810" max="12810" width="13.5703125" customWidth="1"/>
    <col min="12811" max="12811" width="14.140625" customWidth="1"/>
    <col min="12812" max="12812" width="14.28515625" customWidth="1"/>
    <col min="13059" max="13059" width="30.85546875" customWidth="1"/>
    <col min="13060" max="13060" width="10.5703125" customWidth="1"/>
    <col min="13061" max="13061" width="11.5703125" customWidth="1"/>
    <col min="13062" max="13062" width="12.5703125" customWidth="1"/>
    <col min="13063" max="13063" width="11.85546875" customWidth="1"/>
    <col min="13064" max="13064" width="12.28515625" customWidth="1"/>
    <col min="13065" max="13065" width="16.28515625" customWidth="1"/>
    <col min="13066" max="13066" width="13.5703125" customWidth="1"/>
    <col min="13067" max="13067" width="14.140625" customWidth="1"/>
    <col min="13068" max="13068" width="14.28515625" customWidth="1"/>
    <col min="13315" max="13315" width="30.85546875" customWidth="1"/>
    <col min="13316" max="13316" width="10.5703125" customWidth="1"/>
    <col min="13317" max="13317" width="11.5703125" customWidth="1"/>
    <col min="13318" max="13318" width="12.5703125" customWidth="1"/>
    <col min="13319" max="13319" width="11.85546875" customWidth="1"/>
    <col min="13320" max="13320" width="12.28515625" customWidth="1"/>
    <col min="13321" max="13321" width="16.28515625" customWidth="1"/>
    <col min="13322" max="13322" width="13.5703125" customWidth="1"/>
    <col min="13323" max="13323" width="14.140625" customWidth="1"/>
    <col min="13324" max="13324" width="14.28515625" customWidth="1"/>
    <col min="13571" max="13571" width="30.85546875" customWidth="1"/>
    <col min="13572" max="13572" width="10.5703125" customWidth="1"/>
    <col min="13573" max="13573" width="11.5703125" customWidth="1"/>
    <col min="13574" max="13574" width="12.5703125" customWidth="1"/>
    <col min="13575" max="13575" width="11.85546875" customWidth="1"/>
    <col min="13576" max="13576" width="12.28515625" customWidth="1"/>
    <col min="13577" max="13577" width="16.28515625" customWidth="1"/>
    <col min="13578" max="13578" width="13.5703125" customWidth="1"/>
    <col min="13579" max="13579" width="14.140625" customWidth="1"/>
    <col min="13580" max="13580" width="14.28515625" customWidth="1"/>
    <col min="13827" max="13827" width="30.85546875" customWidth="1"/>
    <col min="13828" max="13828" width="10.5703125" customWidth="1"/>
    <col min="13829" max="13829" width="11.5703125" customWidth="1"/>
    <col min="13830" max="13830" width="12.5703125" customWidth="1"/>
    <col min="13831" max="13831" width="11.85546875" customWidth="1"/>
    <col min="13832" max="13832" width="12.28515625" customWidth="1"/>
    <col min="13833" max="13833" width="16.28515625" customWidth="1"/>
    <col min="13834" max="13834" width="13.5703125" customWidth="1"/>
    <col min="13835" max="13835" width="14.140625" customWidth="1"/>
    <col min="13836" max="13836" width="14.28515625" customWidth="1"/>
    <col min="14083" max="14083" width="30.85546875" customWidth="1"/>
    <col min="14084" max="14084" width="10.5703125" customWidth="1"/>
    <col min="14085" max="14085" width="11.5703125" customWidth="1"/>
    <col min="14086" max="14086" width="12.5703125" customWidth="1"/>
    <col min="14087" max="14087" width="11.85546875" customWidth="1"/>
    <col min="14088" max="14088" width="12.28515625" customWidth="1"/>
    <col min="14089" max="14089" width="16.28515625" customWidth="1"/>
    <col min="14090" max="14090" width="13.5703125" customWidth="1"/>
    <col min="14091" max="14091" width="14.140625" customWidth="1"/>
    <col min="14092" max="14092" width="14.28515625" customWidth="1"/>
    <col min="14339" max="14339" width="30.85546875" customWidth="1"/>
    <col min="14340" max="14340" width="10.5703125" customWidth="1"/>
    <col min="14341" max="14341" width="11.5703125" customWidth="1"/>
    <col min="14342" max="14342" width="12.5703125" customWidth="1"/>
    <col min="14343" max="14343" width="11.85546875" customWidth="1"/>
    <col min="14344" max="14344" width="12.28515625" customWidth="1"/>
    <col min="14345" max="14345" width="16.28515625" customWidth="1"/>
    <col min="14346" max="14346" width="13.5703125" customWidth="1"/>
    <col min="14347" max="14347" width="14.140625" customWidth="1"/>
    <col min="14348" max="14348" width="14.28515625" customWidth="1"/>
    <col min="14595" max="14595" width="30.85546875" customWidth="1"/>
    <col min="14596" max="14596" width="10.5703125" customWidth="1"/>
    <col min="14597" max="14597" width="11.5703125" customWidth="1"/>
    <col min="14598" max="14598" width="12.5703125" customWidth="1"/>
    <col min="14599" max="14599" width="11.85546875" customWidth="1"/>
    <col min="14600" max="14600" width="12.28515625" customWidth="1"/>
    <col min="14601" max="14601" width="16.28515625" customWidth="1"/>
    <col min="14602" max="14602" width="13.5703125" customWidth="1"/>
    <col min="14603" max="14603" width="14.140625" customWidth="1"/>
    <col min="14604" max="14604" width="14.28515625" customWidth="1"/>
    <col min="14851" max="14851" width="30.85546875" customWidth="1"/>
    <col min="14852" max="14852" width="10.5703125" customWidth="1"/>
    <col min="14853" max="14853" width="11.5703125" customWidth="1"/>
    <col min="14854" max="14854" width="12.5703125" customWidth="1"/>
    <col min="14855" max="14855" width="11.85546875" customWidth="1"/>
    <col min="14856" max="14856" width="12.28515625" customWidth="1"/>
    <col min="14857" max="14857" width="16.28515625" customWidth="1"/>
    <col min="14858" max="14858" width="13.5703125" customWidth="1"/>
    <col min="14859" max="14859" width="14.140625" customWidth="1"/>
    <col min="14860" max="14860" width="14.28515625" customWidth="1"/>
    <col min="15107" max="15107" width="30.85546875" customWidth="1"/>
    <col min="15108" max="15108" width="10.5703125" customWidth="1"/>
    <col min="15109" max="15109" width="11.5703125" customWidth="1"/>
    <col min="15110" max="15110" width="12.5703125" customWidth="1"/>
    <col min="15111" max="15111" width="11.85546875" customWidth="1"/>
    <col min="15112" max="15112" width="12.28515625" customWidth="1"/>
    <col min="15113" max="15113" width="16.28515625" customWidth="1"/>
    <col min="15114" max="15114" width="13.5703125" customWidth="1"/>
    <col min="15115" max="15115" width="14.140625" customWidth="1"/>
    <col min="15116" max="15116" width="14.28515625" customWidth="1"/>
    <col min="15363" max="15363" width="30.85546875" customWidth="1"/>
    <col min="15364" max="15364" width="10.5703125" customWidth="1"/>
    <col min="15365" max="15365" width="11.5703125" customWidth="1"/>
    <col min="15366" max="15366" width="12.5703125" customWidth="1"/>
    <col min="15367" max="15367" width="11.85546875" customWidth="1"/>
    <col min="15368" max="15368" width="12.28515625" customWidth="1"/>
    <col min="15369" max="15369" width="16.28515625" customWidth="1"/>
    <col min="15370" max="15370" width="13.5703125" customWidth="1"/>
    <col min="15371" max="15371" width="14.140625" customWidth="1"/>
    <col min="15372" max="15372" width="14.28515625" customWidth="1"/>
    <col min="15619" max="15619" width="30.85546875" customWidth="1"/>
    <col min="15620" max="15620" width="10.5703125" customWidth="1"/>
    <col min="15621" max="15621" width="11.5703125" customWidth="1"/>
    <col min="15622" max="15622" width="12.5703125" customWidth="1"/>
    <col min="15623" max="15623" width="11.85546875" customWidth="1"/>
    <col min="15624" max="15624" width="12.28515625" customWidth="1"/>
    <col min="15625" max="15625" width="16.28515625" customWidth="1"/>
    <col min="15626" max="15626" width="13.5703125" customWidth="1"/>
    <col min="15627" max="15627" width="14.140625" customWidth="1"/>
    <col min="15628" max="15628" width="14.28515625" customWidth="1"/>
    <col min="15875" max="15875" width="30.85546875" customWidth="1"/>
    <col min="15876" max="15876" width="10.5703125" customWidth="1"/>
    <col min="15877" max="15877" width="11.5703125" customWidth="1"/>
    <col min="15878" max="15878" width="12.5703125" customWidth="1"/>
    <col min="15879" max="15879" width="11.85546875" customWidth="1"/>
    <col min="15880" max="15880" width="12.28515625" customWidth="1"/>
    <col min="15881" max="15881" width="16.28515625" customWidth="1"/>
    <col min="15882" max="15882" width="13.5703125" customWidth="1"/>
    <col min="15883" max="15883" width="14.140625" customWidth="1"/>
    <col min="15884" max="15884" width="14.28515625" customWidth="1"/>
    <col min="16131" max="16131" width="30.85546875" customWidth="1"/>
    <col min="16132" max="16132" width="10.5703125" customWidth="1"/>
    <col min="16133" max="16133" width="11.5703125" customWidth="1"/>
    <col min="16134" max="16134" width="12.5703125" customWidth="1"/>
    <col min="16135" max="16135" width="11.85546875" customWidth="1"/>
    <col min="16136" max="16136" width="12.28515625" customWidth="1"/>
    <col min="16137" max="16137" width="16.28515625" customWidth="1"/>
    <col min="16138" max="16138" width="13.5703125" customWidth="1"/>
    <col min="16139" max="16139" width="14.140625" customWidth="1"/>
    <col min="16140" max="16140" width="14.28515625" customWidth="1"/>
  </cols>
  <sheetData>
    <row r="2" spans="2:12" ht="18.75">
      <c r="B2" s="1860" t="s">
        <v>1226</v>
      </c>
      <c r="C2" s="1959"/>
      <c r="D2" s="1959"/>
      <c r="E2" s="1959"/>
      <c r="F2" s="1959"/>
      <c r="G2" s="1959"/>
      <c r="H2" s="1959"/>
      <c r="I2" s="1959"/>
      <c r="J2" s="1959"/>
      <c r="K2" s="1959"/>
      <c r="L2" s="1959"/>
    </row>
    <row r="3" spans="2:12" ht="18.75">
      <c r="B3" s="1947" t="s">
        <v>1233</v>
      </c>
      <c r="C3" s="1947"/>
      <c r="D3" s="1947"/>
      <c r="E3" s="1947"/>
      <c r="F3" s="1947"/>
      <c r="G3" s="1947"/>
      <c r="H3" s="1947"/>
      <c r="I3" s="1947"/>
    </row>
    <row r="4" spans="2:12" ht="21">
      <c r="B4" s="1948" t="s">
        <v>1227</v>
      </c>
      <c r="C4" s="1948"/>
      <c r="D4" s="1948"/>
      <c r="E4" s="1948"/>
      <c r="F4" s="1948"/>
      <c r="G4" s="1948"/>
      <c r="H4" s="1948"/>
      <c r="I4" s="1948"/>
      <c r="J4" s="1960" t="s">
        <v>1228</v>
      </c>
      <c r="K4" s="1960"/>
      <c r="L4" s="1960"/>
    </row>
    <row r="6" spans="2:12" ht="18.75">
      <c r="B6" s="1961" t="s">
        <v>1131</v>
      </c>
      <c r="C6" s="1964" t="s">
        <v>1132</v>
      </c>
      <c r="D6" s="913"/>
      <c r="E6" s="1967" t="s">
        <v>1173</v>
      </c>
      <c r="F6" s="1967"/>
      <c r="G6" s="1967"/>
      <c r="H6" s="1967"/>
      <c r="I6" s="1968" t="s">
        <v>1949</v>
      </c>
      <c r="J6" s="1969"/>
      <c r="K6" s="1969"/>
      <c r="L6" s="1970"/>
    </row>
    <row r="7" spans="2:12" ht="18.75" customHeight="1">
      <c r="B7" s="1962"/>
      <c r="C7" s="1965"/>
      <c r="D7" s="914"/>
      <c r="E7" s="1971" t="s">
        <v>1798</v>
      </c>
      <c r="F7" s="1971" t="s">
        <v>1799</v>
      </c>
      <c r="G7" s="1971" t="s">
        <v>1800</v>
      </c>
      <c r="H7" s="1971" t="s">
        <v>488</v>
      </c>
      <c r="I7" s="1972" t="s">
        <v>1798</v>
      </c>
      <c r="J7" s="1974" t="s">
        <v>1799</v>
      </c>
      <c r="K7" s="1974" t="s">
        <v>1800</v>
      </c>
      <c r="L7" s="1974" t="s">
        <v>488</v>
      </c>
    </row>
    <row r="8" spans="2:12" ht="76.5" customHeight="1">
      <c r="B8" s="1963"/>
      <c r="C8" s="1966"/>
      <c r="D8" s="915"/>
      <c r="E8" s="1971"/>
      <c r="F8" s="1971"/>
      <c r="G8" s="1971"/>
      <c r="H8" s="1971"/>
      <c r="I8" s="1973"/>
      <c r="J8" s="1973"/>
      <c r="K8" s="1973"/>
      <c r="L8" s="1973"/>
    </row>
    <row r="9" spans="2:12" ht="18.75">
      <c r="B9" s="343"/>
      <c r="C9" s="343"/>
      <c r="D9" s="343"/>
      <c r="E9" s="343"/>
      <c r="F9" s="343"/>
      <c r="G9" s="343"/>
      <c r="H9" s="343"/>
      <c r="I9" s="343"/>
      <c r="J9" s="343"/>
      <c r="K9" s="343"/>
      <c r="L9" s="343"/>
    </row>
    <row r="10" spans="2:12" ht="37.5">
      <c r="B10" s="741">
        <v>1</v>
      </c>
      <c r="C10" s="742" t="s">
        <v>1135</v>
      </c>
      <c r="D10" s="742"/>
      <c r="E10" s="320"/>
      <c r="F10" s="756"/>
      <c r="G10" s="756"/>
      <c r="H10" s="756"/>
      <c r="I10" s="743"/>
      <c r="J10" s="743"/>
      <c r="K10" s="743"/>
      <c r="L10" s="756"/>
    </row>
    <row r="11" spans="2:12" ht="18.75">
      <c r="B11" s="744"/>
      <c r="C11" s="937" t="s">
        <v>1187</v>
      </c>
      <c r="D11" s="937" t="s">
        <v>1989</v>
      </c>
      <c r="E11" s="745"/>
      <c r="F11" s="745"/>
      <c r="G11" s="745"/>
      <c r="H11" s="745"/>
      <c r="I11" s="746"/>
      <c r="J11" s="746"/>
      <c r="K11" s="746"/>
      <c r="L11" s="745"/>
    </row>
    <row r="12" spans="2:12" ht="18.75">
      <c r="B12" s="744"/>
      <c r="C12" s="1957" t="s">
        <v>1950</v>
      </c>
      <c r="D12" s="930" t="s">
        <v>1951</v>
      </c>
      <c r="E12" s="930"/>
      <c r="F12" s="930"/>
      <c r="G12" s="930"/>
      <c r="H12" s="931"/>
      <c r="I12" s="930">
        <v>85</v>
      </c>
      <c r="J12" s="930">
        <v>100</v>
      </c>
      <c r="K12" s="930" t="s">
        <v>1952</v>
      </c>
      <c r="L12" s="931">
        <f t="shared" ref="L12:L36" si="0">(I12/(J12*0.8))*100</f>
        <v>106.25</v>
      </c>
    </row>
    <row r="13" spans="2:12" ht="18.75">
      <c r="B13" s="744"/>
      <c r="C13" s="1957"/>
      <c r="D13" s="930" t="s">
        <v>1953</v>
      </c>
      <c r="E13" s="930"/>
      <c r="F13" s="930"/>
      <c r="G13" s="930"/>
      <c r="H13" s="931"/>
      <c r="I13" s="930">
        <v>85</v>
      </c>
      <c r="J13" s="930">
        <v>100</v>
      </c>
      <c r="K13" s="930" t="s">
        <v>1952</v>
      </c>
      <c r="L13" s="931">
        <f t="shared" si="0"/>
        <v>106.25</v>
      </c>
    </row>
    <row r="14" spans="2:12" ht="18.75">
      <c r="B14" s="744"/>
      <c r="C14" s="1957"/>
      <c r="D14" s="930" t="s">
        <v>1954</v>
      </c>
      <c r="E14" s="930"/>
      <c r="F14" s="930"/>
      <c r="G14" s="930"/>
      <c r="H14" s="931"/>
      <c r="I14" s="930">
        <v>85</v>
      </c>
      <c r="J14" s="930">
        <v>100</v>
      </c>
      <c r="K14" s="930" t="s">
        <v>1952</v>
      </c>
      <c r="L14" s="931">
        <f t="shared" si="0"/>
        <v>106.25</v>
      </c>
    </row>
    <row r="15" spans="2:12" ht="18.75">
      <c r="B15" s="744"/>
      <c r="C15" s="1957" t="s">
        <v>1197</v>
      </c>
      <c r="D15" s="930" t="s">
        <v>1951</v>
      </c>
      <c r="E15" s="930">
        <v>66</v>
      </c>
      <c r="F15" s="930">
        <v>100</v>
      </c>
      <c r="G15" s="930">
        <v>45</v>
      </c>
      <c r="H15" s="931">
        <f t="shared" ref="H15:H41" si="1">(E15/(F15*0.8))*100</f>
        <v>82.5</v>
      </c>
      <c r="I15" s="932">
        <v>70</v>
      </c>
      <c r="J15" s="930">
        <v>100</v>
      </c>
      <c r="K15" s="932">
        <v>50</v>
      </c>
      <c r="L15" s="931">
        <f t="shared" si="0"/>
        <v>87.5</v>
      </c>
    </row>
    <row r="16" spans="2:12" ht="18.75">
      <c r="B16" s="744"/>
      <c r="C16" s="1957"/>
      <c r="D16" s="930" t="s">
        <v>1953</v>
      </c>
      <c r="E16" s="930">
        <v>66</v>
      </c>
      <c r="F16" s="930">
        <v>100</v>
      </c>
      <c r="G16" s="930">
        <v>45</v>
      </c>
      <c r="H16" s="931">
        <f t="shared" si="1"/>
        <v>82.5</v>
      </c>
      <c r="I16" s="932">
        <v>70</v>
      </c>
      <c r="J16" s="930">
        <v>100</v>
      </c>
      <c r="K16" s="932">
        <v>50</v>
      </c>
      <c r="L16" s="931">
        <f t="shared" si="0"/>
        <v>87.5</v>
      </c>
    </row>
    <row r="17" spans="2:12" ht="18.75">
      <c r="B17" s="744"/>
      <c r="C17" s="1957"/>
      <c r="D17" s="930" t="s">
        <v>1954</v>
      </c>
      <c r="E17" s="930">
        <v>66</v>
      </c>
      <c r="F17" s="930">
        <v>100</v>
      </c>
      <c r="G17" s="930">
        <v>45</v>
      </c>
      <c r="H17" s="931">
        <f t="shared" si="1"/>
        <v>82.5</v>
      </c>
      <c r="I17" s="932">
        <v>70</v>
      </c>
      <c r="J17" s="930">
        <v>100</v>
      </c>
      <c r="K17" s="932">
        <v>50</v>
      </c>
      <c r="L17" s="931">
        <f t="shared" si="0"/>
        <v>87.5</v>
      </c>
    </row>
    <row r="18" spans="2:12" ht="18.75">
      <c r="B18" s="744"/>
      <c r="C18" s="1957"/>
      <c r="D18" s="930" t="s">
        <v>1955</v>
      </c>
      <c r="E18" s="930">
        <v>66</v>
      </c>
      <c r="F18" s="930">
        <v>100</v>
      </c>
      <c r="G18" s="930">
        <v>45</v>
      </c>
      <c r="H18" s="931">
        <f t="shared" si="1"/>
        <v>82.5</v>
      </c>
      <c r="I18" s="932">
        <v>70</v>
      </c>
      <c r="J18" s="930">
        <v>100</v>
      </c>
      <c r="K18" s="932">
        <v>50</v>
      </c>
      <c r="L18" s="931">
        <f t="shared" si="0"/>
        <v>87.5</v>
      </c>
    </row>
    <row r="19" spans="2:12" ht="18.75">
      <c r="B19" s="744"/>
      <c r="C19" s="1958" t="s">
        <v>1956</v>
      </c>
      <c r="D19" s="933" t="s">
        <v>1957</v>
      </c>
      <c r="E19" s="933">
        <v>80</v>
      </c>
      <c r="F19" s="934">
        <v>100</v>
      </c>
      <c r="G19" s="934">
        <v>75</v>
      </c>
      <c r="H19" s="931">
        <f t="shared" si="1"/>
        <v>100</v>
      </c>
      <c r="I19" s="933">
        <v>90</v>
      </c>
      <c r="J19" s="933">
        <v>100</v>
      </c>
      <c r="K19" s="933">
        <v>80</v>
      </c>
      <c r="L19" s="931">
        <f t="shared" si="0"/>
        <v>112.5</v>
      </c>
    </row>
    <row r="20" spans="2:12" ht="18.75">
      <c r="B20" s="744"/>
      <c r="C20" s="1958"/>
      <c r="D20" s="933" t="s">
        <v>1958</v>
      </c>
      <c r="E20" s="933">
        <v>80</v>
      </c>
      <c r="F20" s="934">
        <v>100</v>
      </c>
      <c r="G20" s="934">
        <v>75</v>
      </c>
      <c r="H20" s="931">
        <f t="shared" si="1"/>
        <v>100</v>
      </c>
      <c r="I20" s="933">
        <v>90</v>
      </c>
      <c r="J20" s="933">
        <v>100</v>
      </c>
      <c r="K20" s="933">
        <v>80</v>
      </c>
      <c r="L20" s="931">
        <f t="shared" si="0"/>
        <v>112.5</v>
      </c>
    </row>
    <row r="21" spans="2:12" ht="18.75">
      <c r="B21" s="744"/>
      <c r="C21" s="1958"/>
      <c r="D21" s="933" t="s">
        <v>1959</v>
      </c>
      <c r="E21" s="933">
        <v>80</v>
      </c>
      <c r="F21" s="934">
        <v>100</v>
      </c>
      <c r="G21" s="934">
        <v>75</v>
      </c>
      <c r="H21" s="931">
        <f t="shared" si="1"/>
        <v>100</v>
      </c>
      <c r="I21" s="933">
        <v>90</v>
      </c>
      <c r="J21" s="933">
        <v>100</v>
      </c>
      <c r="K21" s="933">
        <v>80</v>
      </c>
      <c r="L21" s="931">
        <f t="shared" si="0"/>
        <v>112.5</v>
      </c>
    </row>
    <row r="22" spans="2:12" ht="18.75">
      <c r="B22" s="744"/>
      <c r="C22" s="1957" t="s">
        <v>1960</v>
      </c>
      <c r="D22" s="930" t="s">
        <v>1961</v>
      </c>
      <c r="E22" s="933">
        <v>130</v>
      </c>
      <c r="F22" s="933">
        <v>160</v>
      </c>
      <c r="G22" s="933">
        <v>75</v>
      </c>
      <c r="H22" s="931">
        <f t="shared" si="1"/>
        <v>101.5625</v>
      </c>
      <c r="I22" s="933">
        <v>150</v>
      </c>
      <c r="J22" s="933">
        <v>160</v>
      </c>
      <c r="K22" s="933">
        <v>85</v>
      </c>
      <c r="L22" s="931">
        <f t="shared" si="0"/>
        <v>117.1875</v>
      </c>
    </row>
    <row r="23" spans="2:12" ht="18.75">
      <c r="B23" s="744"/>
      <c r="C23" s="1957"/>
      <c r="D23" s="930" t="s">
        <v>1962</v>
      </c>
      <c r="E23" s="933">
        <v>130</v>
      </c>
      <c r="F23" s="933">
        <v>160</v>
      </c>
      <c r="G23" s="933">
        <v>75</v>
      </c>
      <c r="H23" s="931">
        <f t="shared" si="1"/>
        <v>101.5625</v>
      </c>
      <c r="I23" s="933">
        <v>150</v>
      </c>
      <c r="J23" s="933">
        <v>160</v>
      </c>
      <c r="K23" s="933">
        <v>85</v>
      </c>
      <c r="L23" s="931">
        <f t="shared" si="0"/>
        <v>117.1875</v>
      </c>
    </row>
    <row r="24" spans="2:12" ht="18.75">
      <c r="B24" s="744"/>
      <c r="C24" s="1957" t="s">
        <v>1963</v>
      </c>
      <c r="D24" s="933" t="s">
        <v>1964</v>
      </c>
      <c r="E24" s="933">
        <v>127</v>
      </c>
      <c r="F24" s="933">
        <v>160</v>
      </c>
      <c r="G24" s="933">
        <v>127</v>
      </c>
      <c r="H24" s="931">
        <f t="shared" si="1"/>
        <v>99.21875</v>
      </c>
      <c r="I24" s="933">
        <v>125</v>
      </c>
      <c r="J24" s="933">
        <v>160</v>
      </c>
      <c r="K24" s="933">
        <v>125</v>
      </c>
      <c r="L24" s="931">
        <f t="shared" si="0"/>
        <v>97.65625</v>
      </c>
    </row>
    <row r="25" spans="2:12" ht="18.75">
      <c r="B25" s="744"/>
      <c r="C25" s="1957"/>
      <c r="D25" s="933" t="s">
        <v>1965</v>
      </c>
      <c r="E25" s="933">
        <v>127</v>
      </c>
      <c r="F25" s="934">
        <v>160</v>
      </c>
      <c r="G25" s="934">
        <v>127</v>
      </c>
      <c r="H25" s="931">
        <f t="shared" si="1"/>
        <v>99.21875</v>
      </c>
      <c r="I25" s="933">
        <v>125</v>
      </c>
      <c r="J25" s="933">
        <v>160</v>
      </c>
      <c r="K25" s="933">
        <v>125</v>
      </c>
      <c r="L25" s="931">
        <f t="shared" si="0"/>
        <v>97.65625</v>
      </c>
    </row>
    <row r="26" spans="2:12" ht="18.75">
      <c r="B26" s="744"/>
      <c r="C26" s="1957" t="s">
        <v>1966</v>
      </c>
      <c r="D26" s="930" t="s">
        <v>1967</v>
      </c>
      <c r="E26" s="930"/>
      <c r="F26" s="930"/>
      <c r="G26" s="930"/>
      <c r="H26" s="931"/>
      <c r="I26" s="932">
        <v>128</v>
      </c>
      <c r="J26" s="930">
        <v>160</v>
      </c>
      <c r="K26" s="932">
        <v>128</v>
      </c>
      <c r="L26" s="931">
        <f t="shared" si="0"/>
        <v>100</v>
      </c>
    </row>
    <row r="27" spans="2:12" ht="18.75">
      <c r="B27" s="744"/>
      <c r="C27" s="1957"/>
      <c r="D27" s="930" t="s">
        <v>1968</v>
      </c>
      <c r="E27" s="930"/>
      <c r="F27" s="930"/>
      <c r="G27" s="930"/>
      <c r="H27" s="931"/>
      <c r="I27" s="932">
        <v>128</v>
      </c>
      <c r="J27" s="930">
        <v>160</v>
      </c>
      <c r="K27" s="932">
        <v>128</v>
      </c>
      <c r="L27" s="931">
        <f t="shared" si="0"/>
        <v>100</v>
      </c>
    </row>
    <row r="28" spans="2:12" ht="18.75">
      <c r="B28" s="744"/>
      <c r="C28" s="1957" t="s">
        <v>1969</v>
      </c>
      <c r="D28" s="930" t="s">
        <v>1970</v>
      </c>
      <c r="E28" s="930">
        <v>120</v>
      </c>
      <c r="F28" s="930">
        <v>160</v>
      </c>
      <c r="G28" s="930">
        <v>85</v>
      </c>
      <c r="H28" s="931">
        <f t="shared" si="1"/>
        <v>93.75</v>
      </c>
      <c r="I28" s="930">
        <v>108</v>
      </c>
      <c r="J28" s="930">
        <v>160</v>
      </c>
      <c r="K28" s="930">
        <v>108</v>
      </c>
      <c r="L28" s="931">
        <f t="shared" si="0"/>
        <v>84.375</v>
      </c>
    </row>
    <row r="29" spans="2:12" ht="18.75">
      <c r="B29" s="744"/>
      <c r="C29" s="1957"/>
      <c r="D29" s="930" t="s">
        <v>1971</v>
      </c>
      <c r="E29" s="930">
        <v>104</v>
      </c>
      <c r="F29" s="930">
        <v>150</v>
      </c>
      <c r="G29" s="930">
        <v>75</v>
      </c>
      <c r="H29" s="931">
        <f t="shared" si="1"/>
        <v>86.666666666666671</v>
      </c>
      <c r="I29" s="930"/>
      <c r="J29" s="930"/>
      <c r="K29" s="930"/>
      <c r="L29" s="931"/>
    </row>
    <row r="30" spans="2:12" ht="18.75">
      <c r="B30" s="744"/>
      <c r="C30" s="1957"/>
      <c r="D30" s="930" t="s">
        <v>1972</v>
      </c>
      <c r="E30" s="930">
        <v>105</v>
      </c>
      <c r="F30" s="930">
        <v>150</v>
      </c>
      <c r="G30" s="930">
        <v>75</v>
      </c>
      <c r="H30" s="931">
        <f t="shared" si="1"/>
        <v>87.5</v>
      </c>
      <c r="I30" s="930"/>
      <c r="J30" s="930"/>
      <c r="K30" s="930"/>
      <c r="L30" s="931"/>
    </row>
    <row r="31" spans="2:12" ht="18.75">
      <c r="B31" s="744"/>
      <c r="C31" s="1957" t="s">
        <v>1793</v>
      </c>
      <c r="D31" s="930" t="s">
        <v>1973</v>
      </c>
      <c r="E31" s="930"/>
      <c r="F31" s="930"/>
      <c r="G31" s="930"/>
      <c r="H31" s="931"/>
      <c r="I31" s="932">
        <v>76</v>
      </c>
      <c r="J31" s="932">
        <v>100</v>
      </c>
      <c r="K31" s="932" t="s">
        <v>1952</v>
      </c>
      <c r="L31" s="931">
        <f t="shared" si="0"/>
        <v>95</v>
      </c>
    </row>
    <row r="32" spans="2:12" ht="18.75">
      <c r="B32" s="744"/>
      <c r="C32" s="1957"/>
      <c r="D32" s="930" t="s">
        <v>1974</v>
      </c>
      <c r="E32" s="930">
        <v>80</v>
      </c>
      <c r="F32" s="930">
        <v>100</v>
      </c>
      <c r="G32" s="930" t="s">
        <v>1975</v>
      </c>
      <c r="H32" s="931">
        <f t="shared" si="1"/>
        <v>100</v>
      </c>
      <c r="I32" s="932">
        <v>76</v>
      </c>
      <c r="J32" s="932">
        <v>100</v>
      </c>
      <c r="K32" s="932" t="s">
        <v>1952</v>
      </c>
      <c r="L32" s="931">
        <f t="shared" si="0"/>
        <v>95</v>
      </c>
    </row>
    <row r="33" spans="2:12" ht="18.75">
      <c r="B33" s="744"/>
      <c r="C33" s="1957"/>
      <c r="D33" s="930" t="s">
        <v>1976</v>
      </c>
      <c r="E33" s="934">
        <v>80</v>
      </c>
      <c r="F33" s="930">
        <v>100</v>
      </c>
      <c r="G33" s="930" t="s">
        <v>1977</v>
      </c>
      <c r="H33" s="931">
        <f t="shared" si="1"/>
        <v>100</v>
      </c>
      <c r="I33" s="930">
        <v>76</v>
      </c>
      <c r="J33" s="930">
        <v>100</v>
      </c>
      <c r="K33" s="930" t="s">
        <v>1952</v>
      </c>
      <c r="L33" s="931">
        <f t="shared" si="0"/>
        <v>95</v>
      </c>
    </row>
    <row r="34" spans="2:12" ht="18.75">
      <c r="B34" s="744"/>
      <c r="C34" s="1957"/>
      <c r="D34" s="930" t="s">
        <v>1978</v>
      </c>
      <c r="E34" s="934">
        <v>80</v>
      </c>
      <c r="F34" s="930">
        <v>100</v>
      </c>
      <c r="G34" s="930" t="s">
        <v>1977</v>
      </c>
      <c r="H34" s="931">
        <f t="shared" si="1"/>
        <v>100</v>
      </c>
      <c r="I34" s="930">
        <v>76</v>
      </c>
      <c r="J34" s="930">
        <v>100</v>
      </c>
      <c r="K34" s="930" t="s">
        <v>1979</v>
      </c>
      <c r="L34" s="931">
        <f t="shared" si="0"/>
        <v>95</v>
      </c>
    </row>
    <row r="35" spans="2:12" ht="18.75">
      <c r="B35" s="744"/>
      <c r="C35" s="1957" t="s">
        <v>1980</v>
      </c>
      <c r="D35" s="930"/>
      <c r="E35" s="930"/>
      <c r="F35" s="930"/>
      <c r="G35" s="930"/>
      <c r="H35" s="931"/>
      <c r="I35" s="930">
        <v>110</v>
      </c>
      <c r="J35" s="930">
        <v>160</v>
      </c>
      <c r="K35" s="930">
        <v>90</v>
      </c>
      <c r="L35" s="931">
        <f t="shared" si="0"/>
        <v>85.9375</v>
      </c>
    </row>
    <row r="36" spans="2:12" ht="18.75">
      <c r="B36" s="744"/>
      <c r="C36" s="1957"/>
      <c r="D36" s="930"/>
      <c r="E36" s="930"/>
      <c r="F36" s="934"/>
      <c r="G36" s="934"/>
      <c r="H36" s="931"/>
      <c r="I36" s="930">
        <v>110</v>
      </c>
      <c r="J36" s="930">
        <v>160</v>
      </c>
      <c r="K36" s="930">
        <v>90</v>
      </c>
      <c r="L36" s="931">
        <f t="shared" si="0"/>
        <v>85.9375</v>
      </c>
    </row>
    <row r="37" spans="2:12" ht="18.75">
      <c r="B37" s="744"/>
      <c r="C37" s="1957" t="s">
        <v>1812</v>
      </c>
      <c r="D37" s="930" t="s">
        <v>1981</v>
      </c>
      <c r="E37" s="930">
        <v>70</v>
      </c>
      <c r="F37" s="930">
        <v>100</v>
      </c>
      <c r="G37" s="930">
        <v>70</v>
      </c>
      <c r="H37" s="931">
        <f t="shared" si="1"/>
        <v>87.5</v>
      </c>
      <c r="I37" s="930"/>
      <c r="J37" s="930"/>
      <c r="K37" s="930"/>
      <c r="L37" s="931"/>
    </row>
    <row r="38" spans="2:12" ht="18.75">
      <c r="B38" s="744"/>
      <c r="C38" s="1957"/>
      <c r="D38" s="930" t="s">
        <v>1982</v>
      </c>
      <c r="E38" s="930">
        <v>70</v>
      </c>
      <c r="F38" s="934">
        <v>100</v>
      </c>
      <c r="G38" s="934">
        <v>70</v>
      </c>
      <c r="H38" s="931">
        <f t="shared" si="1"/>
        <v>87.5</v>
      </c>
      <c r="I38" s="930"/>
      <c r="J38" s="930"/>
      <c r="K38" s="930"/>
      <c r="L38" s="931"/>
    </row>
    <row r="39" spans="2:12" ht="18.75">
      <c r="B39" s="744"/>
      <c r="C39" s="1957"/>
      <c r="D39" s="930" t="s">
        <v>1983</v>
      </c>
      <c r="E39" s="930">
        <v>70</v>
      </c>
      <c r="F39" s="934">
        <v>100</v>
      </c>
      <c r="G39" s="934">
        <v>70</v>
      </c>
      <c r="H39" s="931">
        <f t="shared" si="1"/>
        <v>87.5</v>
      </c>
      <c r="I39" s="930"/>
      <c r="J39" s="930"/>
      <c r="K39" s="930"/>
      <c r="L39" s="931"/>
    </row>
    <row r="40" spans="2:12" ht="18.75">
      <c r="B40" s="744"/>
      <c r="C40" s="1957"/>
      <c r="D40" s="934" t="s">
        <v>1984</v>
      </c>
      <c r="E40" s="934">
        <v>70</v>
      </c>
      <c r="F40" s="930">
        <v>100</v>
      </c>
      <c r="G40" s="930">
        <v>70</v>
      </c>
      <c r="H40" s="931">
        <f t="shared" si="1"/>
        <v>87.5</v>
      </c>
      <c r="I40" s="930"/>
      <c r="J40" s="930"/>
      <c r="K40" s="930"/>
      <c r="L40" s="931"/>
    </row>
    <row r="41" spans="2:12" ht="18.75">
      <c r="B41" s="744"/>
      <c r="C41" s="1957"/>
      <c r="D41" s="934" t="s">
        <v>1985</v>
      </c>
      <c r="E41" s="934">
        <v>69</v>
      </c>
      <c r="F41" s="930">
        <v>100</v>
      </c>
      <c r="G41" s="930">
        <v>69</v>
      </c>
      <c r="H41" s="931">
        <f t="shared" si="1"/>
        <v>86.25</v>
      </c>
      <c r="I41" s="930"/>
      <c r="J41" s="930"/>
      <c r="K41" s="930"/>
      <c r="L41" s="931"/>
    </row>
    <row r="42" spans="2:12" ht="18.75">
      <c r="B42" s="744"/>
      <c r="C42" s="1955" t="s">
        <v>1192</v>
      </c>
      <c r="D42" s="935" t="s">
        <v>1986</v>
      </c>
      <c r="E42" s="935">
        <v>129</v>
      </c>
      <c r="F42" s="935">
        <v>150</v>
      </c>
      <c r="G42" s="935">
        <v>100</v>
      </c>
      <c r="H42" s="935">
        <f>(E42/(F42*0.8))*100</f>
        <v>107.5</v>
      </c>
      <c r="I42" s="935">
        <v>121</v>
      </c>
      <c r="J42" s="935">
        <v>150</v>
      </c>
      <c r="K42" s="935">
        <v>100</v>
      </c>
      <c r="L42" s="936">
        <f>(I42/(J42*0.8))*100</f>
        <v>100.83333333333333</v>
      </c>
    </row>
    <row r="43" spans="2:12" ht="18.75">
      <c r="B43" s="744"/>
      <c r="C43" s="1955"/>
      <c r="D43" s="935" t="s">
        <v>1987</v>
      </c>
      <c r="E43" s="935">
        <v>129</v>
      </c>
      <c r="F43" s="935">
        <v>150</v>
      </c>
      <c r="G43" s="935">
        <v>100</v>
      </c>
      <c r="H43" s="935">
        <f t="shared" ref="H43:H44" si="2">(E43/(F43*0.8))*100</f>
        <v>107.5</v>
      </c>
      <c r="I43" s="935">
        <v>121</v>
      </c>
      <c r="J43" s="935">
        <v>150</v>
      </c>
      <c r="K43" s="935">
        <v>100</v>
      </c>
      <c r="L43" s="936">
        <f t="shared" ref="L43:L44" si="3">(I43/(J43*0.8))*100</f>
        <v>100.83333333333333</v>
      </c>
    </row>
    <row r="44" spans="2:12" ht="18.75">
      <c r="B44" s="744"/>
      <c r="C44" s="1955"/>
      <c r="D44" s="935" t="s">
        <v>1988</v>
      </c>
      <c r="E44" s="935">
        <v>129</v>
      </c>
      <c r="F44" s="935">
        <v>150</v>
      </c>
      <c r="G44" s="935">
        <v>100</v>
      </c>
      <c r="H44" s="935">
        <f t="shared" si="2"/>
        <v>107.5</v>
      </c>
      <c r="I44" s="935">
        <v>121</v>
      </c>
      <c r="J44" s="935">
        <v>150</v>
      </c>
      <c r="K44" s="935">
        <v>100</v>
      </c>
      <c r="L44" s="936">
        <f t="shared" si="3"/>
        <v>100.83333333333333</v>
      </c>
    </row>
    <row r="45" spans="2:12" ht="37.5">
      <c r="B45" s="748">
        <v>2</v>
      </c>
      <c r="C45" s="742" t="s">
        <v>1138</v>
      </c>
      <c r="D45" s="742"/>
      <c r="E45" s="320"/>
      <c r="F45" s="756"/>
      <c r="G45" s="756"/>
      <c r="H45" s="756"/>
      <c r="I45" s="756"/>
      <c r="J45" s="756"/>
      <c r="K45" s="756"/>
      <c r="L45" s="756"/>
    </row>
    <row r="46" spans="2:12" ht="18.75">
      <c r="B46" s="747"/>
      <c r="C46" s="937" t="s">
        <v>1187</v>
      </c>
      <c r="D46" s="937" t="s">
        <v>1989</v>
      </c>
      <c r="E46" s="756"/>
      <c r="F46" s="756"/>
      <c r="G46" s="756"/>
      <c r="H46" s="756"/>
      <c r="I46" s="756"/>
      <c r="J46" s="756"/>
      <c r="K46" s="756"/>
      <c r="L46" s="756"/>
    </row>
    <row r="47" spans="2:12" ht="18.75">
      <c r="B47" s="747"/>
      <c r="C47" s="1955" t="s">
        <v>1990</v>
      </c>
      <c r="D47" s="930" t="s">
        <v>1951</v>
      </c>
      <c r="E47" s="935">
        <v>15.9</v>
      </c>
      <c r="F47" s="935">
        <v>20</v>
      </c>
      <c r="G47" s="935">
        <v>15.9</v>
      </c>
      <c r="H47" s="936">
        <f>(E47/(F47*0.8))*100</f>
        <v>99.375</v>
      </c>
      <c r="I47" s="935">
        <v>15.9</v>
      </c>
      <c r="J47" s="935">
        <v>20</v>
      </c>
      <c r="K47" s="935">
        <v>16</v>
      </c>
      <c r="L47" s="936">
        <f>(I47/(J47*0.8))*100</f>
        <v>99.375</v>
      </c>
    </row>
    <row r="48" spans="2:12" ht="18.75">
      <c r="B48" s="747"/>
      <c r="C48" s="1955"/>
      <c r="D48" s="930" t="s">
        <v>1953</v>
      </c>
      <c r="E48" s="935">
        <v>15.9</v>
      </c>
      <c r="F48" s="935">
        <v>20</v>
      </c>
      <c r="G48" s="935">
        <v>15.9</v>
      </c>
      <c r="H48" s="936">
        <f>(E48/(F48*0.8))*100</f>
        <v>99.375</v>
      </c>
      <c r="I48" s="935">
        <v>15.9</v>
      </c>
      <c r="J48" s="935">
        <v>20</v>
      </c>
      <c r="K48" s="935">
        <v>16</v>
      </c>
      <c r="L48" s="936">
        <f>(I48/(J48*0.8))*100</f>
        <v>99.375</v>
      </c>
    </row>
    <row r="49" spans="2:12" ht="18.75">
      <c r="B49" s="747"/>
      <c r="C49" s="935" t="s">
        <v>1205</v>
      </c>
      <c r="D49" s="930" t="s">
        <v>1954</v>
      </c>
      <c r="E49" s="938">
        <v>42</v>
      </c>
      <c r="F49" s="935">
        <v>50</v>
      </c>
      <c r="G49" s="935">
        <v>40</v>
      </c>
      <c r="H49" s="936">
        <f t="shared" ref="H49:H75" si="4">(E49/(F49*0.8))*100</f>
        <v>105</v>
      </c>
      <c r="I49" s="935"/>
      <c r="J49" s="935"/>
      <c r="K49" s="935"/>
      <c r="L49" s="936"/>
    </row>
    <row r="50" spans="2:12" ht="18.75">
      <c r="B50" s="747"/>
      <c r="C50" s="935" t="s">
        <v>1201</v>
      </c>
      <c r="D50" s="939" t="s">
        <v>1991</v>
      </c>
      <c r="E50" s="939"/>
      <c r="F50" s="939"/>
      <c r="G50" s="939"/>
      <c r="H50" s="936"/>
      <c r="I50" s="939">
        <v>36.5</v>
      </c>
      <c r="J50" s="939">
        <v>50</v>
      </c>
      <c r="K50" s="939">
        <v>36.5</v>
      </c>
      <c r="L50" s="936">
        <f t="shared" ref="L50:L112" si="5">(I50/(J50*0.8))*100</f>
        <v>91.25</v>
      </c>
    </row>
    <row r="51" spans="2:12" ht="18.75">
      <c r="B51" s="747"/>
      <c r="C51" s="1955" t="s">
        <v>1888</v>
      </c>
      <c r="D51" s="930" t="s">
        <v>1951</v>
      </c>
      <c r="E51" s="935">
        <v>16</v>
      </c>
      <c r="F51" s="935">
        <v>20</v>
      </c>
      <c r="G51" s="935">
        <v>12</v>
      </c>
      <c r="H51" s="936">
        <f t="shared" si="4"/>
        <v>100</v>
      </c>
      <c r="I51" s="935">
        <v>40</v>
      </c>
      <c r="J51" s="935">
        <v>50</v>
      </c>
      <c r="K51" s="935">
        <v>14</v>
      </c>
      <c r="L51" s="936">
        <f t="shared" si="5"/>
        <v>100</v>
      </c>
    </row>
    <row r="52" spans="2:12" ht="18.75">
      <c r="B52" s="747"/>
      <c r="C52" s="1955"/>
      <c r="D52" s="930" t="s">
        <v>1953</v>
      </c>
      <c r="E52" s="938">
        <v>16</v>
      </c>
      <c r="F52" s="940">
        <v>20</v>
      </c>
      <c r="G52" s="940">
        <v>12</v>
      </c>
      <c r="H52" s="936">
        <f t="shared" si="4"/>
        <v>100</v>
      </c>
      <c r="I52" s="935">
        <v>16</v>
      </c>
      <c r="J52" s="935">
        <v>20</v>
      </c>
      <c r="K52" s="935">
        <v>0</v>
      </c>
      <c r="L52" s="936">
        <f t="shared" si="5"/>
        <v>100</v>
      </c>
    </row>
    <row r="53" spans="2:12" ht="18.75">
      <c r="B53" s="747"/>
      <c r="C53" s="1955"/>
      <c r="D53" s="930" t="s">
        <v>1954</v>
      </c>
      <c r="E53" s="938">
        <v>40</v>
      </c>
      <c r="F53" s="935">
        <v>50</v>
      </c>
      <c r="G53" s="935">
        <v>34</v>
      </c>
      <c r="H53" s="936">
        <f t="shared" si="4"/>
        <v>100</v>
      </c>
      <c r="I53" s="935">
        <v>40</v>
      </c>
      <c r="J53" s="935">
        <v>50</v>
      </c>
      <c r="K53" s="935">
        <v>14</v>
      </c>
      <c r="L53" s="936">
        <f t="shared" si="5"/>
        <v>100</v>
      </c>
    </row>
    <row r="54" spans="2:12" ht="18.75">
      <c r="B54" s="747"/>
      <c r="C54" s="1955" t="s">
        <v>1206</v>
      </c>
      <c r="D54" s="930" t="s">
        <v>1951</v>
      </c>
      <c r="E54" s="939">
        <v>43</v>
      </c>
      <c r="F54" s="939">
        <v>50</v>
      </c>
      <c r="G54" s="939">
        <v>43</v>
      </c>
      <c r="H54" s="936">
        <f t="shared" si="4"/>
        <v>107.5</v>
      </c>
      <c r="I54" s="941">
        <v>43</v>
      </c>
      <c r="J54" s="941">
        <v>50</v>
      </c>
      <c r="K54" s="941">
        <v>43</v>
      </c>
      <c r="L54" s="936">
        <f t="shared" si="5"/>
        <v>107.5</v>
      </c>
    </row>
    <row r="55" spans="2:12" ht="18.75">
      <c r="B55" s="747"/>
      <c r="C55" s="1955"/>
      <c r="D55" s="930" t="s">
        <v>1953</v>
      </c>
      <c r="E55" s="939">
        <v>16</v>
      </c>
      <c r="F55" s="939">
        <v>20</v>
      </c>
      <c r="G55" s="939">
        <v>16</v>
      </c>
      <c r="H55" s="936">
        <f t="shared" si="4"/>
        <v>100</v>
      </c>
      <c r="I55" s="941"/>
      <c r="J55" s="941"/>
      <c r="K55" s="941"/>
      <c r="L55" s="936"/>
    </row>
    <row r="56" spans="2:12" ht="18.75">
      <c r="B56" s="747"/>
      <c r="C56" s="1955"/>
      <c r="D56" s="930" t="s">
        <v>1954</v>
      </c>
      <c r="E56" s="942">
        <v>15</v>
      </c>
      <c r="F56" s="939">
        <v>20</v>
      </c>
      <c r="G56" s="939">
        <v>15</v>
      </c>
      <c r="H56" s="936">
        <f t="shared" si="4"/>
        <v>93.75</v>
      </c>
      <c r="I56" s="939">
        <v>9</v>
      </c>
      <c r="J56" s="939">
        <v>20</v>
      </c>
      <c r="K56" s="939">
        <v>9</v>
      </c>
      <c r="L56" s="936">
        <f t="shared" si="5"/>
        <v>56.25</v>
      </c>
    </row>
    <row r="57" spans="2:12" ht="18.75">
      <c r="B57" s="747"/>
      <c r="C57" s="1955" t="s">
        <v>1853</v>
      </c>
      <c r="D57" s="930" t="s">
        <v>1951</v>
      </c>
      <c r="E57" s="935">
        <v>17</v>
      </c>
      <c r="F57" s="935">
        <v>20</v>
      </c>
      <c r="G57" s="935">
        <v>17</v>
      </c>
      <c r="H57" s="936">
        <f t="shared" si="4"/>
        <v>106.25</v>
      </c>
      <c r="I57" s="935">
        <v>15</v>
      </c>
      <c r="J57" s="935">
        <v>20</v>
      </c>
      <c r="K57" s="935">
        <v>15</v>
      </c>
      <c r="L57" s="936">
        <f t="shared" si="5"/>
        <v>93.75</v>
      </c>
    </row>
    <row r="58" spans="2:12" ht="18.75">
      <c r="B58" s="747"/>
      <c r="C58" s="1955"/>
      <c r="D58" s="930" t="s">
        <v>1953</v>
      </c>
      <c r="E58" s="935">
        <v>17</v>
      </c>
      <c r="F58" s="935">
        <v>20</v>
      </c>
      <c r="G58" s="935">
        <v>17</v>
      </c>
      <c r="H58" s="936">
        <f t="shared" si="4"/>
        <v>106.25</v>
      </c>
      <c r="I58" s="935">
        <v>15</v>
      </c>
      <c r="J58" s="935">
        <v>20</v>
      </c>
      <c r="K58" s="935">
        <v>15</v>
      </c>
      <c r="L58" s="936">
        <f t="shared" si="5"/>
        <v>93.75</v>
      </c>
    </row>
    <row r="59" spans="2:12" ht="18.75">
      <c r="B59" s="747"/>
      <c r="C59" s="1955"/>
      <c r="D59" s="930" t="s">
        <v>1954</v>
      </c>
      <c r="E59" s="935">
        <v>17</v>
      </c>
      <c r="F59" s="935">
        <v>20</v>
      </c>
      <c r="G59" s="935">
        <v>17</v>
      </c>
      <c r="H59" s="936">
        <f t="shared" si="4"/>
        <v>106.25</v>
      </c>
      <c r="I59" s="935">
        <v>15</v>
      </c>
      <c r="J59" s="935">
        <v>20</v>
      </c>
      <c r="K59" s="935">
        <v>15</v>
      </c>
      <c r="L59" s="936">
        <f t="shared" si="5"/>
        <v>93.75</v>
      </c>
    </row>
    <row r="60" spans="2:12" ht="18.75">
      <c r="B60" s="747"/>
      <c r="C60" s="1955"/>
      <c r="D60" s="930" t="s">
        <v>1955</v>
      </c>
      <c r="E60" s="935"/>
      <c r="F60" s="935"/>
      <c r="G60" s="935"/>
      <c r="H60" s="936"/>
      <c r="I60" s="935">
        <v>15</v>
      </c>
      <c r="J60" s="935">
        <v>20</v>
      </c>
      <c r="K60" s="935">
        <v>15</v>
      </c>
      <c r="L60" s="936">
        <f t="shared" si="5"/>
        <v>93.75</v>
      </c>
    </row>
    <row r="61" spans="2:12" ht="18.75">
      <c r="B61" s="747"/>
      <c r="C61" s="1955" t="s">
        <v>1902</v>
      </c>
      <c r="D61" s="930" t="s">
        <v>1951</v>
      </c>
      <c r="E61" s="943">
        <v>13</v>
      </c>
      <c r="F61" s="943">
        <v>20</v>
      </c>
      <c r="G61" s="943">
        <v>13</v>
      </c>
      <c r="H61" s="936">
        <f t="shared" si="4"/>
        <v>81.25</v>
      </c>
      <c r="I61" s="944">
        <v>15</v>
      </c>
      <c r="J61" s="944">
        <v>20</v>
      </c>
      <c r="K61" s="944">
        <v>15</v>
      </c>
      <c r="L61" s="936">
        <f t="shared" si="5"/>
        <v>93.75</v>
      </c>
    </row>
    <row r="62" spans="2:12" ht="18.75">
      <c r="B62" s="747"/>
      <c r="C62" s="1955"/>
      <c r="D62" s="930" t="s">
        <v>1953</v>
      </c>
      <c r="E62" s="943">
        <v>13</v>
      </c>
      <c r="F62" s="943">
        <v>20</v>
      </c>
      <c r="G62" s="943">
        <v>13</v>
      </c>
      <c r="H62" s="936">
        <f t="shared" si="4"/>
        <v>81.25</v>
      </c>
      <c r="I62" s="944">
        <v>15</v>
      </c>
      <c r="J62" s="944">
        <v>20</v>
      </c>
      <c r="K62" s="944">
        <v>15</v>
      </c>
      <c r="L62" s="936">
        <f t="shared" si="5"/>
        <v>93.75</v>
      </c>
    </row>
    <row r="63" spans="2:12" ht="18.75">
      <c r="B63" s="747"/>
      <c r="C63" s="1955" t="s">
        <v>1905</v>
      </c>
      <c r="D63" s="935" t="s">
        <v>1992</v>
      </c>
      <c r="E63" s="935">
        <v>14</v>
      </c>
      <c r="F63" s="935">
        <v>20</v>
      </c>
      <c r="G63" s="935">
        <v>9</v>
      </c>
      <c r="H63" s="936">
        <f t="shared" si="4"/>
        <v>87.5</v>
      </c>
      <c r="I63" s="935">
        <v>15</v>
      </c>
      <c r="J63" s="935">
        <v>20</v>
      </c>
      <c r="K63" s="935"/>
      <c r="L63" s="936">
        <f t="shared" si="5"/>
        <v>93.75</v>
      </c>
    </row>
    <row r="64" spans="2:12" ht="18.75">
      <c r="B64" s="747"/>
      <c r="C64" s="1955"/>
      <c r="D64" s="935" t="s">
        <v>1993</v>
      </c>
      <c r="E64" s="935">
        <v>14</v>
      </c>
      <c r="F64" s="935">
        <v>20</v>
      </c>
      <c r="G64" s="935">
        <v>9</v>
      </c>
      <c r="H64" s="936">
        <f t="shared" si="4"/>
        <v>87.5</v>
      </c>
      <c r="I64" s="935">
        <v>15</v>
      </c>
      <c r="J64" s="935">
        <v>20</v>
      </c>
      <c r="K64" s="935"/>
      <c r="L64" s="936">
        <f t="shared" si="5"/>
        <v>93.75</v>
      </c>
    </row>
    <row r="65" spans="2:12" ht="18.75">
      <c r="B65" s="747"/>
      <c r="C65" s="1955" t="s">
        <v>1844</v>
      </c>
      <c r="D65" s="930" t="s">
        <v>1951</v>
      </c>
      <c r="E65" s="939">
        <v>32</v>
      </c>
      <c r="F65" s="939">
        <v>50</v>
      </c>
      <c r="G65" s="939">
        <v>32</v>
      </c>
      <c r="H65" s="936">
        <f t="shared" si="4"/>
        <v>80</v>
      </c>
      <c r="I65" s="939"/>
      <c r="J65" s="939"/>
      <c r="K65" s="939"/>
      <c r="L65" s="936"/>
    </row>
    <row r="66" spans="2:12" ht="18.75">
      <c r="B66" s="747"/>
      <c r="C66" s="1955"/>
      <c r="D66" s="930" t="s">
        <v>1953</v>
      </c>
      <c r="E66" s="939">
        <v>32</v>
      </c>
      <c r="F66" s="939">
        <v>50</v>
      </c>
      <c r="G66" s="939">
        <v>32</v>
      </c>
      <c r="H66" s="936">
        <f t="shared" si="4"/>
        <v>80</v>
      </c>
      <c r="I66" s="939"/>
      <c r="J66" s="939"/>
      <c r="K66" s="939"/>
      <c r="L66" s="936"/>
    </row>
    <row r="67" spans="2:12" ht="18.75">
      <c r="B67" s="747"/>
      <c r="C67" s="1955"/>
      <c r="D67" s="930" t="s">
        <v>1954</v>
      </c>
      <c r="E67" s="939">
        <v>32</v>
      </c>
      <c r="F67" s="933">
        <v>50</v>
      </c>
      <c r="G67" s="933">
        <v>32</v>
      </c>
      <c r="H67" s="936">
        <f t="shared" si="4"/>
        <v>80</v>
      </c>
      <c r="I67" s="939"/>
      <c r="J67" s="939"/>
      <c r="K67" s="939"/>
      <c r="L67" s="936"/>
    </row>
    <row r="68" spans="2:12" ht="18.75">
      <c r="B68" s="747"/>
      <c r="C68" s="1955" t="s">
        <v>1994</v>
      </c>
      <c r="D68" s="930" t="s">
        <v>1951</v>
      </c>
      <c r="E68" s="935"/>
      <c r="F68" s="935"/>
      <c r="G68" s="935"/>
      <c r="H68" s="936"/>
      <c r="I68" s="935">
        <v>32</v>
      </c>
      <c r="J68" s="935">
        <v>50</v>
      </c>
      <c r="K68" s="935">
        <v>40</v>
      </c>
      <c r="L68" s="936">
        <f t="shared" si="5"/>
        <v>80</v>
      </c>
    </row>
    <row r="69" spans="2:12" ht="18.75">
      <c r="B69" s="747"/>
      <c r="C69" s="1955"/>
      <c r="D69" s="930" t="s">
        <v>1953</v>
      </c>
      <c r="E69" s="935"/>
      <c r="F69" s="935"/>
      <c r="G69" s="935"/>
      <c r="H69" s="936"/>
      <c r="I69" s="935">
        <v>32</v>
      </c>
      <c r="J69" s="935">
        <v>50</v>
      </c>
      <c r="K69" s="935">
        <v>40</v>
      </c>
      <c r="L69" s="936">
        <f t="shared" si="5"/>
        <v>80</v>
      </c>
    </row>
    <row r="70" spans="2:12" ht="18.75">
      <c r="B70" s="747"/>
      <c r="C70" s="1955"/>
      <c r="D70" s="930" t="s">
        <v>1954</v>
      </c>
      <c r="E70" s="938"/>
      <c r="F70" s="940"/>
      <c r="G70" s="940"/>
      <c r="H70" s="936"/>
      <c r="I70" s="935">
        <v>32</v>
      </c>
      <c r="J70" s="935">
        <v>50</v>
      </c>
      <c r="K70" s="935">
        <v>40</v>
      </c>
      <c r="L70" s="936">
        <f t="shared" si="5"/>
        <v>80</v>
      </c>
    </row>
    <row r="71" spans="2:12" ht="18.75">
      <c r="B71" s="747"/>
      <c r="C71" s="1955" t="s">
        <v>1840</v>
      </c>
      <c r="D71" s="935" t="s">
        <v>1951</v>
      </c>
      <c r="E71" s="935">
        <v>17</v>
      </c>
      <c r="F71" s="935">
        <v>20</v>
      </c>
      <c r="G71" s="935">
        <v>17</v>
      </c>
      <c r="H71" s="936">
        <f t="shared" si="4"/>
        <v>106.25</v>
      </c>
      <c r="I71" s="935">
        <v>17</v>
      </c>
      <c r="J71" s="935">
        <v>20</v>
      </c>
      <c r="K71" s="935">
        <v>17</v>
      </c>
      <c r="L71" s="936">
        <f t="shared" si="5"/>
        <v>106.25</v>
      </c>
    </row>
    <row r="72" spans="2:12" ht="18.75">
      <c r="B72" s="747"/>
      <c r="C72" s="1955"/>
      <c r="D72" s="935" t="s">
        <v>1953</v>
      </c>
      <c r="E72" s="935">
        <v>16.5</v>
      </c>
      <c r="F72" s="935">
        <v>20</v>
      </c>
      <c r="G72" s="935">
        <v>16.5</v>
      </c>
      <c r="H72" s="936">
        <f t="shared" si="4"/>
        <v>103.125</v>
      </c>
      <c r="I72" s="935">
        <v>16.5</v>
      </c>
      <c r="J72" s="935">
        <v>20</v>
      </c>
      <c r="K72" s="935">
        <v>16.5</v>
      </c>
      <c r="L72" s="936">
        <f t="shared" si="5"/>
        <v>103.125</v>
      </c>
    </row>
    <row r="73" spans="2:12" ht="24">
      <c r="B73" s="747"/>
      <c r="C73" s="1955"/>
      <c r="D73" s="940" t="s">
        <v>1995</v>
      </c>
      <c r="E73" s="938"/>
      <c r="F73" s="938"/>
      <c r="G73" s="938"/>
      <c r="H73" s="936"/>
      <c r="I73" s="935">
        <v>35</v>
      </c>
      <c r="J73" s="935">
        <v>50</v>
      </c>
      <c r="K73" s="935">
        <v>35</v>
      </c>
      <c r="L73" s="936">
        <f t="shared" si="5"/>
        <v>87.5</v>
      </c>
    </row>
    <row r="74" spans="2:12" ht="18.75">
      <c r="B74" s="747"/>
      <c r="C74" s="1955" t="s">
        <v>1854</v>
      </c>
      <c r="D74" s="930" t="s">
        <v>1951</v>
      </c>
      <c r="E74" s="935">
        <v>15.7</v>
      </c>
      <c r="F74" s="935">
        <v>20</v>
      </c>
      <c r="G74" s="935">
        <v>15.7</v>
      </c>
      <c r="H74" s="936">
        <f t="shared" si="4"/>
        <v>98.125</v>
      </c>
      <c r="I74" s="935">
        <v>16.14</v>
      </c>
      <c r="J74" s="935">
        <v>20</v>
      </c>
      <c r="K74" s="935">
        <v>16.14</v>
      </c>
      <c r="L74" s="936">
        <f t="shared" si="5"/>
        <v>100.875</v>
      </c>
    </row>
    <row r="75" spans="2:12" ht="18.75">
      <c r="B75" s="747"/>
      <c r="C75" s="1955"/>
      <c r="D75" s="930" t="s">
        <v>1953</v>
      </c>
      <c r="E75" s="938">
        <v>44.51</v>
      </c>
      <c r="F75" s="940">
        <v>50</v>
      </c>
      <c r="G75" s="940">
        <v>44.51</v>
      </c>
      <c r="H75" s="936">
        <f t="shared" si="4"/>
        <v>111.27499999999999</v>
      </c>
      <c r="I75" s="935">
        <v>43.73</v>
      </c>
      <c r="J75" s="935">
        <v>50</v>
      </c>
      <c r="K75" s="935">
        <v>43.73</v>
      </c>
      <c r="L75" s="936">
        <f t="shared" si="5"/>
        <v>109.32499999999999</v>
      </c>
    </row>
    <row r="76" spans="2:12" ht="18.75">
      <c r="B76" s="747"/>
      <c r="C76" s="935" t="s">
        <v>1880</v>
      </c>
      <c r="D76" s="930" t="s">
        <v>1951</v>
      </c>
      <c r="E76" s="939"/>
      <c r="F76" s="939"/>
      <c r="G76" s="939"/>
      <c r="H76" s="936"/>
      <c r="I76" s="939">
        <v>36</v>
      </c>
      <c r="J76" s="939">
        <v>50</v>
      </c>
      <c r="K76" s="939">
        <v>36</v>
      </c>
      <c r="L76" s="936">
        <f t="shared" si="5"/>
        <v>90</v>
      </c>
    </row>
    <row r="77" spans="2:12" ht="18.75">
      <c r="B77" s="747"/>
      <c r="C77" s="935" t="s">
        <v>1194</v>
      </c>
      <c r="D77" s="930" t="s">
        <v>1954</v>
      </c>
      <c r="E77" s="942"/>
      <c r="F77" s="939"/>
      <c r="G77" s="942"/>
      <c r="H77" s="936"/>
      <c r="I77" s="939">
        <v>35</v>
      </c>
      <c r="J77" s="939">
        <v>50</v>
      </c>
      <c r="K77" s="939">
        <v>35</v>
      </c>
      <c r="L77" s="936">
        <f t="shared" si="5"/>
        <v>87.5</v>
      </c>
    </row>
    <row r="78" spans="2:12" ht="18.75">
      <c r="B78" s="747"/>
      <c r="C78" s="1955" t="s">
        <v>1892</v>
      </c>
      <c r="D78" s="930" t="s">
        <v>1951</v>
      </c>
      <c r="E78" s="939">
        <v>13</v>
      </c>
      <c r="F78" s="939">
        <v>20</v>
      </c>
      <c r="G78" s="939">
        <v>13</v>
      </c>
      <c r="H78" s="936">
        <f t="shared" ref="H78:H115" si="6">(E78/(F78*0.8))*100</f>
        <v>81.25</v>
      </c>
      <c r="I78" s="939">
        <v>16</v>
      </c>
      <c r="J78" s="939">
        <v>20</v>
      </c>
      <c r="K78" s="939">
        <v>16</v>
      </c>
      <c r="L78" s="936">
        <f t="shared" si="5"/>
        <v>100</v>
      </c>
    </row>
    <row r="79" spans="2:12" ht="18.75">
      <c r="B79" s="747"/>
      <c r="C79" s="1955"/>
      <c r="D79" s="930" t="s">
        <v>1953</v>
      </c>
      <c r="E79" s="939">
        <v>13</v>
      </c>
      <c r="F79" s="939">
        <v>20</v>
      </c>
      <c r="G79" s="939">
        <v>13</v>
      </c>
      <c r="H79" s="936">
        <f t="shared" si="6"/>
        <v>81.25</v>
      </c>
      <c r="I79" s="939">
        <v>16</v>
      </c>
      <c r="J79" s="939">
        <v>20</v>
      </c>
      <c r="K79" s="939">
        <v>16</v>
      </c>
      <c r="L79" s="936">
        <f t="shared" si="5"/>
        <v>100</v>
      </c>
    </row>
    <row r="80" spans="2:12" ht="18.75">
      <c r="B80" s="747"/>
      <c r="C80" s="1955" t="s">
        <v>1996</v>
      </c>
      <c r="D80" s="930" t="s">
        <v>1986</v>
      </c>
      <c r="E80" s="939"/>
      <c r="F80" s="939"/>
      <c r="G80" s="939"/>
      <c r="H80" s="936"/>
      <c r="I80" s="939">
        <v>32</v>
      </c>
      <c r="J80" s="939">
        <v>50</v>
      </c>
      <c r="K80" s="939">
        <v>32</v>
      </c>
      <c r="L80" s="936">
        <f t="shared" si="5"/>
        <v>80</v>
      </c>
    </row>
    <row r="81" spans="2:12" ht="18.75">
      <c r="B81" s="747"/>
      <c r="C81" s="1955"/>
      <c r="D81" s="930" t="s">
        <v>1987</v>
      </c>
      <c r="E81" s="939"/>
      <c r="F81" s="939"/>
      <c r="G81" s="939"/>
      <c r="H81" s="936"/>
      <c r="I81" s="939">
        <v>32</v>
      </c>
      <c r="J81" s="939">
        <v>50</v>
      </c>
      <c r="K81" s="939">
        <v>32</v>
      </c>
      <c r="L81" s="936">
        <f t="shared" si="5"/>
        <v>80</v>
      </c>
    </row>
    <row r="82" spans="2:12" ht="18.75">
      <c r="B82" s="747"/>
      <c r="C82" s="1955" t="s">
        <v>1899</v>
      </c>
      <c r="D82" s="930" t="s">
        <v>1951</v>
      </c>
      <c r="E82" s="945">
        <v>32</v>
      </c>
      <c r="F82" s="946">
        <v>50</v>
      </c>
      <c r="G82" s="946">
        <v>32</v>
      </c>
      <c r="H82" s="936">
        <f t="shared" si="6"/>
        <v>80</v>
      </c>
      <c r="I82" s="946">
        <v>35</v>
      </c>
      <c r="J82" s="946">
        <v>50</v>
      </c>
      <c r="K82" s="946">
        <v>35</v>
      </c>
      <c r="L82" s="936">
        <f t="shared" si="5"/>
        <v>87.5</v>
      </c>
    </row>
    <row r="83" spans="2:12" ht="18.75">
      <c r="B83" s="747"/>
      <c r="C83" s="1955"/>
      <c r="D83" s="930" t="s">
        <v>1953</v>
      </c>
      <c r="E83" s="945">
        <v>15</v>
      </c>
      <c r="F83" s="946">
        <v>20</v>
      </c>
      <c r="G83" s="946">
        <v>15</v>
      </c>
      <c r="H83" s="936">
        <f t="shared" si="6"/>
        <v>93.75</v>
      </c>
      <c r="I83" s="946">
        <v>17</v>
      </c>
      <c r="J83" s="946">
        <v>20</v>
      </c>
      <c r="K83" s="946">
        <v>17</v>
      </c>
      <c r="L83" s="936">
        <f t="shared" si="5"/>
        <v>106.25</v>
      </c>
    </row>
    <row r="84" spans="2:12" ht="18.75">
      <c r="B84" s="747"/>
      <c r="C84" s="1955"/>
      <c r="D84" s="930" t="s">
        <v>1954</v>
      </c>
      <c r="E84" s="945">
        <v>15</v>
      </c>
      <c r="F84" s="946">
        <v>20</v>
      </c>
      <c r="G84" s="946">
        <v>15</v>
      </c>
      <c r="H84" s="936">
        <f t="shared" si="6"/>
        <v>93.75</v>
      </c>
      <c r="I84" s="946">
        <v>17</v>
      </c>
      <c r="J84" s="946">
        <v>20</v>
      </c>
      <c r="K84" s="946">
        <v>17</v>
      </c>
      <c r="L84" s="936">
        <f t="shared" si="5"/>
        <v>106.25</v>
      </c>
    </row>
    <row r="85" spans="2:12" ht="18.75">
      <c r="B85" s="747"/>
      <c r="C85" s="1955" t="s">
        <v>1842</v>
      </c>
      <c r="D85" s="935" t="s">
        <v>1997</v>
      </c>
      <c r="E85" s="935">
        <v>14.5</v>
      </c>
      <c r="F85" s="935">
        <v>20</v>
      </c>
      <c r="G85" s="935">
        <v>14.5</v>
      </c>
      <c r="H85" s="936">
        <f t="shared" si="6"/>
        <v>90.625</v>
      </c>
      <c r="I85" s="935">
        <v>14.86</v>
      </c>
      <c r="J85" s="935">
        <v>20</v>
      </c>
      <c r="K85" s="935">
        <v>15</v>
      </c>
      <c r="L85" s="936">
        <f t="shared" si="5"/>
        <v>92.875</v>
      </c>
    </row>
    <row r="86" spans="2:12" ht="18.75">
      <c r="B86" s="747"/>
      <c r="C86" s="1955"/>
      <c r="D86" s="935" t="s">
        <v>1998</v>
      </c>
      <c r="E86" s="935">
        <v>14.5</v>
      </c>
      <c r="F86" s="935">
        <v>20</v>
      </c>
      <c r="G86" s="935">
        <v>14.5</v>
      </c>
      <c r="H86" s="936">
        <f t="shared" si="6"/>
        <v>90.625</v>
      </c>
      <c r="I86" s="935">
        <v>14.86</v>
      </c>
      <c r="J86" s="935">
        <v>20</v>
      </c>
      <c r="K86" s="935">
        <v>15</v>
      </c>
      <c r="L86" s="936">
        <f t="shared" si="5"/>
        <v>92.875</v>
      </c>
    </row>
    <row r="87" spans="2:12" ht="18.75">
      <c r="B87" s="747"/>
      <c r="C87" s="1955"/>
      <c r="D87" s="940" t="s">
        <v>1999</v>
      </c>
      <c r="E87" s="938"/>
      <c r="F87" s="940"/>
      <c r="G87" s="940"/>
      <c r="H87" s="936"/>
      <c r="I87" s="935">
        <v>14.86</v>
      </c>
      <c r="J87" s="935">
        <v>20</v>
      </c>
      <c r="K87" s="935">
        <v>15</v>
      </c>
      <c r="L87" s="936">
        <f t="shared" si="5"/>
        <v>92.875</v>
      </c>
    </row>
    <row r="88" spans="2:12" ht="18.75">
      <c r="B88" s="747"/>
      <c r="C88" s="1955" t="s">
        <v>1871</v>
      </c>
      <c r="D88" s="935" t="s">
        <v>1951</v>
      </c>
      <c r="E88" s="935">
        <v>35</v>
      </c>
      <c r="F88" s="935">
        <v>50</v>
      </c>
      <c r="G88" s="935">
        <v>31</v>
      </c>
      <c r="H88" s="936">
        <f t="shared" si="6"/>
        <v>87.5</v>
      </c>
      <c r="I88" s="935">
        <v>41</v>
      </c>
      <c r="J88" s="935">
        <v>50</v>
      </c>
      <c r="K88" s="935">
        <v>35</v>
      </c>
      <c r="L88" s="936">
        <f t="shared" si="5"/>
        <v>102.49999999999999</v>
      </c>
    </row>
    <row r="89" spans="2:12" ht="18.75">
      <c r="B89" s="747"/>
      <c r="C89" s="1955"/>
      <c r="D89" s="940" t="s">
        <v>2000</v>
      </c>
      <c r="E89" s="938">
        <v>16</v>
      </c>
      <c r="F89" s="938">
        <v>20</v>
      </c>
      <c r="G89" s="938">
        <v>12</v>
      </c>
      <c r="H89" s="936">
        <f t="shared" si="6"/>
        <v>100</v>
      </c>
      <c r="I89" s="935">
        <v>16</v>
      </c>
      <c r="J89" s="935">
        <v>20</v>
      </c>
      <c r="K89" s="935">
        <v>14</v>
      </c>
      <c r="L89" s="936">
        <f t="shared" si="5"/>
        <v>100</v>
      </c>
    </row>
    <row r="90" spans="2:12" ht="18.75">
      <c r="B90" s="747"/>
      <c r="C90" s="1955" t="s">
        <v>1855</v>
      </c>
      <c r="D90" s="930" t="s">
        <v>1951</v>
      </c>
      <c r="E90" s="935">
        <v>33</v>
      </c>
      <c r="F90" s="935">
        <v>50</v>
      </c>
      <c r="G90" s="935">
        <v>33</v>
      </c>
      <c r="H90" s="936">
        <f t="shared" si="6"/>
        <v>82.5</v>
      </c>
      <c r="I90" s="935"/>
      <c r="J90" s="935"/>
      <c r="K90" s="935"/>
      <c r="L90" s="936"/>
    </row>
    <row r="91" spans="2:12" ht="18.75">
      <c r="B91" s="747"/>
      <c r="C91" s="1955"/>
      <c r="D91" s="930" t="s">
        <v>1953</v>
      </c>
      <c r="E91" s="935">
        <v>33</v>
      </c>
      <c r="F91" s="935">
        <v>50</v>
      </c>
      <c r="G91" s="935">
        <v>33</v>
      </c>
      <c r="H91" s="936">
        <f t="shared" si="6"/>
        <v>82.5</v>
      </c>
      <c r="I91" s="935"/>
      <c r="J91" s="935"/>
      <c r="K91" s="935"/>
      <c r="L91" s="936"/>
    </row>
    <row r="92" spans="2:12" ht="18.75">
      <c r="B92" s="747"/>
      <c r="C92" s="1955"/>
      <c r="D92" s="930" t="s">
        <v>1954</v>
      </c>
      <c r="E92" s="935">
        <v>33</v>
      </c>
      <c r="F92" s="935">
        <v>50</v>
      </c>
      <c r="G92" s="935">
        <v>33</v>
      </c>
      <c r="H92" s="936">
        <f t="shared" si="6"/>
        <v>82.5</v>
      </c>
      <c r="I92" s="935"/>
      <c r="J92" s="935"/>
      <c r="K92" s="935"/>
      <c r="L92" s="936"/>
    </row>
    <row r="93" spans="2:12" ht="18.75">
      <c r="B93" s="747"/>
      <c r="C93" s="1955" t="s">
        <v>1887</v>
      </c>
      <c r="D93" s="930" t="s">
        <v>1951</v>
      </c>
      <c r="E93" s="939">
        <v>16.5</v>
      </c>
      <c r="F93" s="939">
        <v>20</v>
      </c>
      <c r="G93" s="939">
        <v>11</v>
      </c>
      <c r="H93" s="936">
        <f t="shared" si="6"/>
        <v>103.125</v>
      </c>
      <c r="I93" s="939">
        <v>16.5</v>
      </c>
      <c r="J93" s="939">
        <v>20</v>
      </c>
      <c r="K93" s="939">
        <v>12</v>
      </c>
      <c r="L93" s="936">
        <f t="shared" si="5"/>
        <v>103.125</v>
      </c>
    </row>
    <row r="94" spans="2:12" ht="18.75">
      <c r="B94" s="747"/>
      <c r="C94" s="1955"/>
      <c r="D94" s="930" t="s">
        <v>1953</v>
      </c>
      <c r="E94" s="939">
        <v>16.5</v>
      </c>
      <c r="F94" s="939">
        <v>20</v>
      </c>
      <c r="G94" s="939">
        <v>11</v>
      </c>
      <c r="H94" s="936">
        <f t="shared" si="6"/>
        <v>103.125</v>
      </c>
      <c r="I94" s="939">
        <v>16.5</v>
      </c>
      <c r="J94" s="939">
        <v>20</v>
      </c>
      <c r="K94" s="939">
        <v>12</v>
      </c>
      <c r="L94" s="936">
        <f t="shared" si="5"/>
        <v>103.125</v>
      </c>
    </row>
    <row r="95" spans="2:12" ht="18.75">
      <c r="B95" s="747"/>
      <c r="C95" s="1955"/>
      <c r="D95" s="930" t="s">
        <v>1954</v>
      </c>
      <c r="E95" s="939">
        <v>43</v>
      </c>
      <c r="F95" s="933">
        <v>50</v>
      </c>
      <c r="G95" s="933">
        <v>34</v>
      </c>
      <c r="H95" s="936">
        <f t="shared" si="6"/>
        <v>107.5</v>
      </c>
      <c r="I95" s="939">
        <v>43</v>
      </c>
      <c r="J95" s="939">
        <v>50</v>
      </c>
      <c r="K95" s="939">
        <v>34</v>
      </c>
      <c r="L95" s="936">
        <f t="shared" si="5"/>
        <v>107.5</v>
      </c>
    </row>
    <row r="96" spans="2:12" ht="18.75">
      <c r="B96" s="747"/>
      <c r="C96" s="1955" t="s">
        <v>1200</v>
      </c>
      <c r="D96" s="930" t="s">
        <v>1951</v>
      </c>
      <c r="E96" s="935">
        <v>35</v>
      </c>
      <c r="F96" s="935">
        <v>50</v>
      </c>
      <c r="G96" s="935">
        <v>27</v>
      </c>
      <c r="H96" s="936">
        <f t="shared" si="6"/>
        <v>87.5</v>
      </c>
      <c r="I96" s="935">
        <v>36</v>
      </c>
      <c r="J96" s="935">
        <v>50</v>
      </c>
      <c r="K96" s="935">
        <v>29</v>
      </c>
      <c r="L96" s="936">
        <f t="shared" si="5"/>
        <v>90</v>
      </c>
    </row>
    <row r="97" spans="2:12" ht="18.75">
      <c r="B97" s="747"/>
      <c r="C97" s="1955"/>
      <c r="D97" s="930" t="s">
        <v>1953</v>
      </c>
      <c r="E97" s="935">
        <v>32</v>
      </c>
      <c r="F97" s="935">
        <v>50</v>
      </c>
      <c r="G97" s="935">
        <v>25</v>
      </c>
      <c r="H97" s="936">
        <f t="shared" si="6"/>
        <v>80</v>
      </c>
      <c r="I97" s="935">
        <v>34</v>
      </c>
      <c r="J97" s="935">
        <v>50</v>
      </c>
      <c r="K97" s="935">
        <v>28</v>
      </c>
      <c r="L97" s="936">
        <f t="shared" si="5"/>
        <v>85</v>
      </c>
    </row>
    <row r="98" spans="2:12" ht="18.75">
      <c r="B98" s="747"/>
      <c r="C98" s="1955" t="s">
        <v>1841</v>
      </c>
      <c r="D98" s="930" t="s">
        <v>1951</v>
      </c>
      <c r="E98" s="935">
        <v>14.5</v>
      </c>
      <c r="F98" s="935">
        <v>20</v>
      </c>
      <c r="G98" s="935">
        <v>14.5</v>
      </c>
      <c r="H98" s="936">
        <f t="shared" si="6"/>
        <v>90.625</v>
      </c>
      <c r="I98" s="935">
        <v>16.5</v>
      </c>
      <c r="J98" s="935">
        <v>20</v>
      </c>
      <c r="K98" s="935">
        <v>16.5</v>
      </c>
      <c r="L98" s="936">
        <f t="shared" si="5"/>
        <v>103.125</v>
      </c>
    </row>
    <row r="99" spans="2:12" ht="18.75">
      <c r="B99" s="747"/>
      <c r="C99" s="1955"/>
      <c r="D99" s="930" t="s">
        <v>1953</v>
      </c>
      <c r="E99" s="935">
        <v>14.5</v>
      </c>
      <c r="F99" s="935">
        <v>20</v>
      </c>
      <c r="G99" s="935">
        <v>14.5</v>
      </c>
      <c r="H99" s="936">
        <f t="shared" si="6"/>
        <v>90.625</v>
      </c>
      <c r="I99" s="935">
        <v>16.5</v>
      </c>
      <c r="J99" s="935">
        <v>20</v>
      </c>
      <c r="K99" s="935">
        <v>16.5</v>
      </c>
      <c r="L99" s="936">
        <f t="shared" si="5"/>
        <v>103.125</v>
      </c>
    </row>
    <row r="100" spans="2:12" ht="18.75">
      <c r="B100" s="747"/>
      <c r="C100" s="1955"/>
      <c r="D100" s="930"/>
      <c r="E100" s="938"/>
      <c r="F100" s="940"/>
      <c r="G100" s="940"/>
      <c r="H100" s="936"/>
      <c r="I100" s="935">
        <v>36</v>
      </c>
      <c r="J100" s="935">
        <v>50</v>
      </c>
      <c r="K100" s="935">
        <v>36</v>
      </c>
      <c r="L100" s="936">
        <f t="shared" si="5"/>
        <v>90</v>
      </c>
    </row>
    <row r="101" spans="2:12" ht="18.75">
      <c r="B101" s="747"/>
      <c r="C101" s="935" t="s">
        <v>2001</v>
      </c>
      <c r="D101" s="930" t="s">
        <v>1951</v>
      </c>
      <c r="E101" s="939">
        <v>13</v>
      </c>
      <c r="F101" s="939">
        <v>20</v>
      </c>
      <c r="G101" s="939">
        <v>13</v>
      </c>
      <c r="H101" s="936">
        <f t="shared" si="6"/>
        <v>81.25</v>
      </c>
      <c r="I101" s="939"/>
      <c r="J101" s="939"/>
      <c r="K101" s="939"/>
      <c r="L101" s="936"/>
    </row>
    <row r="102" spans="2:12" ht="18.75">
      <c r="B102" s="747"/>
      <c r="C102" s="1955" t="s">
        <v>1847</v>
      </c>
      <c r="D102" s="939" t="s">
        <v>1951</v>
      </c>
      <c r="E102" s="939">
        <v>16</v>
      </c>
      <c r="F102" s="939">
        <v>20</v>
      </c>
      <c r="G102" s="939">
        <v>16</v>
      </c>
      <c r="H102" s="936">
        <f t="shared" si="6"/>
        <v>100</v>
      </c>
      <c r="I102" s="939"/>
      <c r="J102" s="939"/>
      <c r="K102" s="939"/>
      <c r="L102" s="936"/>
    </row>
    <row r="103" spans="2:12" ht="18.75">
      <c r="B103" s="747"/>
      <c r="C103" s="1955"/>
      <c r="D103" s="939" t="s">
        <v>1953</v>
      </c>
      <c r="E103" s="939">
        <v>40</v>
      </c>
      <c r="F103" s="939">
        <v>50</v>
      </c>
      <c r="G103" s="939">
        <v>40</v>
      </c>
      <c r="H103" s="936">
        <f t="shared" si="6"/>
        <v>100</v>
      </c>
      <c r="I103" s="939"/>
      <c r="J103" s="939"/>
      <c r="K103" s="939"/>
      <c r="L103" s="936"/>
    </row>
    <row r="104" spans="2:12" ht="18.75">
      <c r="B104" s="747"/>
      <c r="C104" s="1955" t="s">
        <v>1826</v>
      </c>
      <c r="D104" s="930" t="s">
        <v>1951</v>
      </c>
      <c r="E104" s="939">
        <v>16</v>
      </c>
      <c r="F104" s="939">
        <v>20</v>
      </c>
      <c r="G104" s="939">
        <v>12</v>
      </c>
      <c r="H104" s="936">
        <f t="shared" si="6"/>
        <v>100</v>
      </c>
      <c r="I104" s="939">
        <v>16</v>
      </c>
      <c r="J104" s="939">
        <v>20</v>
      </c>
      <c r="K104" s="939">
        <v>13</v>
      </c>
      <c r="L104" s="936">
        <f t="shared" si="5"/>
        <v>100</v>
      </c>
    </row>
    <row r="105" spans="2:12" ht="18.75">
      <c r="B105" s="747"/>
      <c r="C105" s="1955"/>
      <c r="D105" s="930" t="s">
        <v>1953</v>
      </c>
      <c r="E105" s="942">
        <v>16</v>
      </c>
      <c r="F105" s="934">
        <v>20</v>
      </c>
      <c r="G105" s="934">
        <v>12</v>
      </c>
      <c r="H105" s="936">
        <f t="shared" si="6"/>
        <v>100</v>
      </c>
      <c r="I105" s="939">
        <v>16</v>
      </c>
      <c r="J105" s="939">
        <v>20</v>
      </c>
      <c r="K105" s="939">
        <v>13</v>
      </c>
      <c r="L105" s="936">
        <f t="shared" si="5"/>
        <v>100</v>
      </c>
    </row>
    <row r="106" spans="2:12" ht="18.75">
      <c r="B106" s="747"/>
      <c r="C106" s="1955"/>
      <c r="D106" s="930" t="s">
        <v>1954</v>
      </c>
      <c r="E106" s="942">
        <v>40</v>
      </c>
      <c r="F106" s="939">
        <v>50</v>
      </c>
      <c r="G106" s="939">
        <v>24</v>
      </c>
      <c r="H106" s="936">
        <f t="shared" si="6"/>
        <v>100</v>
      </c>
      <c r="I106" s="939">
        <v>40</v>
      </c>
      <c r="J106" s="939">
        <v>50</v>
      </c>
      <c r="K106" s="939">
        <v>26</v>
      </c>
      <c r="L106" s="936">
        <f t="shared" si="5"/>
        <v>100</v>
      </c>
    </row>
    <row r="107" spans="2:12" ht="18.75">
      <c r="B107" s="747"/>
      <c r="C107" s="1955" t="s">
        <v>2002</v>
      </c>
      <c r="D107" s="939" t="s">
        <v>1951</v>
      </c>
      <c r="E107" s="939">
        <v>32</v>
      </c>
      <c r="F107" s="939">
        <v>50</v>
      </c>
      <c r="G107" s="939">
        <v>32</v>
      </c>
      <c r="H107" s="936">
        <f t="shared" si="6"/>
        <v>80</v>
      </c>
      <c r="I107" s="939"/>
      <c r="J107" s="939"/>
      <c r="K107" s="939"/>
      <c r="L107" s="936"/>
    </row>
    <row r="108" spans="2:12" ht="18.75">
      <c r="B108" s="747"/>
      <c r="C108" s="1955"/>
      <c r="D108" s="939" t="s">
        <v>1953</v>
      </c>
      <c r="E108" s="939">
        <v>13</v>
      </c>
      <c r="F108" s="939">
        <v>20</v>
      </c>
      <c r="G108" s="939">
        <v>13</v>
      </c>
      <c r="H108" s="936">
        <f t="shared" si="6"/>
        <v>81.25</v>
      </c>
      <c r="I108" s="939"/>
      <c r="J108" s="939"/>
      <c r="K108" s="939"/>
      <c r="L108" s="936"/>
    </row>
    <row r="109" spans="2:12" ht="18.75">
      <c r="B109" s="747"/>
      <c r="C109" s="1955" t="s">
        <v>2003</v>
      </c>
      <c r="D109" s="939" t="s">
        <v>1951</v>
      </c>
      <c r="E109" s="935">
        <v>15</v>
      </c>
      <c r="F109" s="935">
        <v>20</v>
      </c>
      <c r="G109" s="935">
        <v>14.5</v>
      </c>
      <c r="H109" s="936">
        <f t="shared" si="6"/>
        <v>93.75</v>
      </c>
      <c r="I109" s="935"/>
      <c r="J109" s="935"/>
      <c r="K109" s="935"/>
      <c r="L109" s="936"/>
    </row>
    <row r="110" spans="2:12" ht="18.75">
      <c r="B110" s="747"/>
      <c r="C110" s="1955"/>
      <c r="D110" s="939" t="s">
        <v>1953</v>
      </c>
      <c r="E110" s="935">
        <v>36.700000000000003</v>
      </c>
      <c r="F110" s="935">
        <v>50</v>
      </c>
      <c r="G110" s="935">
        <v>36.700000000000003</v>
      </c>
      <c r="H110" s="936">
        <f t="shared" si="6"/>
        <v>91.750000000000014</v>
      </c>
      <c r="I110" s="935">
        <v>39</v>
      </c>
      <c r="J110" s="935">
        <v>50</v>
      </c>
      <c r="K110" s="935">
        <v>39</v>
      </c>
      <c r="L110" s="936">
        <f t="shared" si="5"/>
        <v>97.5</v>
      </c>
    </row>
    <row r="111" spans="2:12" ht="18.75">
      <c r="B111" s="747"/>
      <c r="C111" s="1955" t="s">
        <v>2004</v>
      </c>
      <c r="D111" s="930" t="s">
        <v>1951</v>
      </c>
      <c r="E111" s="935">
        <v>16</v>
      </c>
      <c r="F111" s="935">
        <v>20</v>
      </c>
      <c r="G111" s="935">
        <v>8</v>
      </c>
      <c r="H111" s="936">
        <f t="shared" si="6"/>
        <v>100</v>
      </c>
      <c r="I111" s="935">
        <v>13</v>
      </c>
      <c r="J111" s="935">
        <v>20</v>
      </c>
      <c r="K111" s="935">
        <v>8</v>
      </c>
      <c r="L111" s="936">
        <f t="shared" si="5"/>
        <v>81.25</v>
      </c>
    </row>
    <row r="112" spans="2:12" ht="18.75">
      <c r="B112" s="747"/>
      <c r="C112" s="1955"/>
      <c r="D112" s="930" t="s">
        <v>1953</v>
      </c>
      <c r="E112" s="938">
        <v>16</v>
      </c>
      <c r="F112" s="940">
        <v>20</v>
      </c>
      <c r="G112" s="940">
        <v>8</v>
      </c>
      <c r="H112" s="936">
        <f t="shared" si="6"/>
        <v>100</v>
      </c>
      <c r="I112" s="935">
        <v>13</v>
      </c>
      <c r="J112" s="935">
        <v>20</v>
      </c>
      <c r="K112" s="935">
        <v>8</v>
      </c>
      <c r="L112" s="936">
        <f t="shared" si="5"/>
        <v>81.25</v>
      </c>
    </row>
    <row r="113" spans="2:12" ht="18.75">
      <c r="B113" s="747"/>
      <c r="C113" s="1955"/>
      <c r="D113" s="930" t="s">
        <v>1954</v>
      </c>
      <c r="E113" s="938">
        <v>38</v>
      </c>
      <c r="F113" s="935">
        <v>50</v>
      </c>
      <c r="G113" s="935">
        <v>20</v>
      </c>
      <c r="H113" s="936">
        <f t="shared" si="6"/>
        <v>95</v>
      </c>
      <c r="I113" s="935"/>
      <c r="J113" s="935"/>
      <c r="K113" s="935"/>
      <c r="L113" s="936"/>
    </row>
    <row r="114" spans="2:12" ht="18.75">
      <c r="B114" s="747"/>
      <c r="C114" s="1955" t="s">
        <v>2005</v>
      </c>
      <c r="D114" s="939" t="s">
        <v>1951</v>
      </c>
      <c r="E114" s="939">
        <v>16</v>
      </c>
      <c r="F114" s="939">
        <v>20</v>
      </c>
      <c r="G114" s="939">
        <v>16</v>
      </c>
      <c r="H114" s="936">
        <f t="shared" si="6"/>
        <v>100</v>
      </c>
      <c r="I114" s="939">
        <v>15</v>
      </c>
      <c r="J114" s="939">
        <v>20</v>
      </c>
      <c r="K114" s="939">
        <v>16</v>
      </c>
      <c r="L114" s="936">
        <f t="shared" ref="L114:L120" si="7">(I114/(J114*0.8))*100</f>
        <v>93.75</v>
      </c>
    </row>
    <row r="115" spans="2:12" ht="18.75">
      <c r="B115" s="747"/>
      <c r="C115" s="1955"/>
      <c r="D115" s="939" t="s">
        <v>1953</v>
      </c>
      <c r="E115" s="939">
        <v>16</v>
      </c>
      <c r="F115" s="939">
        <v>20</v>
      </c>
      <c r="G115" s="939">
        <v>16</v>
      </c>
      <c r="H115" s="936">
        <f t="shared" si="6"/>
        <v>100</v>
      </c>
      <c r="I115" s="939">
        <v>15</v>
      </c>
      <c r="J115" s="939">
        <v>20</v>
      </c>
      <c r="K115" s="939">
        <v>16</v>
      </c>
      <c r="L115" s="936">
        <f t="shared" si="7"/>
        <v>93.75</v>
      </c>
    </row>
    <row r="116" spans="2:12" ht="18.75">
      <c r="B116" s="747"/>
      <c r="C116" s="1955" t="s">
        <v>2006</v>
      </c>
      <c r="D116" s="939" t="s">
        <v>1951</v>
      </c>
      <c r="E116" s="939"/>
      <c r="F116" s="939"/>
      <c r="G116" s="939"/>
      <c r="H116" s="936"/>
      <c r="I116" s="939">
        <v>40</v>
      </c>
      <c r="J116" s="939">
        <v>50</v>
      </c>
      <c r="K116" s="939">
        <v>8</v>
      </c>
      <c r="L116" s="936">
        <f t="shared" si="7"/>
        <v>100</v>
      </c>
    </row>
    <row r="117" spans="2:12" ht="18.75">
      <c r="B117" s="747"/>
      <c r="C117" s="1955"/>
      <c r="D117" s="939" t="s">
        <v>1953</v>
      </c>
      <c r="E117" s="942"/>
      <c r="F117" s="934"/>
      <c r="G117" s="934"/>
      <c r="H117" s="936"/>
      <c r="I117" s="939">
        <v>40</v>
      </c>
      <c r="J117" s="939">
        <v>50</v>
      </c>
      <c r="K117" s="939">
        <v>8</v>
      </c>
      <c r="L117" s="936">
        <f t="shared" si="7"/>
        <v>100</v>
      </c>
    </row>
    <row r="118" spans="2:12" ht="18.75">
      <c r="B118" s="747"/>
      <c r="C118" s="935" t="s">
        <v>1846</v>
      </c>
      <c r="D118" s="939" t="s">
        <v>1951</v>
      </c>
      <c r="E118" s="939"/>
      <c r="F118" s="939"/>
      <c r="G118" s="939"/>
      <c r="H118" s="936"/>
      <c r="I118" s="939">
        <v>15</v>
      </c>
      <c r="J118" s="939">
        <v>20</v>
      </c>
      <c r="K118" s="939">
        <v>15</v>
      </c>
      <c r="L118" s="936">
        <f t="shared" si="7"/>
        <v>93.75</v>
      </c>
    </row>
    <row r="119" spans="2:12" ht="18.75">
      <c r="B119" s="747"/>
      <c r="C119" s="1955" t="s">
        <v>1845</v>
      </c>
      <c r="D119" s="939" t="s">
        <v>2007</v>
      </c>
      <c r="E119" s="939">
        <v>15.5</v>
      </c>
      <c r="F119" s="939">
        <v>20</v>
      </c>
      <c r="G119" s="939">
        <v>15.5</v>
      </c>
      <c r="H119" s="936">
        <f t="shared" ref="H119" si="8">(E119/(F119*0.8))*100</f>
        <v>96.875</v>
      </c>
      <c r="I119" s="939">
        <v>16.5</v>
      </c>
      <c r="J119" s="939">
        <v>20</v>
      </c>
      <c r="K119" s="939">
        <v>16.5</v>
      </c>
      <c r="L119" s="936">
        <f t="shared" si="7"/>
        <v>103.125</v>
      </c>
    </row>
    <row r="120" spans="2:12" ht="18.75">
      <c r="B120" s="747"/>
      <c r="C120" s="1955"/>
      <c r="D120" s="939" t="s">
        <v>2008</v>
      </c>
      <c r="E120" s="939"/>
      <c r="F120" s="939"/>
      <c r="G120" s="939"/>
      <c r="H120" s="936"/>
      <c r="I120" s="939">
        <v>16</v>
      </c>
      <c r="J120" s="939">
        <v>20</v>
      </c>
      <c r="K120" s="939">
        <v>16</v>
      </c>
      <c r="L120" s="936">
        <f t="shared" si="7"/>
        <v>100</v>
      </c>
    </row>
    <row r="121" spans="2:12" ht="18.75">
      <c r="B121" s="747"/>
      <c r="C121" s="1958" t="s">
        <v>1956</v>
      </c>
      <c r="D121" s="939" t="s">
        <v>1957</v>
      </c>
      <c r="E121" s="939">
        <v>40</v>
      </c>
      <c r="F121" s="939">
        <v>50</v>
      </c>
      <c r="G121" s="939">
        <v>33</v>
      </c>
      <c r="H121" s="941">
        <f>(E121/(F121*0.8))*100</f>
        <v>100</v>
      </c>
      <c r="I121" s="939">
        <v>40</v>
      </c>
      <c r="J121" s="939">
        <v>50</v>
      </c>
      <c r="K121" s="939">
        <v>33</v>
      </c>
      <c r="L121" s="941">
        <f>(I121/(J121*0.8))*100</f>
        <v>100</v>
      </c>
    </row>
    <row r="122" spans="2:12" ht="18.75">
      <c r="B122" s="747"/>
      <c r="C122" s="1958"/>
      <c r="D122" s="939" t="s">
        <v>1958</v>
      </c>
      <c r="E122" s="939">
        <v>40</v>
      </c>
      <c r="F122" s="939">
        <v>50</v>
      </c>
      <c r="G122" s="934">
        <v>33</v>
      </c>
      <c r="H122" s="941">
        <f t="shared" ref="H122:H146" si="9">(E122/(F122*0.8))*100</f>
        <v>100</v>
      </c>
      <c r="I122" s="939">
        <v>40</v>
      </c>
      <c r="J122" s="939">
        <v>50</v>
      </c>
      <c r="K122" s="934">
        <v>33</v>
      </c>
      <c r="L122" s="941">
        <f t="shared" ref="L122:L123" si="10">(I122/(J122*0.8))*100</f>
        <v>100</v>
      </c>
    </row>
    <row r="123" spans="2:12" ht="18.75">
      <c r="B123" s="747"/>
      <c r="C123" s="1958"/>
      <c r="D123" s="939" t="s">
        <v>1959</v>
      </c>
      <c r="E123" s="939">
        <v>40</v>
      </c>
      <c r="F123" s="939">
        <v>50</v>
      </c>
      <c r="G123" s="939">
        <v>33</v>
      </c>
      <c r="H123" s="941">
        <f t="shared" si="9"/>
        <v>100</v>
      </c>
      <c r="I123" s="939">
        <v>40</v>
      </c>
      <c r="J123" s="939">
        <v>50</v>
      </c>
      <c r="K123" s="939">
        <v>33</v>
      </c>
      <c r="L123" s="941">
        <f t="shared" si="10"/>
        <v>100</v>
      </c>
    </row>
    <row r="124" spans="2:12" ht="18.75">
      <c r="B124" s="747"/>
      <c r="C124" s="1955" t="s">
        <v>2009</v>
      </c>
      <c r="D124" s="930" t="s">
        <v>2010</v>
      </c>
      <c r="E124" s="935">
        <v>15</v>
      </c>
      <c r="F124" s="935">
        <v>20</v>
      </c>
      <c r="G124" s="935"/>
      <c r="H124" s="941">
        <f t="shared" si="9"/>
        <v>93.75</v>
      </c>
      <c r="I124" s="935"/>
      <c r="J124" s="935"/>
      <c r="K124" s="935"/>
      <c r="L124" s="936"/>
    </row>
    <row r="125" spans="2:12" ht="18.75">
      <c r="B125" s="747"/>
      <c r="C125" s="1955"/>
      <c r="D125" s="934" t="s">
        <v>2011</v>
      </c>
      <c r="E125" s="942">
        <v>15</v>
      </c>
      <c r="F125" s="935">
        <v>20</v>
      </c>
      <c r="G125" s="935"/>
      <c r="H125" s="941">
        <f t="shared" si="9"/>
        <v>93.75</v>
      </c>
      <c r="I125" s="935">
        <v>14</v>
      </c>
      <c r="J125" s="935">
        <v>20</v>
      </c>
      <c r="K125" s="935"/>
      <c r="L125" s="936">
        <f t="shared" ref="L125:L187" si="11">(I125/(J125*0.8))*100</f>
        <v>87.5</v>
      </c>
    </row>
    <row r="126" spans="2:12" ht="18.75">
      <c r="B126" s="747"/>
      <c r="C126" s="1955"/>
      <c r="D126" s="934" t="s">
        <v>2012</v>
      </c>
      <c r="E126" s="942">
        <v>15</v>
      </c>
      <c r="F126" s="935">
        <v>20</v>
      </c>
      <c r="G126" s="935"/>
      <c r="H126" s="941">
        <f t="shared" si="9"/>
        <v>93.75</v>
      </c>
      <c r="I126" s="935">
        <v>14</v>
      </c>
      <c r="J126" s="935">
        <v>20</v>
      </c>
      <c r="K126" s="935"/>
      <c r="L126" s="936">
        <f t="shared" si="11"/>
        <v>87.5</v>
      </c>
    </row>
    <row r="127" spans="2:12" ht="18.75">
      <c r="B127" s="747"/>
      <c r="C127" s="1957" t="s">
        <v>1903</v>
      </c>
      <c r="D127" s="935" t="s">
        <v>2013</v>
      </c>
      <c r="E127" s="935">
        <v>16</v>
      </c>
      <c r="F127" s="935">
        <v>20</v>
      </c>
      <c r="G127" s="935">
        <v>8</v>
      </c>
      <c r="H127" s="941">
        <f t="shared" si="9"/>
        <v>100</v>
      </c>
      <c r="I127" s="935">
        <v>16</v>
      </c>
      <c r="J127" s="935">
        <v>20</v>
      </c>
      <c r="K127" s="935">
        <v>11</v>
      </c>
      <c r="L127" s="936">
        <f t="shared" si="11"/>
        <v>100</v>
      </c>
    </row>
    <row r="128" spans="2:12" ht="18.75">
      <c r="B128" s="747"/>
      <c r="C128" s="1957"/>
      <c r="D128" s="935" t="s">
        <v>2014</v>
      </c>
      <c r="E128" s="935">
        <v>16</v>
      </c>
      <c r="F128" s="935">
        <v>20</v>
      </c>
      <c r="G128" s="935">
        <v>8</v>
      </c>
      <c r="H128" s="941">
        <f t="shared" si="9"/>
        <v>100</v>
      </c>
      <c r="I128" s="935">
        <v>16</v>
      </c>
      <c r="J128" s="935">
        <v>20</v>
      </c>
      <c r="K128" s="935">
        <v>11</v>
      </c>
      <c r="L128" s="936">
        <f t="shared" si="11"/>
        <v>100</v>
      </c>
    </row>
    <row r="129" spans="2:12" ht="18.75">
      <c r="B129" s="747"/>
      <c r="C129" s="1955" t="s">
        <v>1196</v>
      </c>
      <c r="D129" s="930" t="s">
        <v>1953</v>
      </c>
      <c r="E129" s="935">
        <v>32</v>
      </c>
      <c r="F129" s="935">
        <v>50</v>
      </c>
      <c r="G129" s="935">
        <v>19.5</v>
      </c>
      <c r="H129" s="941">
        <f t="shared" si="9"/>
        <v>80</v>
      </c>
      <c r="I129" s="935"/>
      <c r="J129" s="935"/>
      <c r="K129" s="935"/>
      <c r="L129" s="936"/>
    </row>
    <row r="130" spans="2:12" ht="18.75">
      <c r="B130" s="747"/>
      <c r="C130" s="1955"/>
      <c r="D130" s="930" t="s">
        <v>1954</v>
      </c>
      <c r="E130" s="935">
        <v>32.5</v>
      </c>
      <c r="F130" s="935">
        <v>50</v>
      </c>
      <c r="G130" s="935">
        <v>20</v>
      </c>
      <c r="H130" s="941">
        <f t="shared" si="9"/>
        <v>81.25</v>
      </c>
      <c r="I130" s="935">
        <v>32</v>
      </c>
      <c r="J130" s="935">
        <v>50</v>
      </c>
      <c r="K130" s="935">
        <v>21.5</v>
      </c>
      <c r="L130" s="936">
        <f t="shared" si="11"/>
        <v>80</v>
      </c>
    </row>
    <row r="131" spans="2:12" ht="18.75">
      <c r="B131" s="747"/>
      <c r="C131" s="1955" t="s">
        <v>1861</v>
      </c>
      <c r="D131" s="939" t="s">
        <v>1973</v>
      </c>
      <c r="E131" s="935"/>
      <c r="F131" s="935"/>
      <c r="G131" s="935"/>
      <c r="H131" s="941"/>
      <c r="I131" s="935">
        <v>13</v>
      </c>
      <c r="J131" s="935">
        <v>20</v>
      </c>
      <c r="K131" s="935">
        <v>13</v>
      </c>
      <c r="L131" s="936">
        <f t="shared" si="11"/>
        <v>81.25</v>
      </c>
    </row>
    <row r="132" spans="2:12" ht="18.75">
      <c r="B132" s="747"/>
      <c r="C132" s="1955"/>
      <c r="D132" s="939" t="s">
        <v>1974</v>
      </c>
      <c r="E132" s="935"/>
      <c r="F132" s="935"/>
      <c r="G132" s="935"/>
      <c r="H132" s="941"/>
      <c r="I132" s="935">
        <v>13</v>
      </c>
      <c r="J132" s="935">
        <v>20</v>
      </c>
      <c r="K132" s="935">
        <v>13</v>
      </c>
      <c r="L132" s="936">
        <f t="shared" si="11"/>
        <v>81.25</v>
      </c>
    </row>
    <row r="133" spans="2:12" ht="18.75">
      <c r="B133" s="747"/>
      <c r="C133" s="1955"/>
      <c r="D133" s="939" t="s">
        <v>1976</v>
      </c>
      <c r="E133" s="942"/>
      <c r="F133" s="934"/>
      <c r="G133" s="934"/>
      <c r="H133" s="941"/>
      <c r="I133" s="935">
        <v>13</v>
      </c>
      <c r="J133" s="935">
        <v>20</v>
      </c>
      <c r="K133" s="935">
        <v>13</v>
      </c>
      <c r="L133" s="936">
        <f t="shared" si="11"/>
        <v>81.25</v>
      </c>
    </row>
    <row r="134" spans="2:12" ht="18.75">
      <c r="B134" s="747"/>
      <c r="C134" s="1955"/>
      <c r="D134" s="939" t="s">
        <v>1978</v>
      </c>
      <c r="E134" s="942">
        <v>33</v>
      </c>
      <c r="F134" s="935">
        <v>50</v>
      </c>
      <c r="G134" s="935">
        <v>33</v>
      </c>
      <c r="H134" s="941">
        <f t="shared" si="9"/>
        <v>82.5</v>
      </c>
      <c r="I134" s="935">
        <v>33</v>
      </c>
      <c r="J134" s="935">
        <v>50</v>
      </c>
      <c r="K134" s="935">
        <v>33</v>
      </c>
      <c r="L134" s="936">
        <f t="shared" si="11"/>
        <v>82.5</v>
      </c>
    </row>
    <row r="135" spans="2:12" ht="24">
      <c r="B135" s="747"/>
      <c r="C135" s="1955" t="s">
        <v>2015</v>
      </c>
      <c r="D135" s="930" t="s">
        <v>2016</v>
      </c>
      <c r="E135" s="935">
        <v>18.7</v>
      </c>
      <c r="F135" s="935">
        <v>20</v>
      </c>
      <c r="G135" s="935">
        <v>10</v>
      </c>
      <c r="H135" s="941">
        <f>(E135/(F135*0.8))*100</f>
        <v>116.875</v>
      </c>
      <c r="I135" s="935">
        <v>17.2</v>
      </c>
      <c r="J135" s="935">
        <v>20</v>
      </c>
      <c r="K135" s="935">
        <v>9</v>
      </c>
      <c r="L135" s="936">
        <f t="shared" si="11"/>
        <v>107.5</v>
      </c>
    </row>
    <row r="136" spans="2:12" ht="24">
      <c r="B136" s="747"/>
      <c r="C136" s="1955"/>
      <c r="D136" s="930" t="s">
        <v>2017</v>
      </c>
      <c r="E136" s="935">
        <v>14.7</v>
      </c>
      <c r="F136" s="935">
        <v>20</v>
      </c>
      <c r="G136" s="935">
        <v>10</v>
      </c>
      <c r="H136" s="941">
        <f t="shared" ref="H136:H137" si="12">(E136/(F136*0.8))*100</f>
        <v>91.875</v>
      </c>
      <c r="I136" s="935"/>
      <c r="J136" s="935"/>
      <c r="K136" s="935"/>
      <c r="L136" s="936"/>
    </row>
    <row r="137" spans="2:12" ht="24">
      <c r="B137" s="747"/>
      <c r="C137" s="1955"/>
      <c r="D137" s="934" t="s">
        <v>2018</v>
      </c>
      <c r="E137" s="942">
        <v>40.9</v>
      </c>
      <c r="F137" s="934">
        <v>50</v>
      </c>
      <c r="G137" s="935">
        <v>25</v>
      </c>
      <c r="H137" s="941">
        <f t="shared" si="12"/>
        <v>102.25</v>
      </c>
      <c r="I137" s="935">
        <v>44</v>
      </c>
      <c r="J137" s="935">
        <v>50</v>
      </c>
      <c r="K137" s="935">
        <v>20</v>
      </c>
      <c r="L137" s="936">
        <f t="shared" si="11"/>
        <v>110.00000000000001</v>
      </c>
    </row>
    <row r="138" spans="2:12" ht="18.75">
      <c r="B138" s="747"/>
      <c r="C138" s="1955" t="s">
        <v>2019</v>
      </c>
      <c r="D138" s="939" t="s">
        <v>1973</v>
      </c>
      <c r="E138" s="939">
        <v>38</v>
      </c>
      <c r="F138" s="939">
        <v>50</v>
      </c>
      <c r="G138" s="939">
        <v>40</v>
      </c>
      <c r="H138" s="941">
        <f t="shared" si="9"/>
        <v>95</v>
      </c>
      <c r="I138" s="941">
        <v>37</v>
      </c>
      <c r="J138" s="941">
        <v>50</v>
      </c>
      <c r="K138" s="941">
        <v>40</v>
      </c>
      <c r="L138" s="936">
        <f t="shared" si="11"/>
        <v>92.5</v>
      </c>
    </row>
    <row r="139" spans="2:12" ht="18.75">
      <c r="B139" s="747"/>
      <c r="C139" s="1955"/>
      <c r="D139" s="939" t="s">
        <v>1974</v>
      </c>
      <c r="E139" s="939">
        <v>38</v>
      </c>
      <c r="F139" s="939">
        <v>50</v>
      </c>
      <c r="G139" s="939">
        <v>40</v>
      </c>
      <c r="H139" s="941">
        <f t="shared" si="9"/>
        <v>95</v>
      </c>
      <c r="I139" s="941">
        <v>37</v>
      </c>
      <c r="J139" s="941">
        <v>50</v>
      </c>
      <c r="K139" s="941">
        <v>40</v>
      </c>
      <c r="L139" s="936">
        <f t="shared" si="11"/>
        <v>92.5</v>
      </c>
    </row>
    <row r="140" spans="2:12" ht="18.75">
      <c r="B140" s="747"/>
      <c r="C140" s="1955"/>
      <c r="D140" s="939" t="s">
        <v>1976</v>
      </c>
      <c r="E140" s="942">
        <v>38</v>
      </c>
      <c r="F140" s="939">
        <v>50</v>
      </c>
      <c r="G140" s="939">
        <v>40</v>
      </c>
      <c r="H140" s="941">
        <f t="shared" si="9"/>
        <v>95</v>
      </c>
      <c r="I140" s="939">
        <v>35</v>
      </c>
      <c r="J140" s="939">
        <v>50</v>
      </c>
      <c r="K140" s="939">
        <v>40</v>
      </c>
      <c r="L140" s="936">
        <f t="shared" si="11"/>
        <v>87.5</v>
      </c>
    </row>
    <row r="141" spans="2:12" ht="18.75">
      <c r="B141" s="747"/>
      <c r="C141" s="1955"/>
      <c r="D141" s="939" t="s">
        <v>1978</v>
      </c>
      <c r="E141" s="942">
        <v>38</v>
      </c>
      <c r="F141" s="939">
        <v>50</v>
      </c>
      <c r="G141" s="939">
        <v>40</v>
      </c>
      <c r="H141" s="941">
        <f t="shared" si="9"/>
        <v>95</v>
      </c>
      <c r="I141" s="939">
        <v>37</v>
      </c>
      <c r="J141" s="939">
        <v>50</v>
      </c>
      <c r="K141" s="939">
        <v>40</v>
      </c>
      <c r="L141" s="936">
        <f t="shared" si="11"/>
        <v>92.5</v>
      </c>
    </row>
    <row r="142" spans="2:12" ht="18.75">
      <c r="B142" s="747"/>
      <c r="C142" s="1955" t="s">
        <v>1911</v>
      </c>
      <c r="D142" s="947" t="s">
        <v>2020</v>
      </c>
      <c r="E142" s="947">
        <v>38</v>
      </c>
      <c r="F142" s="947">
        <v>50</v>
      </c>
      <c r="G142" s="947">
        <v>25</v>
      </c>
      <c r="H142" s="941">
        <f t="shared" si="9"/>
        <v>95</v>
      </c>
      <c r="I142" s="947"/>
      <c r="J142" s="947"/>
      <c r="K142" s="947"/>
      <c r="L142" s="936"/>
    </row>
    <row r="143" spans="2:12" ht="18.75">
      <c r="B143" s="747"/>
      <c r="C143" s="1955"/>
      <c r="D143" s="947" t="s">
        <v>2021</v>
      </c>
      <c r="E143" s="948">
        <v>15</v>
      </c>
      <c r="F143" s="949">
        <v>20</v>
      </c>
      <c r="G143" s="949">
        <v>9</v>
      </c>
      <c r="H143" s="941">
        <f t="shared" si="9"/>
        <v>93.75</v>
      </c>
      <c r="I143" s="947"/>
      <c r="J143" s="947"/>
      <c r="K143" s="947"/>
      <c r="L143" s="936"/>
    </row>
    <row r="144" spans="2:12" ht="18.75">
      <c r="B144" s="747"/>
      <c r="C144" s="1955" t="s">
        <v>1907</v>
      </c>
      <c r="D144" s="935" t="s">
        <v>1992</v>
      </c>
      <c r="E144" s="935"/>
      <c r="F144" s="935"/>
      <c r="G144" s="935"/>
      <c r="H144" s="941"/>
      <c r="I144" s="935"/>
      <c r="J144" s="935"/>
      <c r="K144" s="935"/>
      <c r="L144" s="936"/>
    </row>
    <row r="145" spans="2:12" ht="18.75">
      <c r="B145" s="747"/>
      <c r="C145" s="1955"/>
      <c r="D145" s="935" t="s">
        <v>2022</v>
      </c>
      <c r="E145" s="935">
        <v>40</v>
      </c>
      <c r="F145" s="935">
        <v>50</v>
      </c>
      <c r="G145" s="935"/>
      <c r="H145" s="941">
        <f t="shared" si="9"/>
        <v>100</v>
      </c>
      <c r="I145" s="935">
        <v>40</v>
      </c>
      <c r="J145" s="935">
        <v>50</v>
      </c>
      <c r="K145" s="935"/>
      <c r="L145" s="936">
        <f t="shared" si="11"/>
        <v>100</v>
      </c>
    </row>
    <row r="146" spans="2:12" ht="18.75">
      <c r="B146" s="747"/>
      <c r="C146" s="1955"/>
      <c r="D146" s="935" t="s">
        <v>2023</v>
      </c>
      <c r="E146" s="942">
        <v>40</v>
      </c>
      <c r="F146" s="934">
        <v>50</v>
      </c>
      <c r="G146" s="934"/>
      <c r="H146" s="941">
        <f t="shared" si="9"/>
        <v>100</v>
      </c>
      <c r="I146" s="935">
        <v>40</v>
      </c>
      <c r="J146" s="934">
        <v>50</v>
      </c>
      <c r="K146" s="935"/>
      <c r="L146" s="936">
        <f t="shared" si="11"/>
        <v>100</v>
      </c>
    </row>
    <row r="147" spans="2:12" ht="18.75">
      <c r="B147" s="747"/>
      <c r="C147" s="935" t="s">
        <v>1864</v>
      </c>
      <c r="D147" s="939" t="s">
        <v>2024</v>
      </c>
      <c r="E147" s="939">
        <v>40</v>
      </c>
      <c r="F147" s="939">
        <v>50</v>
      </c>
      <c r="G147" s="939">
        <v>40</v>
      </c>
      <c r="H147" s="939">
        <f>(E147/(F147*0.8))*100</f>
        <v>100</v>
      </c>
      <c r="I147" s="939">
        <v>41</v>
      </c>
      <c r="J147" s="941">
        <v>50</v>
      </c>
      <c r="K147" s="939">
        <v>41</v>
      </c>
      <c r="L147" s="939">
        <f>(I147/(J147*0.8))*100</f>
        <v>102.49999999999999</v>
      </c>
    </row>
    <row r="148" spans="2:12" ht="18.75">
      <c r="B148" s="747"/>
      <c r="C148" s="935" t="s">
        <v>1863</v>
      </c>
      <c r="D148" s="933" t="s">
        <v>1961</v>
      </c>
      <c r="E148" s="933"/>
      <c r="F148" s="933"/>
      <c r="G148" s="933"/>
      <c r="H148" s="941"/>
      <c r="I148" s="933">
        <v>14</v>
      </c>
      <c r="J148" s="933">
        <v>20</v>
      </c>
      <c r="K148" s="933">
        <v>12</v>
      </c>
      <c r="L148" s="936">
        <f t="shared" si="11"/>
        <v>87.5</v>
      </c>
    </row>
    <row r="149" spans="2:12" ht="18.75">
      <c r="B149" s="747"/>
      <c r="C149" s="935" t="s">
        <v>1204</v>
      </c>
      <c r="D149" s="935" t="s">
        <v>1973</v>
      </c>
      <c r="E149" s="935"/>
      <c r="F149" s="935"/>
      <c r="G149" s="935"/>
      <c r="H149" s="941"/>
      <c r="I149" s="935">
        <v>15</v>
      </c>
      <c r="J149" s="935">
        <v>20</v>
      </c>
      <c r="K149" s="935">
        <v>10</v>
      </c>
      <c r="L149" s="936">
        <f t="shared" si="11"/>
        <v>93.75</v>
      </c>
    </row>
    <row r="150" spans="2:12" ht="18.75">
      <c r="B150" s="747"/>
      <c r="C150" s="1956" t="s">
        <v>1859</v>
      </c>
      <c r="D150" s="935" t="s">
        <v>1961</v>
      </c>
      <c r="E150" s="935">
        <v>13</v>
      </c>
      <c r="F150" s="935">
        <v>20</v>
      </c>
      <c r="G150" s="935">
        <v>13</v>
      </c>
      <c r="H150" s="941">
        <f t="shared" ref="H150:H209" si="13">(E150/(F150*0.8))*100</f>
        <v>81.25</v>
      </c>
      <c r="I150" s="935">
        <v>13.5</v>
      </c>
      <c r="J150" s="935">
        <v>20</v>
      </c>
      <c r="K150" s="935">
        <v>13.5</v>
      </c>
      <c r="L150" s="936">
        <f t="shared" si="11"/>
        <v>84.375</v>
      </c>
    </row>
    <row r="151" spans="2:12" ht="18.75">
      <c r="B151" s="747"/>
      <c r="C151" s="1956"/>
      <c r="D151" s="935" t="s">
        <v>1962</v>
      </c>
      <c r="E151" s="935">
        <v>13</v>
      </c>
      <c r="F151" s="935">
        <v>20</v>
      </c>
      <c r="G151" s="935">
        <v>13</v>
      </c>
      <c r="H151" s="941">
        <f t="shared" si="13"/>
        <v>81.25</v>
      </c>
      <c r="I151" s="935">
        <v>13.5</v>
      </c>
      <c r="J151" s="935">
        <v>20</v>
      </c>
      <c r="K151" s="935">
        <v>13.5</v>
      </c>
      <c r="L151" s="936">
        <f t="shared" si="11"/>
        <v>84.375</v>
      </c>
    </row>
    <row r="152" spans="2:12" ht="18.75">
      <c r="B152" s="747"/>
      <c r="C152" s="1956"/>
      <c r="D152" s="935" t="s">
        <v>2025</v>
      </c>
      <c r="E152" s="935">
        <v>32</v>
      </c>
      <c r="F152" s="935">
        <v>50</v>
      </c>
      <c r="G152" s="935">
        <v>32</v>
      </c>
      <c r="H152" s="941">
        <f t="shared" si="13"/>
        <v>80</v>
      </c>
      <c r="I152" s="935">
        <v>34</v>
      </c>
      <c r="J152" s="935">
        <v>50</v>
      </c>
      <c r="K152" s="935">
        <v>34</v>
      </c>
      <c r="L152" s="936">
        <f t="shared" si="11"/>
        <v>85</v>
      </c>
    </row>
    <row r="153" spans="2:12" ht="18.75">
      <c r="B153" s="747"/>
      <c r="C153" s="1955" t="s">
        <v>1852</v>
      </c>
      <c r="D153" s="935" t="s">
        <v>1997</v>
      </c>
      <c r="E153" s="935">
        <v>16</v>
      </c>
      <c r="F153" s="935">
        <v>20</v>
      </c>
      <c r="G153" s="935">
        <v>16</v>
      </c>
      <c r="H153" s="941">
        <f t="shared" si="13"/>
        <v>100</v>
      </c>
      <c r="I153" s="935">
        <v>16</v>
      </c>
      <c r="J153" s="935">
        <v>20</v>
      </c>
      <c r="K153" s="935">
        <v>16</v>
      </c>
      <c r="L153" s="936">
        <f t="shared" si="11"/>
        <v>100</v>
      </c>
    </row>
    <row r="154" spans="2:12" ht="18.75">
      <c r="B154" s="747"/>
      <c r="C154" s="1955"/>
      <c r="D154" s="935" t="s">
        <v>1998</v>
      </c>
      <c r="E154" s="935">
        <v>16</v>
      </c>
      <c r="F154" s="935">
        <v>20</v>
      </c>
      <c r="G154" s="935">
        <v>16</v>
      </c>
      <c r="H154" s="941">
        <f t="shared" si="13"/>
        <v>100</v>
      </c>
      <c r="I154" s="935">
        <v>16</v>
      </c>
      <c r="J154" s="935">
        <v>20</v>
      </c>
      <c r="K154" s="935">
        <v>16</v>
      </c>
      <c r="L154" s="936">
        <f t="shared" si="11"/>
        <v>100</v>
      </c>
    </row>
    <row r="155" spans="2:12" ht="24">
      <c r="B155" s="747"/>
      <c r="C155" s="1955"/>
      <c r="D155" s="934" t="s">
        <v>2026</v>
      </c>
      <c r="E155" s="942"/>
      <c r="F155" s="934"/>
      <c r="G155" s="934"/>
      <c r="H155" s="941"/>
      <c r="I155" s="935">
        <v>40</v>
      </c>
      <c r="J155" s="935">
        <v>50</v>
      </c>
      <c r="K155" s="935">
        <v>28.1</v>
      </c>
      <c r="L155" s="936">
        <f t="shared" si="11"/>
        <v>100</v>
      </c>
    </row>
    <row r="156" spans="2:12" ht="18.75">
      <c r="B156" s="747"/>
      <c r="C156" s="1955" t="s">
        <v>1794</v>
      </c>
      <c r="D156" s="939" t="s">
        <v>2027</v>
      </c>
      <c r="E156" s="939">
        <v>32</v>
      </c>
      <c r="F156" s="939">
        <v>50</v>
      </c>
      <c r="G156" s="939">
        <v>32</v>
      </c>
      <c r="H156" s="941">
        <f t="shared" si="13"/>
        <v>80</v>
      </c>
      <c r="I156" s="939">
        <v>34</v>
      </c>
      <c r="J156" s="939">
        <v>50</v>
      </c>
      <c r="K156" s="939">
        <v>34</v>
      </c>
      <c r="L156" s="936">
        <f t="shared" si="11"/>
        <v>85</v>
      </c>
    </row>
    <row r="157" spans="2:12" ht="18.75">
      <c r="B157" s="747"/>
      <c r="C157" s="1955"/>
      <c r="D157" s="942" t="s">
        <v>2028</v>
      </c>
      <c r="E157" s="942"/>
      <c r="F157" s="934"/>
      <c r="G157" s="934"/>
      <c r="H157" s="941"/>
      <c r="I157" s="939">
        <v>32</v>
      </c>
      <c r="J157" s="939">
        <v>50</v>
      </c>
      <c r="K157" s="939">
        <v>32</v>
      </c>
      <c r="L157" s="936">
        <f t="shared" si="11"/>
        <v>80</v>
      </c>
    </row>
    <row r="158" spans="2:12" ht="18.75">
      <c r="B158" s="747"/>
      <c r="C158" s="1955"/>
      <c r="D158" s="942" t="s">
        <v>2029</v>
      </c>
      <c r="E158" s="942">
        <v>36</v>
      </c>
      <c r="F158" s="939">
        <v>50</v>
      </c>
      <c r="G158" s="939">
        <v>36</v>
      </c>
      <c r="H158" s="941">
        <f t="shared" si="13"/>
        <v>90</v>
      </c>
      <c r="I158" s="939">
        <v>33</v>
      </c>
      <c r="J158" s="939">
        <v>50</v>
      </c>
      <c r="K158" s="939">
        <v>33</v>
      </c>
      <c r="L158" s="936">
        <f t="shared" si="11"/>
        <v>82.5</v>
      </c>
    </row>
    <row r="159" spans="2:12" ht="18.75">
      <c r="B159" s="747"/>
      <c r="C159" s="1955" t="s">
        <v>1858</v>
      </c>
      <c r="D159" s="935" t="s">
        <v>2030</v>
      </c>
      <c r="E159" s="935"/>
      <c r="F159" s="935"/>
      <c r="G159" s="935"/>
      <c r="H159" s="941"/>
      <c r="I159" s="935">
        <v>14</v>
      </c>
      <c r="J159" s="935">
        <v>20</v>
      </c>
      <c r="K159" s="935">
        <v>13</v>
      </c>
      <c r="L159" s="936">
        <f t="shared" si="11"/>
        <v>87.5</v>
      </c>
    </row>
    <row r="160" spans="2:12" ht="18.75">
      <c r="B160" s="747"/>
      <c r="C160" s="1955"/>
      <c r="D160" s="935" t="s">
        <v>2031</v>
      </c>
      <c r="E160" s="942">
        <v>34</v>
      </c>
      <c r="F160" s="934">
        <v>50</v>
      </c>
      <c r="G160" s="934">
        <v>30</v>
      </c>
      <c r="H160" s="941">
        <f t="shared" si="13"/>
        <v>85</v>
      </c>
      <c r="I160" s="935"/>
      <c r="J160" s="935"/>
      <c r="K160" s="935"/>
      <c r="L160" s="936"/>
    </row>
    <row r="161" spans="2:12" ht="18.75">
      <c r="B161" s="747"/>
      <c r="C161" s="935" t="s">
        <v>1793</v>
      </c>
      <c r="D161" s="935" t="s">
        <v>1973</v>
      </c>
      <c r="E161" s="935">
        <v>36</v>
      </c>
      <c r="F161" s="935">
        <v>50</v>
      </c>
      <c r="G161" s="935">
        <v>25</v>
      </c>
      <c r="H161" s="941">
        <f t="shared" si="13"/>
        <v>90</v>
      </c>
      <c r="I161" s="935"/>
      <c r="J161" s="935"/>
      <c r="K161" s="935"/>
      <c r="L161" s="936"/>
    </row>
    <row r="162" spans="2:12" ht="18.75">
      <c r="B162" s="747"/>
      <c r="C162" s="1955" t="s">
        <v>1838</v>
      </c>
      <c r="D162" s="935" t="s">
        <v>2032</v>
      </c>
      <c r="E162" s="935">
        <v>15.4</v>
      </c>
      <c r="F162" s="935">
        <v>20</v>
      </c>
      <c r="G162" s="935">
        <v>15.4</v>
      </c>
      <c r="H162" s="941">
        <f t="shared" si="13"/>
        <v>96.25</v>
      </c>
      <c r="I162" s="935">
        <v>13.7</v>
      </c>
      <c r="J162" s="935">
        <v>20</v>
      </c>
      <c r="K162" s="935">
        <v>13.7</v>
      </c>
      <c r="L162" s="936">
        <f t="shared" si="11"/>
        <v>85.625</v>
      </c>
    </row>
    <row r="163" spans="2:12" ht="18.75">
      <c r="B163" s="747"/>
      <c r="C163" s="1955"/>
      <c r="D163" s="935" t="s">
        <v>2033</v>
      </c>
      <c r="E163" s="935">
        <v>15.3</v>
      </c>
      <c r="F163" s="935">
        <v>20</v>
      </c>
      <c r="G163" s="935">
        <v>15.3</v>
      </c>
      <c r="H163" s="941">
        <f t="shared" si="13"/>
        <v>95.625</v>
      </c>
      <c r="I163" s="935">
        <v>13.4</v>
      </c>
      <c r="J163" s="935">
        <v>20</v>
      </c>
      <c r="K163" s="935">
        <v>13.4</v>
      </c>
      <c r="L163" s="936">
        <f t="shared" si="11"/>
        <v>83.75</v>
      </c>
    </row>
    <row r="164" spans="2:12" ht="18.75">
      <c r="B164" s="747"/>
      <c r="C164" s="1955" t="s">
        <v>1906</v>
      </c>
      <c r="D164" s="935" t="s">
        <v>1961</v>
      </c>
      <c r="E164" s="939">
        <v>16</v>
      </c>
      <c r="F164" s="939">
        <v>20</v>
      </c>
      <c r="G164" s="939">
        <v>16</v>
      </c>
      <c r="H164" s="941">
        <f t="shared" si="13"/>
        <v>100</v>
      </c>
      <c r="I164" s="941">
        <v>16</v>
      </c>
      <c r="J164" s="941">
        <v>20</v>
      </c>
      <c r="K164" s="941">
        <v>16</v>
      </c>
      <c r="L164" s="936">
        <f t="shared" si="11"/>
        <v>100</v>
      </c>
    </row>
    <row r="165" spans="2:12" ht="18.75">
      <c r="B165" s="747"/>
      <c r="C165" s="1955"/>
      <c r="D165" s="935" t="s">
        <v>1962</v>
      </c>
      <c r="E165" s="939">
        <v>16</v>
      </c>
      <c r="F165" s="939">
        <v>20</v>
      </c>
      <c r="G165" s="939">
        <v>16</v>
      </c>
      <c r="H165" s="941">
        <f t="shared" si="13"/>
        <v>100</v>
      </c>
      <c r="I165" s="941">
        <v>16</v>
      </c>
      <c r="J165" s="941">
        <v>20</v>
      </c>
      <c r="K165" s="941">
        <v>16</v>
      </c>
      <c r="L165" s="936">
        <f t="shared" si="11"/>
        <v>100</v>
      </c>
    </row>
    <row r="166" spans="2:12" ht="18.75">
      <c r="B166" s="747"/>
      <c r="C166" s="1955"/>
      <c r="D166" s="935" t="s">
        <v>1988</v>
      </c>
      <c r="E166" s="939"/>
      <c r="F166" s="939"/>
      <c r="G166" s="939"/>
      <c r="H166" s="941"/>
      <c r="I166" s="941">
        <v>36</v>
      </c>
      <c r="J166" s="941">
        <v>50</v>
      </c>
      <c r="K166" s="941">
        <v>36</v>
      </c>
      <c r="L166" s="936">
        <f t="shared" si="11"/>
        <v>90</v>
      </c>
    </row>
    <row r="167" spans="2:12" ht="18.75">
      <c r="B167" s="747"/>
      <c r="C167" s="1955" t="s">
        <v>1203</v>
      </c>
      <c r="D167" s="935" t="s">
        <v>1961</v>
      </c>
      <c r="E167" s="935">
        <v>14</v>
      </c>
      <c r="F167" s="935">
        <v>20</v>
      </c>
      <c r="G167" s="935">
        <v>14</v>
      </c>
      <c r="H167" s="941">
        <f t="shared" si="13"/>
        <v>87.5</v>
      </c>
      <c r="I167" s="936"/>
      <c r="J167" s="936"/>
      <c r="K167" s="936"/>
      <c r="L167" s="936"/>
    </row>
    <row r="168" spans="2:12" ht="18.75">
      <c r="B168" s="747"/>
      <c r="C168" s="1955"/>
      <c r="D168" s="935" t="s">
        <v>2025</v>
      </c>
      <c r="E168" s="942">
        <v>40</v>
      </c>
      <c r="F168" s="935">
        <v>50</v>
      </c>
      <c r="G168" s="935">
        <v>40</v>
      </c>
      <c r="H168" s="941">
        <f t="shared" si="13"/>
        <v>100</v>
      </c>
      <c r="I168" s="935"/>
      <c r="J168" s="935"/>
      <c r="K168" s="935"/>
      <c r="L168" s="936"/>
    </row>
    <row r="169" spans="2:12" ht="18.75">
      <c r="B169" s="747"/>
      <c r="C169" s="1955" t="s">
        <v>1874</v>
      </c>
      <c r="D169" s="935" t="s">
        <v>1961</v>
      </c>
      <c r="E169" s="935">
        <v>14.05</v>
      </c>
      <c r="F169" s="935">
        <v>20</v>
      </c>
      <c r="G169" s="935">
        <v>14.9</v>
      </c>
      <c r="H169" s="941">
        <f t="shared" si="13"/>
        <v>87.8125</v>
      </c>
      <c r="I169" s="935"/>
      <c r="J169" s="935"/>
      <c r="K169" s="935"/>
      <c r="L169" s="936"/>
    </row>
    <row r="170" spans="2:12" ht="18.75">
      <c r="B170" s="747"/>
      <c r="C170" s="1955"/>
      <c r="D170" s="935" t="s">
        <v>1962</v>
      </c>
      <c r="E170" s="935">
        <v>14.05</v>
      </c>
      <c r="F170" s="935">
        <v>20</v>
      </c>
      <c r="G170" s="935">
        <v>13.2</v>
      </c>
      <c r="H170" s="941">
        <f t="shared" si="13"/>
        <v>87.8125</v>
      </c>
      <c r="I170" s="935"/>
      <c r="J170" s="950"/>
      <c r="K170" s="936"/>
      <c r="L170" s="936"/>
    </row>
    <row r="171" spans="2:12" ht="18.75">
      <c r="B171" s="747"/>
      <c r="C171" s="1955" t="s">
        <v>1817</v>
      </c>
      <c r="D171" s="935" t="s">
        <v>1961</v>
      </c>
      <c r="E171" s="935">
        <v>64</v>
      </c>
      <c r="F171" s="935">
        <v>80</v>
      </c>
      <c r="G171" s="935">
        <v>33.299999999999997</v>
      </c>
      <c r="H171" s="941">
        <f t="shared" si="13"/>
        <v>100</v>
      </c>
      <c r="I171" s="936">
        <v>64</v>
      </c>
      <c r="J171" s="936">
        <v>80</v>
      </c>
      <c r="K171" s="936">
        <v>34</v>
      </c>
      <c r="L171" s="936">
        <f t="shared" si="11"/>
        <v>100</v>
      </c>
    </row>
    <row r="172" spans="2:12" ht="18.75">
      <c r="B172" s="747"/>
      <c r="C172" s="1955"/>
      <c r="D172" s="935" t="s">
        <v>1962</v>
      </c>
      <c r="E172" s="935">
        <v>64</v>
      </c>
      <c r="F172" s="935">
        <v>80</v>
      </c>
      <c r="G172" s="935">
        <v>33.299999999999997</v>
      </c>
      <c r="H172" s="941">
        <f t="shared" si="13"/>
        <v>100</v>
      </c>
      <c r="I172" s="936">
        <v>64</v>
      </c>
      <c r="J172" s="936">
        <v>80</v>
      </c>
      <c r="K172" s="936">
        <v>34</v>
      </c>
      <c r="L172" s="936">
        <f t="shared" si="11"/>
        <v>100</v>
      </c>
    </row>
    <row r="173" spans="2:12" ht="18.75">
      <c r="B173" s="747"/>
      <c r="C173" s="1955"/>
      <c r="D173" s="935" t="s">
        <v>2025</v>
      </c>
      <c r="E173" s="942">
        <v>64</v>
      </c>
      <c r="F173" s="935">
        <v>80</v>
      </c>
      <c r="G173" s="935">
        <v>33.299999999999997</v>
      </c>
      <c r="H173" s="941">
        <f t="shared" si="13"/>
        <v>100</v>
      </c>
      <c r="I173" s="935">
        <v>64</v>
      </c>
      <c r="J173" s="935">
        <v>80</v>
      </c>
      <c r="K173" s="935">
        <v>34</v>
      </c>
      <c r="L173" s="936">
        <f t="shared" si="11"/>
        <v>100</v>
      </c>
    </row>
    <row r="174" spans="2:12" ht="18.75">
      <c r="B174" s="747"/>
      <c r="C174" s="935" t="s">
        <v>1795</v>
      </c>
      <c r="D174" s="935" t="s">
        <v>2034</v>
      </c>
      <c r="E174" s="935">
        <v>12.96</v>
      </c>
      <c r="F174" s="935">
        <v>20</v>
      </c>
      <c r="G174" s="935">
        <v>12.96</v>
      </c>
      <c r="H174" s="941">
        <f t="shared" si="13"/>
        <v>81</v>
      </c>
      <c r="I174" s="935">
        <v>12.92</v>
      </c>
      <c r="J174" s="935">
        <v>20</v>
      </c>
      <c r="K174" s="935">
        <v>12.92</v>
      </c>
      <c r="L174" s="936">
        <f t="shared" si="11"/>
        <v>80.75</v>
      </c>
    </row>
    <row r="175" spans="2:12" ht="18.75">
      <c r="B175" s="747"/>
      <c r="C175" s="1955" t="s">
        <v>1830</v>
      </c>
      <c r="D175" s="939" t="s">
        <v>1951</v>
      </c>
      <c r="E175" s="939">
        <v>15.7</v>
      </c>
      <c r="F175" s="939">
        <v>20</v>
      </c>
      <c r="G175" s="939">
        <v>15.7</v>
      </c>
      <c r="H175" s="941">
        <f t="shared" si="13"/>
        <v>98.125</v>
      </c>
      <c r="I175" s="939">
        <v>15.6</v>
      </c>
      <c r="J175" s="939">
        <v>20</v>
      </c>
      <c r="K175" s="939">
        <v>15.6</v>
      </c>
      <c r="L175" s="936">
        <f t="shared" si="11"/>
        <v>97.5</v>
      </c>
    </row>
    <row r="176" spans="2:12" ht="18.75">
      <c r="B176" s="747"/>
      <c r="C176" s="1955"/>
      <c r="D176" s="939" t="s">
        <v>1953</v>
      </c>
      <c r="E176" s="939"/>
      <c r="F176" s="941"/>
      <c r="G176" s="939"/>
      <c r="H176" s="941"/>
      <c r="I176" s="939">
        <v>15.9</v>
      </c>
      <c r="J176" s="939">
        <v>20</v>
      </c>
      <c r="K176" s="939">
        <v>15.9</v>
      </c>
      <c r="L176" s="936">
        <f t="shared" si="11"/>
        <v>99.375</v>
      </c>
    </row>
    <row r="177" spans="2:12" ht="18.75">
      <c r="B177" s="747"/>
      <c r="C177" s="1955" t="s">
        <v>1908</v>
      </c>
      <c r="D177" s="935" t="s">
        <v>2035</v>
      </c>
      <c r="E177" s="935">
        <v>14.43</v>
      </c>
      <c r="F177" s="935">
        <v>20</v>
      </c>
      <c r="G177" s="935">
        <v>14.43</v>
      </c>
      <c r="H177" s="941">
        <f t="shared" si="13"/>
        <v>90.1875</v>
      </c>
      <c r="I177" s="935"/>
      <c r="J177" s="935"/>
      <c r="K177" s="935"/>
      <c r="L177" s="936"/>
    </row>
    <row r="178" spans="2:12" ht="18.75">
      <c r="B178" s="747"/>
      <c r="C178" s="1955"/>
      <c r="D178" s="942" t="s">
        <v>2036</v>
      </c>
      <c r="E178" s="942">
        <v>14.39</v>
      </c>
      <c r="F178" s="934">
        <v>20</v>
      </c>
      <c r="G178" s="934">
        <v>14.39</v>
      </c>
      <c r="H178" s="941">
        <f t="shared" si="13"/>
        <v>89.9375</v>
      </c>
      <c r="I178" s="935"/>
      <c r="J178" s="935"/>
      <c r="K178" s="935"/>
      <c r="L178" s="936"/>
    </row>
    <row r="179" spans="2:12" ht="18.75">
      <c r="B179" s="747"/>
      <c r="C179" s="935" t="s">
        <v>1867</v>
      </c>
      <c r="D179" s="939" t="s">
        <v>2008</v>
      </c>
      <c r="E179" s="939">
        <v>32.9</v>
      </c>
      <c r="F179" s="939">
        <v>50</v>
      </c>
      <c r="G179" s="939">
        <v>32.9</v>
      </c>
      <c r="H179" s="941">
        <f t="shared" si="13"/>
        <v>82.25</v>
      </c>
      <c r="I179" s="939">
        <v>35.299999999999997</v>
      </c>
      <c r="J179" s="939">
        <v>50</v>
      </c>
      <c r="K179" s="939">
        <v>35.299999999999997</v>
      </c>
      <c r="L179" s="936">
        <f t="shared" si="11"/>
        <v>88.25</v>
      </c>
    </row>
    <row r="180" spans="2:12" ht="18.75">
      <c r="B180" s="747"/>
      <c r="C180" s="1955" t="s">
        <v>1827</v>
      </c>
      <c r="D180" s="939" t="s">
        <v>1987</v>
      </c>
      <c r="E180" s="939">
        <v>33</v>
      </c>
      <c r="F180" s="939">
        <v>50</v>
      </c>
      <c r="G180" s="939">
        <v>33</v>
      </c>
      <c r="H180" s="941">
        <f t="shared" si="13"/>
        <v>82.5</v>
      </c>
      <c r="I180" s="939">
        <v>33</v>
      </c>
      <c r="J180" s="939">
        <v>50</v>
      </c>
      <c r="K180" s="939">
        <v>33</v>
      </c>
      <c r="L180" s="936">
        <f t="shared" si="11"/>
        <v>82.5</v>
      </c>
    </row>
    <row r="181" spans="2:12" ht="18.75">
      <c r="B181" s="747"/>
      <c r="C181" s="1955"/>
      <c r="D181" s="939" t="s">
        <v>1988</v>
      </c>
      <c r="E181" s="939">
        <v>33</v>
      </c>
      <c r="F181" s="933">
        <v>50</v>
      </c>
      <c r="G181" s="933">
        <v>33</v>
      </c>
      <c r="H181" s="941">
        <f t="shared" si="13"/>
        <v>82.5</v>
      </c>
      <c r="I181" s="939">
        <v>33</v>
      </c>
      <c r="J181" s="939">
        <v>50</v>
      </c>
      <c r="K181" s="939">
        <v>33</v>
      </c>
      <c r="L181" s="936">
        <f t="shared" si="11"/>
        <v>82.5</v>
      </c>
    </row>
    <row r="182" spans="2:12" ht="18.75">
      <c r="B182" s="747"/>
      <c r="C182" s="1955" t="s">
        <v>1872</v>
      </c>
      <c r="D182" s="935" t="s">
        <v>1961</v>
      </c>
      <c r="E182" s="933">
        <v>40</v>
      </c>
      <c r="F182" s="933">
        <v>50</v>
      </c>
      <c r="G182" s="933">
        <v>35</v>
      </c>
      <c r="H182" s="941">
        <f t="shared" si="13"/>
        <v>100</v>
      </c>
      <c r="I182" s="933">
        <v>37</v>
      </c>
      <c r="J182" s="933">
        <v>50</v>
      </c>
      <c r="K182" s="933">
        <v>34</v>
      </c>
      <c r="L182" s="936">
        <f t="shared" si="11"/>
        <v>92.5</v>
      </c>
    </row>
    <row r="183" spans="2:12" ht="18.75">
      <c r="B183" s="747"/>
      <c r="C183" s="1955"/>
      <c r="D183" s="935" t="s">
        <v>1962</v>
      </c>
      <c r="E183" s="933">
        <v>32</v>
      </c>
      <c r="F183" s="933">
        <v>50</v>
      </c>
      <c r="G183" s="933">
        <v>28</v>
      </c>
      <c r="H183" s="941">
        <f t="shared" si="13"/>
        <v>80</v>
      </c>
      <c r="I183" s="933"/>
      <c r="J183" s="933"/>
      <c r="K183" s="933"/>
      <c r="L183" s="936"/>
    </row>
    <row r="184" spans="2:12" ht="18.75">
      <c r="B184" s="747"/>
      <c r="C184" s="1955"/>
      <c r="D184" s="935" t="s">
        <v>2025</v>
      </c>
      <c r="E184" s="933">
        <v>38</v>
      </c>
      <c r="F184" s="933">
        <v>50</v>
      </c>
      <c r="G184" s="933">
        <v>34</v>
      </c>
      <c r="H184" s="941">
        <f t="shared" si="13"/>
        <v>95</v>
      </c>
      <c r="I184" s="933">
        <v>36</v>
      </c>
      <c r="J184" s="933">
        <v>50</v>
      </c>
      <c r="K184" s="933">
        <v>32</v>
      </c>
      <c r="L184" s="936">
        <f t="shared" si="11"/>
        <v>90</v>
      </c>
    </row>
    <row r="185" spans="2:12" ht="18.75">
      <c r="B185" s="747"/>
      <c r="C185" s="1955" t="s">
        <v>1881</v>
      </c>
      <c r="D185" s="939" t="s">
        <v>2037</v>
      </c>
      <c r="E185" s="939">
        <v>43</v>
      </c>
      <c r="F185" s="939">
        <v>50</v>
      </c>
      <c r="G185" s="939">
        <v>40</v>
      </c>
      <c r="H185" s="941">
        <f t="shared" si="13"/>
        <v>107.5</v>
      </c>
      <c r="I185" s="939">
        <v>40</v>
      </c>
      <c r="J185" s="939">
        <v>50</v>
      </c>
      <c r="K185" s="939">
        <v>30</v>
      </c>
      <c r="L185" s="936">
        <f t="shared" si="11"/>
        <v>100</v>
      </c>
    </row>
    <row r="186" spans="2:12" ht="18.75">
      <c r="B186" s="747"/>
      <c r="C186" s="1955"/>
      <c r="D186" s="939" t="s">
        <v>1958</v>
      </c>
      <c r="E186" s="939">
        <v>43</v>
      </c>
      <c r="F186" s="939">
        <v>50</v>
      </c>
      <c r="G186" s="939">
        <v>40</v>
      </c>
      <c r="H186" s="941">
        <f t="shared" si="13"/>
        <v>107.5</v>
      </c>
      <c r="I186" s="939">
        <v>40</v>
      </c>
      <c r="J186" s="939">
        <v>50</v>
      </c>
      <c r="K186" s="939">
        <v>30</v>
      </c>
      <c r="L186" s="936">
        <f t="shared" si="11"/>
        <v>100</v>
      </c>
    </row>
    <row r="187" spans="2:12" ht="18.75">
      <c r="B187" s="747"/>
      <c r="C187" s="951" t="s">
        <v>1870</v>
      </c>
      <c r="D187" s="935" t="s">
        <v>1961</v>
      </c>
      <c r="E187" s="935">
        <v>42</v>
      </c>
      <c r="F187" s="935">
        <v>50</v>
      </c>
      <c r="G187" s="935">
        <v>42</v>
      </c>
      <c r="H187" s="941">
        <f t="shared" si="13"/>
        <v>105</v>
      </c>
      <c r="I187" s="935">
        <v>38</v>
      </c>
      <c r="J187" s="935">
        <v>50</v>
      </c>
      <c r="K187" s="935">
        <v>38</v>
      </c>
      <c r="L187" s="936">
        <f t="shared" si="11"/>
        <v>95</v>
      </c>
    </row>
    <row r="188" spans="2:12" ht="18.75">
      <c r="B188" s="747"/>
      <c r="C188" s="1955" t="s">
        <v>1849</v>
      </c>
      <c r="D188" s="939" t="s">
        <v>2038</v>
      </c>
      <c r="E188" s="939">
        <v>15</v>
      </c>
      <c r="F188" s="933">
        <v>20</v>
      </c>
      <c r="G188" s="939">
        <v>13</v>
      </c>
      <c r="H188" s="941">
        <f t="shared" si="13"/>
        <v>93.75</v>
      </c>
      <c r="I188" s="952"/>
      <c r="J188" s="933"/>
      <c r="K188" s="939"/>
      <c r="L188" s="936"/>
    </row>
    <row r="189" spans="2:12" ht="18.75">
      <c r="B189" s="747"/>
      <c r="C189" s="1955"/>
      <c r="D189" s="939" t="s">
        <v>2039</v>
      </c>
      <c r="E189" s="939">
        <v>15</v>
      </c>
      <c r="F189" s="933">
        <v>20</v>
      </c>
      <c r="G189" s="939">
        <v>13</v>
      </c>
      <c r="H189" s="941">
        <f t="shared" si="13"/>
        <v>93.75</v>
      </c>
      <c r="I189" s="939"/>
      <c r="J189" s="933"/>
      <c r="K189" s="939"/>
      <c r="L189" s="936"/>
    </row>
    <row r="190" spans="2:12" ht="18.75">
      <c r="B190" s="747"/>
      <c r="C190" s="935" t="s">
        <v>1893</v>
      </c>
      <c r="D190" s="939" t="s">
        <v>2007</v>
      </c>
      <c r="E190" s="939">
        <v>32</v>
      </c>
      <c r="F190" s="939">
        <v>50</v>
      </c>
      <c r="G190" s="939">
        <v>32</v>
      </c>
      <c r="H190" s="941">
        <f t="shared" si="13"/>
        <v>80</v>
      </c>
      <c r="I190" s="939"/>
      <c r="J190" s="939"/>
      <c r="K190" s="939"/>
      <c r="L190" s="936"/>
    </row>
    <row r="191" spans="2:12" ht="18.75">
      <c r="B191" s="747"/>
      <c r="C191" s="1955" t="s">
        <v>1834</v>
      </c>
      <c r="D191" s="939" t="s">
        <v>1986</v>
      </c>
      <c r="E191" s="939">
        <v>16</v>
      </c>
      <c r="F191" s="939">
        <v>20</v>
      </c>
      <c r="G191" s="939">
        <v>16</v>
      </c>
      <c r="H191" s="941">
        <f t="shared" si="13"/>
        <v>100</v>
      </c>
      <c r="I191" s="939"/>
      <c r="J191" s="939"/>
      <c r="K191" s="939"/>
      <c r="L191" s="936"/>
    </row>
    <row r="192" spans="2:12" ht="18.75">
      <c r="B192" s="747"/>
      <c r="C192" s="1955"/>
      <c r="D192" s="939" t="s">
        <v>1987</v>
      </c>
      <c r="E192" s="939">
        <v>35</v>
      </c>
      <c r="F192" s="939">
        <v>50</v>
      </c>
      <c r="G192" s="939">
        <v>35</v>
      </c>
      <c r="H192" s="941">
        <f t="shared" si="13"/>
        <v>87.5</v>
      </c>
      <c r="I192" s="939"/>
      <c r="J192" s="939"/>
      <c r="K192" s="939"/>
      <c r="L192" s="936"/>
    </row>
    <row r="193" spans="2:12" ht="18.75">
      <c r="B193" s="747"/>
      <c r="C193" s="1955" t="s">
        <v>1868</v>
      </c>
      <c r="D193" s="939" t="s">
        <v>2007</v>
      </c>
      <c r="E193" s="939"/>
      <c r="F193" s="939"/>
      <c r="G193" s="939"/>
      <c r="H193" s="941"/>
      <c r="I193" s="939">
        <v>6.5</v>
      </c>
      <c r="J193" s="939">
        <v>10</v>
      </c>
      <c r="K193" s="939">
        <v>6.5</v>
      </c>
      <c r="L193" s="936">
        <f t="shared" ref="L193:L209" si="14">(I193/(J193*0.8))*100</f>
        <v>81.25</v>
      </c>
    </row>
    <row r="194" spans="2:12" ht="18.75">
      <c r="B194" s="747"/>
      <c r="C194" s="1955"/>
      <c r="D194" s="939" t="s">
        <v>2008</v>
      </c>
      <c r="E194" s="939">
        <v>36</v>
      </c>
      <c r="F194" s="939">
        <v>50</v>
      </c>
      <c r="G194" s="939">
        <v>36</v>
      </c>
      <c r="H194" s="941">
        <f t="shared" si="13"/>
        <v>90</v>
      </c>
      <c r="I194" s="939">
        <v>32</v>
      </c>
      <c r="J194" s="939">
        <v>50</v>
      </c>
      <c r="K194" s="939">
        <v>32</v>
      </c>
      <c r="L194" s="936">
        <f t="shared" si="14"/>
        <v>80</v>
      </c>
    </row>
    <row r="195" spans="2:12" ht="18.75">
      <c r="B195" s="747"/>
      <c r="C195" s="1955" t="s">
        <v>1885</v>
      </c>
      <c r="D195" s="939" t="s">
        <v>2038</v>
      </c>
      <c r="E195" s="939">
        <v>15</v>
      </c>
      <c r="F195" s="939">
        <v>20</v>
      </c>
      <c r="G195" s="939">
        <v>12</v>
      </c>
      <c r="H195" s="941">
        <f t="shared" si="13"/>
        <v>93.75</v>
      </c>
      <c r="I195" s="939">
        <v>15.5</v>
      </c>
      <c r="J195" s="939">
        <v>20</v>
      </c>
      <c r="K195" s="939">
        <v>11</v>
      </c>
      <c r="L195" s="936">
        <f t="shared" si="14"/>
        <v>96.875</v>
      </c>
    </row>
    <row r="196" spans="2:12" ht="18.75">
      <c r="B196" s="747"/>
      <c r="C196" s="1955"/>
      <c r="D196" s="939" t="s">
        <v>2039</v>
      </c>
      <c r="E196" s="939">
        <v>15</v>
      </c>
      <c r="F196" s="939">
        <v>20</v>
      </c>
      <c r="G196" s="939">
        <v>12</v>
      </c>
      <c r="H196" s="941">
        <f t="shared" si="13"/>
        <v>93.75</v>
      </c>
      <c r="I196" s="939"/>
      <c r="J196" s="939"/>
      <c r="K196" s="939"/>
      <c r="L196" s="936"/>
    </row>
    <row r="197" spans="2:12" ht="18.75">
      <c r="B197" s="747"/>
      <c r="C197" s="1955" t="s">
        <v>1897</v>
      </c>
      <c r="D197" s="935" t="s">
        <v>2040</v>
      </c>
      <c r="E197" s="935">
        <v>7.5</v>
      </c>
      <c r="F197" s="935">
        <v>10</v>
      </c>
      <c r="G197" s="935">
        <v>7.5</v>
      </c>
      <c r="H197" s="941">
        <f t="shared" si="13"/>
        <v>93.75</v>
      </c>
      <c r="I197" s="935">
        <v>7.5</v>
      </c>
      <c r="J197" s="935">
        <v>10</v>
      </c>
      <c r="K197" s="935">
        <v>7.5</v>
      </c>
      <c r="L197" s="936">
        <f t="shared" si="14"/>
        <v>93.75</v>
      </c>
    </row>
    <row r="198" spans="2:12" ht="18.75">
      <c r="B198" s="747"/>
      <c r="C198" s="1955"/>
      <c r="D198" s="935" t="s">
        <v>2041</v>
      </c>
      <c r="E198" s="935">
        <v>7.5</v>
      </c>
      <c r="F198" s="935">
        <v>10</v>
      </c>
      <c r="G198" s="935">
        <v>7.5</v>
      </c>
      <c r="H198" s="941">
        <f t="shared" si="13"/>
        <v>93.75</v>
      </c>
      <c r="I198" s="935">
        <v>7.5</v>
      </c>
      <c r="J198" s="935">
        <v>10</v>
      </c>
      <c r="K198" s="935">
        <v>7.5</v>
      </c>
      <c r="L198" s="936">
        <f t="shared" si="14"/>
        <v>93.75</v>
      </c>
    </row>
    <row r="199" spans="2:12" ht="18.75">
      <c r="B199" s="747"/>
      <c r="C199" s="1955" t="s">
        <v>1857</v>
      </c>
      <c r="D199" s="935" t="s">
        <v>1997</v>
      </c>
      <c r="E199" s="935"/>
      <c r="F199" s="935"/>
      <c r="G199" s="935"/>
      <c r="H199" s="941"/>
      <c r="I199" s="935">
        <v>13.5</v>
      </c>
      <c r="J199" s="935">
        <v>20</v>
      </c>
      <c r="K199" s="935">
        <v>13</v>
      </c>
      <c r="L199" s="936">
        <f t="shared" si="14"/>
        <v>84.375</v>
      </c>
    </row>
    <row r="200" spans="2:12" ht="18.75">
      <c r="B200" s="747"/>
      <c r="C200" s="1955"/>
      <c r="D200" s="935" t="s">
        <v>1998</v>
      </c>
      <c r="E200" s="935">
        <v>15</v>
      </c>
      <c r="F200" s="935">
        <v>20</v>
      </c>
      <c r="G200" s="935">
        <v>15</v>
      </c>
      <c r="H200" s="941">
        <f t="shared" si="13"/>
        <v>93.75</v>
      </c>
      <c r="I200" s="935">
        <v>16</v>
      </c>
      <c r="J200" s="935">
        <v>20</v>
      </c>
      <c r="K200" s="935">
        <v>15</v>
      </c>
      <c r="L200" s="936">
        <f t="shared" si="14"/>
        <v>100</v>
      </c>
    </row>
    <row r="201" spans="2:12" ht="18.75">
      <c r="B201" s="747"/>
      <c r="C201" s="1955" t="s">
        <v>2042</v>
      </c>
      <c r="D201" s="935" t="s">
        <v>2043</v>
      </c>
      <c r="E201" s="935">
        <v>34.25</v>
      </c>
      <c r="F201" s="935">
        <v>50</v>
      </c>
      <c r="G201" s="935">
        <v>34.25</v>
      </c>
      <c r="H201" s="941">
        <f t="shared" si="13"/>
        <v>85.625</v>
      </c>
      <c r="I201" s="935">
        <v>42</v>
      </c>
      <c r="J201" s="935">
        <v>50</v>
      </c>
      <c r="K201" s="935">
        <v>42</v>
      </c>
      <c r="L201" s="936">
        <f t="shared" si="14"/>
        <v>105</v>
      </c>
    </row>
    <row r="202" spans="2:12" ht="18.75">
      <c r="B202" s="747"/>
      <c r="C202" s="1955"/>
      <c r="D202" s="942" t="s">
        <v>2044</v>
      </c>
      <c r="E202" s="942">
        <v>34.25</v>
      </c>
      <c r="F202" s="934">
        <v>50</v>
      </c>
      <c r="G202" s="934">
        <v>34.25</v>
      </c>
      <c r="H202" s="941">
        <f t="shared" si="13"/>
        <v>85.625</v>
      </c>
      <c r="I202" s="935">
        <v>42</v>
      </c>
      <c r="J202" s="935">
        <v>50</v>
      </c>
      <c r="K202" s="935">
        <v>42</v>
      </c>
      <c r="L202" s="936">
        <f t="shared" si="14"/>
        <v>105</v>
      </c>
    </row>
    <row r="203" spans="2:12" ht="18.75">
      <c r="B203" s="747"/>
      <c r="C203" s="1955" t="s">
        <v>1796</v>
      </c>
      <c r="D203" s="930" t="s">
        <v>1951</v>
      </c>
      <c r="E203" s="935">
        <v>15</v>
      </c>
      <c r="F203" s="935">
        <v>20</v>
      </c>
      <c r="G203" s="935">
        <v>11</v>
      </c>
      <c r="H203" s="941">
        <f t="shared" si="13"/>
        <v>93.75</v>
      </c>
      <c r="I203" s="935">
        <v>13</v>
      </c>
      <c r="J203" s="935">
        <v>20</v>
      </c>
      <c r="K203" s="935">
        <v>11</v>
      </c>
      <c r="L203" s="936">
        <f t="shared" si="14"/>
        <v>81.25</v>
      </c>
    </row>
    <row r="204" spans="2:12" ht="18.75">
      <c r="B204" s="747"/>
      <c r="C204" s="1955"/>
      <c r="D204" s="930" t="s">
        <v>1953</v>
      </c>
      <c r="E204" s="935">
        <v>15</v>
      </c>
      <c r="F204" s="935">
        <v>20</v>
      </c>
      <c r="G204" s="935">
        <v>11</v>
      </c>
      <c r="H204" s="941">
        <f t="shared" si="13"/>
        <v>93.75</v>
      </c>
      <c r="I204" s="935"/>
      <c r="J204" s="935"/>
      <c r="K204" s="935"/>
      <c r="L204" s="936"/>
    </row>
    <row r="205" spans="2:12" ht="18.75">
      <c r="B205" s="747"/>
      <c r="C205" s="1955"/>
      <c r="D205" s="930" t="s">
        <v>1954</v>
      </c>
      <c r="E205" s="935">
        <v>36</v>
      </c>
      <c r="F205" s="935">
        <v>50</v>
      </c>
      <c r="G205" s="935">
        <v>28</v>
      </c>
      <c r="H205" s="941">
        <f t="shared" si="13"/>
        <v>90</v>
      </c>
      <c r="I205" s="935">
        <v>32</v>
      </c>
      <c r="J205" s="935">
        <v>50</v>
      </c>
      <c r="K205" s="935">
        <v>28</v>
      </c>
      <c r="L205" s="936">
        <f t="shared" si="14"/>
        <v>80</v>
      </c>
    </row>
    <row r="206" spans="2:12" ht="18.75">
      <c r="B206" s="747"/>
      <c r="C206" s="1955" t="s">
        <v>1877</v>
      </c>
      <c r="D206" s="933" t="s">
        <v>1962</v>
      </c>
      <c r="E206" s="933"/>
      <c r="F206" s="933"/>
      <c r="G206" s="933"/>
      <c r="H206" s="941"/>
      <c r="I206" s="933">
        <v>14</v>
      </c>
      <c r="J206" s="933">
        <v>20</v>
      </c>
      <c r="K206" s="933">
        <v>12</v>
      </c>
      <c r="L206" s="936">
        <f t="shared" si="14"/>
        <v>87.5</v>
      </c>
    </row>
    <row r="207" spans="2:12" ht="18.75">
      <c r="B207" s="747"/>
      <c r="C207" s="1955"/>
      <c r="D207" s="933" t="s">
        <v>2025</v>
      </c>
      <c r="E207" s="933"/>
      <c r="F207" s="933"/>
      <c r="G207" s="933"/>
      <c r="H207" s="941"/>
      <c r="I207" s="933">
        <v>14</v>
      </c>
      <c r="J207" s="933">
        <v>20</v>
      </c>
      <c r="K207" s="933">
        <v>12</v>
      </c>
      <c r="L207" s="936">
        <f t="shared" si="14"/>
        <v>87.5</v>
      </c>
    </row>
    <row r="208" spans="2:12" ht="18.75">
      <c r="B208" s="747"/>
      <c r="C208" s="1955"/>
      <c r="D208" s="933" t="s">
        <v>2045</v>
      </c>
      <c r="E208" s="933">
        <v>32</v>
      </c>
      <c r="F208" s="933">
        <v>50</v>
      </c>
      <c r="G208" s="934">
        <v>30</v>
      </c>
      <c r="H208" s="941">
        <f t="shared" si="13"/>
        <v>80</v>
      </c>
      <c r="I208" s="933">
        <v>35</v>
      </c>
      <c r="J208" s="933">
        <v>50</v>
      </c>
      <c r="K208" s="934">
        <v>32</v>
      </c>
      <c r="L208" s="936">
        <f t="shared" si="14"/>
        <v>87.5</v>
      </c>
    </row>
    <row r="209" spans="2:12" ht="18.75">
      <c r="B209" s="747"/>
      <c r="C209" s="935" t="s">
        <v>1198</v>
      </c>
      <c r="D209" s="939" t="s">
        <v>2046</v>
      </c>
      <c r="E209" s="935">
        <v>35</v>
      </c>
      <c r="F209" s="935">
        <v>50</v>
      </c>
      <c r="G209" s="935">
        <v>31</v>
      </c>
      <c r="H209" s="935">
        <f t="shared" si="13"/>
        <v>87.5</v>
      </c>
      <c r="I209" s="935">
        <v>38</v>
      </c>
      <c r="J209" s="935">
        <v>50</v>
      </c>
      <c r="K209" s="935">
        <v>35</v>
      </c>
      <c r="L209" s="935">
        <f t="shared" si="14"/>
        <v>95</v>
      </c>
    </row>
    <row r="210" spans="2:12" ht="18.75">
      <c r="B210" s="747"/>
      <c r="C210" s="1955" t="s">
        <v>1898</v>
      </c>
      <c r="D210" s="939" t="s">
        <v>2047</v>
      </c>
      <c r="E210" s="953">
        <v>37</v>
      </c>
      <c r="F210" s="954">
        <v>50</v>
      </c>
      <c r="G210" s="953">
        <v>37</v>
      </c>
      <c r="H210" s="955">
        <v>92.5</v>
      </c>
      <c r="I210" s="954"/>
      <c r="J210" s="954"/>
      <c r="K210" s="954"/>
      <c r="L210" s="955"/>
    </row>
    <row r="211" spans="2:12" ht="18.75">
      <c r="B211" s="747"/>
      <c r="C211" s="1955"/>
      <c r="D211" s="939" t="s">
        <v>2048</v>
      </c>
      <c r="E211" s="956">
        <v>37</v>
      </c>
      <c r="F211" s="954">
        <v>50</v>
      </c>
      <c r="G211" s="954">
        <v>37</v>
      </c>
      <c r="H211" s="955">
        <f>(E211/(F211*0.8))*100</f>
        <v>92.5</v>
      </c>
      <c r="I211" s="954"/>
      <c r="J211" s="954"/>
      <c r="K211" s="954"/>
      <c r="L211" s="955"/>
    </row>
    <row r="212" spans="2:12" ht="18.75">
      <c r="B212" s="747"/>
      <c r="C212" s="1955" t="s">
        <v>1224</v>
      </c>
      <c r="D212" s="957" t="s">
        <v>1992</v>
      </c>
      <c r="E212" s="958">
        <v>14</v>
      </c>
      <c r="F212" s="958">
        <v>20</v>
      </c>
      <c r="G212" s="958">
        <v>9</v>
      </c>
      <c r="H212" s="955">
        <f>(E212/(F212*0.8))*100</f>
        <v>87.5</v>
      </c>
      <c r="I212" s="958"/>
      <c r="J212" s="958"/>
      <c r="K212" s="958"/>
      <c r="L212" s="958"/>
    </row>
    <row r="213" spans="2:12" ht="18.75">
      <c r="B213" s="747"/>
      <c r="C213" s="1955"/>
      <c r="D213" s="957" t="s">
        <v>2022</v>
      </c>
      <c r="E213" s="958">
        <v>40</v>
      </c>
      <c r="F213" s="958">
        <v>50</v>
      </c>
      <c r="G213" s="958">
        <v>30</v>
      </c>
      <c r="H213" s="955">
        <f t="shared" ref="H213" si="15">(E213/(F213*0.8))*100</f>
        <v>100</v>
      </c>
      <c r="I213" s="958"/>
      <c r="J213" s="958"/>
      <c r="K213" s="958"/>
      <c r="L213" s="958"/>
    </row>
    <row r="214" spans="2:12" ht="18.75">
      <c r="B214" s="747"/>
      <c r="C214" s="1955" t="s">
        <v>2049</v>
      </c>
      <c r="D214" s="935" t="s">
        <v>1986</v>
      </c>
      <c r="E214" s="935">
        <v>17</v>
      </c>
      <c r="F214" s="935">
        <v>20</v>
      </c>
      <c r="G214" s="935">
        <v>17</v>
      </c>
      <c r="H214" s="935">
        <f>(E214/(F214*0.8))*100</f>
        <v>106.25</v>
      </c>
      <c r="I214" s="935"/>
      <c r="J214" s="935"/>
      <c r="K214" s="935"/>
      <c r="L214" s="935"/>
    </row>
    <row r="215" spans="2:12" ht="18.75">
      <c r="B215" s="747"/>
      <c r="C215" s="1955"/>
      <c r="D215" s="935" t="s">
        <v>1987</v>
      </c>
      <c r="E215" s="935">
        <v>17</v>
      </c>
      <c r="F215" s="935">
        <v>20</v>
      </c>
      <c r="G215" s="935">
        <v>17</v>
      </c>
      <c r="H215" s="935">
        <f>(E215/(F215*0.8))*100</f>
        <v>106.25</v>
      </c>
      <c r="I215" s="935">
        <v>20</v>
      </c>
      <c r="J215" s="935">
        <v>20</v>
      </c>
      <c r="K215" s="935">
        <v>0</v>
      </c>
      <c r="L215" s="935">
        <v>125</v>
      </c>
    </row>
    <row r="216" spans="2:12" ht="18.75">
      <c r="B216" s="747"/>
      <c r="C216" s="1955"/>
      <c r="D216" s="935" t="s">
        <v>1988</v>
      </c>
      <c r="E216" s="935"/>
      <c r="F216" s="935"/>
      <c r="G216" s="935"/>
      <c r="H216" s="935"/>
      <c r="I216" s="935">
        <v>39.6</v>
      </c>
      <c r="J216" s="935">
        <v>50</v>
      </c>
      <c r="K216" s="935">
        <v>39.6</v>
      </c>
      <c r="L216" s="935">
        <v>99</v>
      </c>
    </row>
    <row r="217" spans="2:12" ht="18.75">
      <c r="B217" s="747"/>
      <c r="C217" s="935" t="s">
        <v>1879</v>
      </c>
      <c r="D217" s="935" t="s">
        <v>1986</v>
      </c>
      <c r="E217" s="935"/>
      <c r="F217" s="935"/>
      <c r="G217" s="935"/>
      <c r="H217" s="935"/>
      <c r="I217" s="935">
        <v>13</v>
      </c>
      <c r="J217" s="935">
        <v>20</v>
      </c>
      <c r="K217" s="935">
        <v>13</v>
      </c>
      <c r="L217" s="935">
        <f>(I217/(J217*0.8))*100</f>
        <v>81.25</v>
      </c>
    </row>
    <row r="219" spans="2:12" ht="42.75" customHeight="1"/>
    <row r="220" spans="2:12" ht="18.75">
      <c r="J220" s="1903" t="s">
        <v>1163</v>
      </c>
      <c r="K220" s="1903"/>
      <c r="L220" s="1903"/>
    </row>
  </sheetData>
  <mergeCells count="90">
    <mergeCell ref="J220:L220"/>
    <mergeCell ref="G7:G8"/>
    <mergeCell ref="H7:H8"/>
    <mergeCell ref="I7:I8"/>
    <mergeCell ref="J7:J8"/>
    <mergeCell ref="K7:K8"/>
    <mergeCell ref="L7:L8"/>
    <mergeCell ref="B2:L2"/>
    <mergeCell ref="B3:I3"/>
    <mergeCell ref="B4:I4"/>
    <mergeCell ref="J4:L4"/>
    <mergeCell ref="B6:B8"/>
    <mergeCell ref="C6:C8"/>
    <mergeCell ref="E6:H6"/>
    <mergeCell ref="I6:L6"/>
    <mergeCell ref="E7:E8"/>
    <mergeCell ref="F7:F8"/>
    <mergeCell ref="C12:C14"/>
    <mergeCell ref="C15:C18"/>
    <mergeCell ref="C19:C21"/>
    <mergeCell ref="C22:C23"/>
    <mergeCell ref="C24:C25"/>
    <mergeCell ref="C26:C27"/>
    <mergeCell ref="C28:C30"/>
    <mergeCell ref="C31:C34"/>
    <mergeCell ref="C35:C36"/>
    <mergeCell ref="C37:C41"/>
    <mergeCell ref="C42:C44"/>
    <mergeCell ref="C47:C48"/>
    <mergeCell ref="C51:C53"/>
    <mergeCell ref="C54:C56"/>
    <mergeCell ref="C57:C60"/>
    <mergeCell ref="C61:C62"/>
    <mergeCell ref="C63:C64"/>
    <mergeCell ref="C65:C67"/>
    <mergeCell ref="C68:C70"/>
    <mergeCell ref="C71:C73"/>
    <mergeCell ref="C74:C75"/>
    <mergeCell ref="C78:C79"/>
    <mergeCell ref="C80:C81"/>
    <mergeCell ref="C82:C84"/>
    <mergeCell ref="C85:C87"/>
    <mergeCell ref="C88:C89"/>
    <mergeCell ref="C90:C92"/>
    <mergeCell ref="C93:C95"/>
    <mergeCell ref="C96:C97"/>
    <mergeCell ref="C98:C100"/>
    <mergeCell ref="C102:C103"/>
    <mergeCell ref="C104:C106"/>
    <mergeCell ref="C107:C108"/>
    <mergeCell ref="C109:C110"/>
    <mergeCell ref="C111:C113"/>
    <mergeCell ref="C114:C115"/>
    <mergeCell ref="C116:C117"/>
    <mergeCell ref="C119:C120"/>
    <mergeCell ref="C121:C123"/>
    <mergeCell ref="C124:C126"/>
    <mergeCell ref="C127:C128"/>
    <mergeCell ref="C129:C130"/>
    <mergeCell ref="C131:C134"/>
    <mergeCell ref="C135:C137"/>
    <mergeCell ref="C138:C141"/>
    <mergeCell ref="C142:C143"/>
    <mergeCell ref="C144:C146"/>
    <mergeCell ref="C150:C152"/>
    <mergeCell ref="C153:C155"/>
    <mergeCell ref="C156:C158"/>
    <mergeCell ref="C159:C160"/>
    <mergeCell ref="C162:C163"/>
    <mergeCell ref="C164:C166"/>
    <mergeCell ref="C167:C168"/>
    <mergeCell ref="C169:C170"/>
    <mergeCell ref="C171:C173"/>
    <mergeCell ref="C175:C176"/>
    <mergeCell ref="C177:C178"/>
    <mergeCell ref="C180:C181"/>
    <mergeCell ref="C182:C184"/>
    <mergeCell ref="C185:C186"/>
    <mergeCell ref="C188:C189"/>
    <mergeCell ref="C191:C192"/>
    <mergeCell ref="C193:C194"/>
    <mergeCell ref="C195:C196"/>
    <mergeCell ref="C210:C211"/>
    <mergeCell ref="C212:C213"/>
    <mergeCell ref="C214:C216"/>
    <mergeCell ref="C197:C198"/>
    <mergeCell ref="C199:C200"/>
    <mergeCell ref="C201:C202"/>
    <mergeCell ref="C203:C205"/>
    <mergeCell ref="C206:C208"/>
  </mergeCells>
  <pageMargins left="0.70866141732283472" right="0.70866141732283472" top="0.74803149606299213" bottom="0.74803149606299213" header="0.31496062992125984" footer="0.31496062992125984"/>
  <pageSetup paperSize="9" scale="53"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pageSetUpPr fitToPage="1"/>
  </sheetPr>
  <dimension ref="A1:R58"/>
  <sheetViews>
    <sheetView showGridLines="0" view="pageBreakPreview" zoomScale="70" zoomScaleNormal="70" zoomScaleSheetLayoutView="70" workbookViewId="0">
      <pane xSplit="3" ySplit="5" topLeftCell="D6" activePane="bottomRight" state="frozen"/>
      <selection pane="topRight" activeCell="D1" sqref="D1"/>
      <selection pane="bottomLeft" activeCell="A6" sqref="A6"/>
      <selection pane="bottomRight" activeCell="K44" sqref="K44"/>
    </sheetView>
  </sheetViews>
  <sheetFormatPr defaultColWidth="9.140625" defaultRowHeight="15.75"/>
  <cols>
    <col min="1" max="1" width="8.42578125" style="137" customWidth="1"/>
    <col min="2" max="2" width="65.28515625" style="77" customWidth="1"/>
    <col min="3" max="3" width="10.42578125" style="457" customWidth="1"/>
    <col min="4" max="5" width="21" style="77" customWidth="1"/>
    <col min="6" max="6" width="18.42578125" style="77" customWidth="1"/>
    <col min="7" max="7" width="18.42578125" style="77" hidden="1" customWidth="1"/>
    <col min="8" max="8" width="18.85546875" style="77" hidden="1" customWidth="1"/>
    <col min="9" max="9" width="17.28515625" style="77" bestFit="1" customWidth="1"/>
    <col min="10" max="11" width="19" style="77" customWidth="1"/>
    <col min="12" max="12" width="7.5703125" style="77" customWidth="1"/>
    <col min="13" max="16384" width="9.140625" style="77"/>
  </cols>
  <sheetData>
    <row r="1" spans="1:11" ht="21" customHeight="1">
      <c r="A1" s="1379" t="s">
        <v>1233</v>
      </c>
      <c r="B1" s="1380"/>
      <c r="C1" s="1380"/>
      <c r="D1" s="1380"/>
      <c r="E1" s="1380"/>
      <c r="F1" s="1380"/>
      <c r="G1" s="1380"/>
      <c r="H1" s="1380"/>
      <c r="I1" s="1380"/>
      <c r="J1" s="1380"/>
      <c r="K1" s="1380"/>
    </row>
    <row r="2" spans="1:11" ht="21" customHeight="1">
      <c r="A2" s="1378" t="s">
        <v>898</v>
      </c>
      <c r="B2" s="1378"/>
      <c r="C2" s="1378"/>
      <c r="D2" s="479"/>
      <c r="E2" s="479"/>
      <c r="F2" s="479"/>
      <c r="G2" s="479"/>
      <c r="H2" s="479"/>
      <c r="I2" s="479"/>
      <c r="J2" s="494" t="s">
        <v>169</v>
      </c>
      <c r="K2" s="479"/>
    </row>
    <row r="3" spans="1:11" ht="21" customHeight="1">
      <c r="A3" s="135"/>
      <c r="B3" s="327"/>
      <c r="C3" s="480"/>
      <c r="D3" s="1385" t="s">
        <v>1389</v>
      </c>
      <c r="E3" s="1385"/>
      <c r="F3" s="1385"/>
      <c r="G3" s="1385"/>
      <c r="H3" s="1385"/>
      <c r="I3" s="1385"/>
      <c r="J3" s="1385"/>
      <c r="K3" s="1385"/>
    </row>
    <row r="4" spans="1:11" ht="15.75" customHeight="1">
      <c r="A4" s="1381"/>
      <c r="B4" s="1383" t="s">
        <v>48</v>
      </c>
      <c r="C4" s="1371" t="s">
        <v>1237</v>
      </c>
      <c r="D4" s="1373" t="s">
        <v>1916</v>
      </c>
      <c r="E4" s="1374"/>
      <c r="F4" s="1375" t="s">
        <v>1917</v>
      </c>
      <c r="G4" s="1376"/>
      <c r="H4" s="1376"/>
      <c r="I4" s="1377"/>
      <c r="J4" s="1365" t="s">
        <v>1918</v>
      </c>
      <c r="K4" s="1365"/>
    </row>
    <row r="5" spans="1:11" ht="31.5">
      <c r="A5" s="1382"/>
      <c r="B5" s="1384"/>
      <c r="C5" s="1372"/>
      <c r="D5" s="455" t="s">
        <v>1235</v>
      </c>
      <c r="E5" s="328" t="s">
        <v>1236</v>
      </c>
      <c r="F5" s="455" t="s">
        <v>1235</v>
      </c>
      <c r="G5" s="708" t="s">
        <v>1239</v>
      </c>
      <c r="H5" s="455" t="s">
        <v>1240</v>
      </c>
      <c r="I5" s="917" t="s">
        <v>1243</v>
      </c>
      <c r="J5" s="455" t="s">
        <v>1235</v>
      </c>
      <c r="K5" s="325" t="s">
        <v>1243</v>
      </c>
    </row>
    <row r="6" spans="1:11" hidden="1">
      <c r="A6" s="136" t="s">
        <v>49</v>
      </c>
      <c r="B6" s="122" t="s">
        <v>50</v>
      </c>
      <c r="C6" s="481"/>
      <c r="D6" s="127"/>
      <c r="E6" s="321"/>
      <c r="F6" s="321"/>
      <c r="G6" s="321"/>
      <c r="H6" s="321"/>
      <c r="I6" s="321"/>
      <c r="J6" s="321"/>
      <c r="K6" s="321"/>
    </row>
    <row r="7" spans="1:11" hidden="1">
      <c r="A7" s="136" t="s">
        <v>51</v>
      </c>
      <c r="B7" s="122" t="s">
        <v>52</v>
      </c>
      <c r="C7" s="482" t="s">
        <v>102</v>
      </c>
      <c r="D7" s="127"/>
      <c r="E7" s="442"/>
      <c r="F7" s="442"/>
      <c r="G7" s="442"/>
      <c r="H7" s="442"/>
      <c r="I7" s="318"/>
      <c r="J7" s="318"/>
      <c r="K7" s="318"/>
    </row>
    <row r="8" spans="1:11" hidden="1">
      <c r="A8" s="136" t="s">
        <v>53</v>
      </c>
      <c r="B8" s="122" t="s">
        <v>54</v>
      </c>
      <c r="C8" s="482"/>
      <c r="D8" s="277"/>
      <c r="E8" s="443"/>
      <c r="F8" s="443"/>
      <c r="G8" s="443"/>
      <c r="H8" s="443"/>
      <c r="I8" s="443"/>
      <c r="J8" s="443"/>
      <c r="K8" s="443"/>
    </row>
    <row r="9" spans="1:11" hidden="1">
      <c r="A9" s="136" t="s">
        <v>55</v>
      </c>
      <c r="B9" s="122" t="s">
        <v>56</v>
      </c>
      <c r="C9" s="482"/>
      <c r="D9" s="278"/>
      <c r="E9" s="447"/>
      <c r="F9" s="447"/>
      <c r="G9" s="447"/>
      <c r="H9" s="447"/>
      <c r="I9" s="447"/>
      <c r="J9" s="447"/>
      <c r="K9" s="447"/>
    </row>
    <row r="10" spans="1:11" hidden="1">
      <c r="A10" s="136" t="s">
        <v>57</v>
      </c>
      <c r="B10" s="124" t="s">
        <v>58</v>
      </c>
      <c r="C10" s="481"/>
      <c r="D10" s="279"/>
      <c r="E10" s="318"/>
      <c r="F10" s="318"/>
      <c r="G10" s="318"/>
      <c r="H10" s="318"/>
      <c r="I10" s="318"/>
      <c r="J10" s="318"/>
      <c r="K10" s="318"/>
    </row>
    <row r="11" spans="1:11" hidden="1">
      <c r="A11" s="136" t="s">
        <v>59</v>
      </c>
      <c r="B11" s="122" t="s">
        <v>60</v>
      </c>
      <c r="C11" s="481"/>
      <c r="D11" s="279"/>
      <c r="E11" s="444"/>
      <c r="F11" s="444"/>
      <c r="G11" s="444"/>
      <c r="H11" s="444"/>
      <c r="I11" s="444"/>
      <c r="J11" s="444"/>
      <c r="K11" s="444"/>
    </row>
    <row r="12" spans="1:11" ht="31.5" hidden="1">
      <c r="A12" s="136" t="s">
        <v>61</v>
      </c>
      <c r="B12" s="122" t="s">
        <v>62</v>
      </c>
      <c r="C12" s="481"/>
      <c r="D12" s="279"/>
      <c r="E12" s="279"/>
      <c r="F12" s="279"/>
      <c r="G12" s="279"/>
      <c r="H12" s="279"/>
      <c r="I12" s="127"/>
      <c r="J12" s="276"/>
      <c r="K12" s="276"/>
    </row>
    <row r="13" spans="1:11">
      <c r="A13" s="136" t="s">
        <v>331</v>
      </c>
      <c r="B13" s="125" t="s">
        <v>332</v>
      </c>
      <c r="C13" s="481"/>
      <c r="D13" s="127"/>
      <c r="E13" s="127"/>
      <c r="F13" s="127"/>
      <c r="G13" s="127"/>
      <c r="H13" s="127"/>
      <c r="I13" s="127"/>
      <c r="J13" s="276"/>
      <c r="K13" s="276"/>
    </row>
    <row r="14" spans="1:11">
      <c r="A14" s="328">
        <v>1</v>
      </c>
      <c r="B14" s="125" t="s">
        <v>63</v>
      </c>
      <c r="C14" s="134"/>
      <c r="D14" s="275"/>
      <c r="E14" s="275"/>
      <c r="F14" s="275"/>
      <c r="G14" s="275"/>
      <c r="H14" s="275"/>
      <c r="I14" s="275"/>
      <c r="J14" s="276"/>
      <c r="K14" s="276"/>
    </row>
    <row r="15" spans="1:11">
      <c r="A15" s="328" t="s">
        <v>64</v>
      </c>
      <c r="B15" s="127" t="s">
        <v>343</v>
      </c>
      <c r="C15" s="483" t="s">
        <v>106</v>
      </c>
      <c r="D15" s="283">
        <f>'F4'!C18</f>
        <v>1279.2</v>
      </c>
      <c r="E15" s="283">
        <f>'F4'!D18</f>
        <v>1002.3199999000001</v>
      </c>
      <c r="F15" s="283">
        <f>'F4'!E18</f>
        <v>870.904</v>
      </c>
      <c r="G15" s="283">
        <f>'F4'!F12</f>
        <v>0</v>
      </c>
      <c r="H15" s="283">
        <f>'F4'!G12</f>
        <v>0</v>
      </c>
      <c r="I15" s="283">
        <f>'F4'!H18</f>
        <v>870.904</v>
      </c>
      <c r="J15" s="283">
        <f>'F4'!I18</f>
        <v>1946.33</v>
      </c>
      <c r="K15" s="283">
        <f ca="1">'F4'!J18</f>
        <v>1563.8415936948222</v>
      </c>
    </row>
    <row r="16" spans="1:11" ht="16.5" thickBot="1">
      <c r="A16" s="328" t="s">
        <v>65</v>
      </c>
      <c r="B16" s="385" t="s">
        <v>67</v>
      </c>
      <c r="C16" s="484"/>
      <c r="D16" s="703">
        <v>0</v>
      </c>
      <c r="E16" s="703">
        <v>0</v>
      </c>
      <c r="F16" s="703">
        <v>0</v>
      </c>
      <c r="G16" s="703">
        <v>0</v>
      </c>
      <c r="H16" s="703">
        <v>0</v>
      </c>
      <c r="I16" s="703">
        <v>0</v>
      </c>
      <c r="J16" s="703">
        <v>0</v>
      </c>
      <c r="K16" s="703">
        <v>0</v>
      </c>
    </row>
    <row r="17" spans="1:11" ht="16.5" thickBot="1">
      <c r="A17" s="328"/>
      <c r="B17" s="128" t="s">
        <v>335</v>
      </c>
      <c r="C17" s="485"/>
      <c r="D17" s="296">
        <f>D15+D16</f>
        <v>1279.2</v>
      </c>
      <c r="E17" s="296">
        <f t="shared" ref="E17:K17" si="0">E15+E16</f>
        <v>1002.3199999000001</v>
      </c>
      <c r="F17" s="296">
        <f t="shared" si="0"/>
        <v>870.904</v>
      </c>
      <c r="G17" s="296">
        <f t="shared" si="0"/>
        <v>0</v>
      </c>
      <c r="H17" s="296">
        <f t="shared" si="0"/>
        <v>0</v>
      </c>
      <c r="I17" s="296">
        <f t="shared" si="0"/>
        <v>870.904</v>
      </c>
      <c r="J17" s="296">
        <f t="shared" si="0"/>
        <v>1946.33</v>
      </c>
      <c r="K17" s="296">
        <f t="shared" ca="1" si="0"/>
        <v>1563.8415936948222</v>
      </c>
    </row>
    <row r="18" spans="1:11">
      <c r="A18" s="328" t="s">
        <v>166</v>
      </c>
      <c r="B18" s="125" t="s">
        <v>69</v>
      </c>
      <c r="C18" s="134"/>
      <c r="D18" s="127"/>
      <c r="E18" s="127"/>
      <c r="F18" s="127"/>
      <c r="G18" s="127"/>
      <c r="H18" s="127"/>
      <c r="I18" s="127"/>
      <c r="J18" s="276"/>
      <c r="K18" s="276"/>
    </row>
    <row r="19" spans="1:11">
      <c r="A19" s="328">
        <v>1</v>
      </c>
      <c r="B19" s="125" t="s">
        <v>326</v>
      </c>
      <c r="C19" s="134"/>
      <c r="D19" s="127"/>
      <c r="E19" s="127"/>
      <c r="F19" s="127"/>
      <c r="G19" s="127"/>
      <c r="H19" s="127"/>
      <c r="I19" s="127"/>
      <c r="J19" s="276"/>
      <c r="K19" s="276"/>
    </row>
    <row r="20" spans="1:11">
      <c r="A20" s="328" t="s">
        <v>327</v>
      </c>
      <c r="B20" s="126" t="s">
        <v>276</v>
      </c>
      <c r="C20" s="483"/>
      <c r="D20" s="283">
        <f>'F13'!C7</f>
        <v>182.06</v>
      </c>
      <c r="E20" s="283">
        <f>'F13'!D7</f>
        <v>188.70411387605893</v>
      </c>
      <c r="F20" s="283">
        <f>'F13'!E7</f>
        <v>193.05</v>
      </c>
      <c r="G20" s="283">
        <f>'F13'!F7</f>
        <v>0</v>
      </c>
      <c r="H20" s="283">
        <f>'F13'!G7</f>
        <v>0</v>
      </c>
      <c r="I20" s="283">
        <f>'F13'!H7</f>
        <v>211.86081281817502</v>
      </c>
      <c r="J20" s="283">
        <f>'F13'!I7</f>
        <v>256.05</v>
      </c>
      <c r="K20" s="283">
        <f>'F13'!J7</f>
        <v>235.15158617980126</v>
      </c>
    </row>
    <row r="21" spans="1:11">
      <c r="A21" s="328" t="s">
        <v>328</v>
      </c>
      <c r="B21" s="126" t="s">
        <v>70</v>
      </c>
      <c r="C21" s="483"/>
      <c r="D21" s="283">
        <f>'F13'!C6</f>
        <v>96.734560000000002</v>
      </c>
      <c r="E21" s="283">
        <f>'F13'!D6</f>
        <v>84.352566498405594</v>
      </c>
      <c r="F21" s="283">
        <f>'F13'!E6</f>
        <v>103.07752799999999</v>
      </c>
      <c r="G21" s="283">
        <f>'F13'!F6</f>
        <v>0</v>
      </c>
      <c r="H21" s="283">
        <f>'F13'!G6</f>
        <v>0</v>
      </c>
      <c r="I21" s="283">
        <f>'F13'!H6</f>
        <v>109.9224666663472</v>
      </c>
      <c r="J21" s="283">
        <f>'F13'!I6</f>
        <v>139.475888</v>
      </c>
      <c r="K21" s="283">
        <f>'F13'!J6</f>
        <v>132.12505298954719</v>
      </c>
    </row>
    <row r="22" spans="1:11">
      <c r="A22" s="328" t="s">
        <v>333</v>
      </c>
      <c r="B22" s="126" t="s">
        <v>71</v>
      </c>
      <c r="C22" s="483"/>
      <c r="D22" s="283">
        <f>'F13'!C8</f>
        <v>44.611318959999991</v>
      </c>
      <c r="E22" s="283">
        <f>'F13'!D8</f>
        <v>42.070986721287518</v>
      </c>
      <c r="F22" s="283">
        <f>'F13'!E8</f>
        <v>44.631063999999995</v>
      </c>
      <c r="G22" s="283">
        <f>'F13'!F8</f>
        <v>0</v>
      </c>
      <c r="H22" s="283">
        <f>'F13'!G8</f>
        <v>0</v>
      </c>
      <c r="I22" s="283">
        <f>'F13'!H8</f>
        <v>43.966589551950179</v>
      </c>
      <c r="J22" s="283">
        <f>'F13'!I8</f>
        <v>61.647340794000002</v>
      </c>
      <c r="K22" s="283">
        <f>'F13'!J8</f>
        <v>45.777902866959877</v>
      </c>
    </row>
    <row r="23" spans="1:11">
      <c r="A23" s="328" t="s">
        <v>648</v>
      </c>
      <c r="B23" s="126" t="s">
        <v>646</v>
      </c>
      <c r="C23" s="483"/>
      <c r="D23" s="283">
        <f>'F13'!C9</f>
        <v>10.63</v>
      </c>
      <c r="E23" s="283">
        <f>'F13'!D9</f>
        <v>11.96</v>
      </c>
      <c r="F23" s="283">
        <f>'F13'!E9</f>
        <v>12.96</v>
      </c>
      <c r="G23" s="283">
        <f>'F13'!F9</f>
        <v>0</v>
      </c>
      <c r="H23" s="283">
        <f>'F13'!G9</f>
        <v>0</v>
      </c>
      <c r="I23" s="283">
        <f>'F13'!H9</f>
        <v>11.96</v>
      </c>
      <c r="J23" s="283">
        <f>'F13'!I9</f>
        <v>10.7</v>
      </c>
      <c r="K23" s="283">
        <f>'F13'!J9</f>
        <v>11.96</v>
      </c>
    </row>
    <row r="24" spans="1:11">
      <c r="A24" s="328"/>
      <c r="B24" s="126" t="s">
        <v>647</v>
      </c>
      <c r="C24" s="483"/>
      <c r="D24" s="284">
        <f>SUM(D20:D23)</f>
        <v>334.03587895999999</v>
      </c>
      <c r="E24" s="284">
        <f t="shared" ref="E24:K24" si="1">SUM(E20:E23)</f>
        <v>327.08766709575201</v>
      </c>
      <c r="F24" s="284">
        <f t="shared" si="1"/>
        <v>353.71859199999994</v>
      </c>
      <c r="G24" s="284">
        <f t="shared" si="1"/>
        <v>0</v>
      </c>
      <c r="H24" s="284">
        <f t="shared" si="1"/>
        <v>0</v>
      </c>
      <c r="I24" s="284">
        <f t="shared" si="1"/>
        <v>377.70986903647236</v>
      </c>
      <c r="J24" s="284">
        <f t="shared" si="1"/>
        <v>467.873228794</v>
      </c>
      <c r="K24" s="284">
        <f t="shared" si="1"/>
        <v>425.01454203630828</v>
      </c>
    </row>
    <row r="25" spans="1:11">
      <c r="A25" s="328">
        <v>2</v>
      </c>
      <c r="B25" s="126" t="s">
        <v>88</v>
      </c>
      <c r="C25" s="483"/>
      <c r="D25" s="316">
        <f>'F10'!C39</f>
        <v>351.04892591778207</v>
      </c>
      <c r="E25" s="316">
        <f>'F10'!D39</f>
        <v>200.42377837396404</v>
      </c>
      <c r="F25" s="316">
        <f>'F10'!E39</f>
        <v>338.38379983036475</v>
      </c>
      <c r="G25" s="316">
        <f>'F10'!F39</f>
        <v>0</v>
      </c>
      <c r="H25" s="316">
        <f>'F10'!G39</f>
        <v>0</v>
      </c>
      <c r="I25" s="316">
        <f>'F10'!H39</f>
        <v>257.08711255928898</v>
      </c>
      <c r="J25" s="316">
        <f>'F10'!I39</f>
        <v>405.20305949351757</v>
      </c>
      <c r="K25" s="316">
        <f>'F10'!J39</f>
        <v>300.24770874482607</v>
      </c>
    </row>
    <row r="26" spans="1:11">
      <c r="A26" s="328">
        <f>+A25+1</f>
        <v>3</v>
      </c>
      <c r="B26" s="126" t="s">
        <v>72</v>
      </c>
      <c r="C26" s="483"/>
      <c r="D26" s="285">
        <f>'F7-2'!C54</f>
        <v>313.97999999999996</v>
      </c>
      <c r="E26" s="285">
        <f>'F7-2'!D56</f>
        <v>303.13866477719597</v>
      </c>
      <c r="F26" s="285">
        <f>'F7-2'!E54</f>
        <v>330.48471599999993</v>
      </c>
      <c r="G26" s="285">
        <f>'F7-2'!F54</f>
        <v>0</v>
      </c>
      <c r="H26" s="285">
        <f>'F7-2'!G54</f>
        <v>0</v>
      </c>
      <c r="I26" s="285">
        <f>'F7-2'!H56</f>
        <v>385.99356169947055</v>
      </c>
      <c r="J26" s="285">
        <f>'F7-2'!I54</f>
        <v>591.19000000000005</v>
      </c>
      <c r="K26" s="285">
        <f>'F7-2'!J56</f>
        <v>473.18625988814802</v>
      </c>
    </row>
    <row r="27" spans="1:11">
      <c r="A27" s="328">
        <f>+A26+1</f>
        <v>4</v>
      </c>
      <c r="B27" s="126" t="s">
        <v>649</v>
      </c>
      <c r="C27" s="483"/>
      <c r="D27" s="285">
        <f>Interest!C19</f>
        <v>343.16730000000001</v>
      </c>
      <c r="E27" s="285">
        <f>Interest!D19</f>
        <v>381.20614651609282</v>
      </c>
      <c r="F27" s="285">
        <f>Interest!E19</f>
        <v>390.20392741000001</v>
      </c>
      <c r="G27" s="285">
        <f>Interest!F19</f>
        <v>0</v>
      </c>
      <c r="H27" s="285">
        <f>Interest!G19</f>
        <v>0</v>
      </c>
      <c r="I27" s="285">
        <f>Interest!H19</f>
        <v>390.7839306458456</v>
      </c>
      <c r="J27" s="285">
        <f>Interest!I19</f>
        <v>484.04530481999996</v>
      </c>
      <c r="K27" s="285">
        <f>Interest!J19</f>
        <v>473.69751401469091</v>
      </c>
    </row>
    <row r="28" spans="1:11">
      <c r="A28" s="328"/>
      <c r="B28" s="126" t="s">
        <v>579</v>
      </c>
      <c r="C28" s="483"/>
      <c r="D28" s="275">
        <f>'F7-2'!C33</f>
        <v>0</v>
      </c>
      <c r="E28" s="275"/>
      <c r="F28" s="275"/>
      <c r="G28" s="275"/>
      <c r="H28" s="275"/>
      <c r="I28" s="275"/>
      <c r="J28" s="276"/>
      <c r="K28" s="276"/>
    </row>
    <row r="29" spans="1:11">
      <c r="A29" s="328">
        <f>+A27+1</f>
        <v>5</v>
      </c>
      <c r="B29" s="126" t="s">
        <v>388</v>
      </c>
      <c r="C29" s="483"/>
      <c r="D29" s="283">
        <f>'F19'!C12</f>
        <v>13.437361741403635</v>
      </c>
      <c r="E29" s="283">
        <f>'F19'!D12</f>
        <v>11.054805521290383</v>
      </c>
      <c r="F29" s="283">
        <f>'F19'!E12</f>
        <v>13.089185889019229</v>
      </c>
      <c r="G29" s="283">
        <f>'F19'!F12</f>
        <v>0</v>
      </c>
      <c r="H29" s="283">
        <f>'F19'!G12</f>
        <v>0</v>
      </c>
      <c r="I29" s="283">
        <f ca="1">'F19'!H12</f>
        <v>11.13933864953373</v>
      </c>
      <c r="J29" s="283">
        <f>'F19'!I12</f>
        <v>20.316067451050539</v>
      </c>
      <c r="K29" s="283">
        <f ca="1">'F19'!J12</f>
        <v>13.112989624402097</v>
      </c>
    </row>
    <row r="30" spans="1:11">
      <c r="A30" s="328">
        <f>+A29+1</f>
        <v>6</v>
      </c>
      <c r="B30" s="126" t="s">
        <v>580</v>
      </c>
      <c r="C30" s="483"/>
      <c r="D30" s="275"/>
      <c r="E30" s="275"/>
      <c r="F30" s="275"/>
      <c r="G30" s="275"/>
      <c r="H30" s="275"/>
      <c r="I30" s="283"/>
      <c r="K30" s="283"/>
    </row>
    <row r="31" spans="1:11">
      <c r="A31" s="329">
        <f>+A30+1</f>
        <v>7</v>
      </c>
      <c r="B31" s="126" t="s">
        <v>2309</v>
      </c>
      <c r="C31" s="483"/>
      <c r="D31" s="275"/>
      <c r="E31" s="283">
        <f>'F13'!E31</f>
        <v>-0.42529428116803558</v>
      </c>
      <c r="F31" s="275"/>
      <c r="G31" s="275"/>
      <c r="H31" s="275"/>
      <c r="I31" s="275"/>
      <c r="J31" s="276"/>
      <c r="K31" s="283"/>
    </row>
    <row r="32" spans="1:11">
      <c r="A32" s="458">
        <v>8</v>
      </c>
      <c r="B32" s="126" t="s">
        <v>1385</v>
      </c>
      <c r="C32" s="483"/>
      <c r="D32" s="275"/>
      <c r="E32" s="285">
        <f ca="1">Incentive!D30+Incentive!D23</f>
        <v>8.3809436891574798</v>
      </c>
      <c r="F32" s="275"/>
      <c r="G32" s="275"/>
      <c r="H32" s="275"/>
      <c r="I32" s="275"/>
      <c r="J32" s="276"/>
      <c r="K32" s="276"/>
    </row>
    <row r="33" spans="1:18">
      <c r="A33" s="458">
        <v>9</v>
      </c>
      <c r="B33" s="126" t="s">
        <v>1386</v>
      </c>
      <c r="C33" s="483"/>
      <c r="D33" s="275"/>
      <c r="E33" s="283"/>
      <c r="F33" s="275"/>
      <c r="G33" s="275"/>
      <c r="H33" s="275"/>
      <c r="I33" s="275"/>
      <c r="J33" s="276"/>
      <c r="K33" s="276"/>
    </row>
    <row r="34" spans="1:18" ht="16.5" thickBot="1">
      <c r="A34" s="329"/>
      <c r="B34" s="704" t="s">
        <v>336</v>
      </c>
      <c r="C34" s="705"/>
      <c r="D34" s="707">
        <f>SUM(D24:D27,D29:D33)-D28</f>
        <v>1355.6694666191859</v>
      </c>
      <c r="E34" s="707">
        <f t="shared" ref="E34:F34" ca="1" si="2">SUM(E24:E27,E29:E33)-E28</f>
        <v>1230.8667116922843</v>
      </c>
      <c r="F34" s="707">
        <f t="shared" si="2"/>
        <v>1425.8802211293839</v>
      </c>
      <c r="G34" s="706"/>
      <c r="H34" s="706"/>
      <c r="I34" s="707">
        <f t="shared" ref="I34:K34" ca="1" si="3">SUM(I24:I27,I29:I33)-I28</f>
        <v>1422.7138125906113</v>
      </c>
      <c r="J34" s="707">
        <f t="shared" ref="J34" si="4">SUM(J24:J27,J29:J33)-J28</f>
        <v>1968.6276605585681</v>
      </c>
      <c r="K34" s="707">
        <f t="shared" ca="1" si="3"/>
        <v>1685.2590143083755</v>
      </c>
    </row>
    <row r="35" spans="1:18">
      <c r="A35" s="328" t="s">
        <v>208</v>
      </c>
      <c r="B35" s="125" t="s">
        <v>337</v>
      </c>
      <c r="C35" s="134"/>
      <c r="D35" s="275"/>
      <c r="E35" s="275"/>
      <c r="F35" s="275"/>
      <c r="G35" s="275"/>
      <c r="H35" s="275"/>
      <c r="I35" s="275"/>
      <c r="J35" s="276"/>
      <c r="K35" s="276"/>
    </row>
    <row r="36" spans="1:18">
      <c r="A36" s="328">
        <v>1</v>
      </c>
      <c r="B36" s="126" t="s">
        <v>330</v>
      </c>
      <c r="C36" s="483"/>
      <c r="D36" s="275"/>
      <c r="E36" s="275"/>
      <c r="F36" s="275"/>
      <c r="G36" s="275"/>
      <c r="H36" s="275"/>
      <c r="I36" s="275"/>
      <c r="J36" s="276"/>
      <c r="K36" s="276"/>
    </row>
    <row r="37" spans="1:18">
      <c r="A37" s="328">
        <f>+A36+1</f>
        <v>2</v>
      </c>
      <c r="B37" s="126" t="s">
        <v>1390</v>
      </c>
      <c r="C37" s="483"/>
      <c r="D37" s="283">
        <f>'F18'!C27</f>
        <v>76.503</v>
      </c>
      <c r="E37" s="283">
        <f>'F18'!D20</f>
        <v>98.30675369799998</v>
      </c>
      <c r="F37" s="283">
        <f>'F18'!E20</f>
        <v>133.69999999999999</v>
      </c>
      <c r="G37" s="283">
        <f>'F18'!F20</f>
        <v>0</v>
      </c>
      <c r="H37" s="283">
        <f>'F18'!G20</f>
        <v>0</v>
      </c>
      <c r="I37" s="283">
        <f ca="1">'F18'!H20</f>
        <v>103.22209138290002</v>
      </c>
      <c r="J37" s="283">
        <f>'F18'!I20</f>
        <v>84.34</v>
      </c>
      <c r="K37" s="283">
        <f ca="1">'F18'!J20</f>
        <v>108.38319595204503</v>
      </c>
      <c r="M37" s="749"/>
    </row>
    <row r="38" spans="1:18" ht="16.5" thickBot="1">
      <c r="A38" s="328">
        <f>+A37+1</f>
        <v>3</v>
      </c>
      <c r="B38" s="385" t="s">
        <v>650</v>
      </c>
      <c r="C38" s="484"/>
      <c r="D38" s="280"/>
      <c r="E38" s="280"/>
      <c r="F38" s="280"/>
      <c r="G38" s="280"/>
      <c r="H38" s="280"/>
      <c r="I38" s="280"/>
      <c r="J38" s="281"/>
      <c r="K38" s="281"/>
      <c r="R38" s="77" t="s">
        <v>1151</v>
      </c>
    </row>
    <row r="39" spans="1:18" ht="16.5" thickBot="1">
      <c r="A39" s="329"/>
      <c r="B39" s="128" t="s">
        <v>338</v>
      </c>
      <c r="C39" s="485"/>
      <c r="D39" s="296">
        <f>SUM(D36:D38)</f>
        <v>76.503</v>
      </c>
      <c r="E39" s="296">
        <f t="shared" ref="E39:K39" si="5">SUM(E36:E38)</f>
        <v>98.30675369799998</v>
      </c>
      <c r="F39" s="296">
        <f t="shared" si="5"/>
        <v>133.69999999999999</v>
      </c>
      <c r="G39" s="296">
        <f t="shared" si="5"/>
        <v>0</v>
      </c>
      <c r="H39" s="296">
        <f t="shared" si="5"/>
        <v>0</v>
      </c>
      <c r="I39" s="296">
        <f t="shared" ca="1" si="5"/>
        <v>103.22209138290002</v>
      </c>
      <c r="J39" s="296">
        <f t="shared" si="5"/>
        <v>84.34</v>
      </c>
      <c r="K39" s="296">
        <f t="shared" ca="1" si="5"/>
        <v>108.38319595204503</v>
      </c>
      <c r="M39" s="749"/>
    </row>
    <row r="40" spans="1:18" ht="16.5" thickBot="1">
      <c r="A40" s="329" t="s">
        <v>209</v>
      </c>
      <c r="B40" s="128" t="s">
        <v>340</v>
      </c>
      <c r="C40" s="485"/>
      <c r="D40" s="296">
        <f>D34-D39+0.01</f>
        <v>1279.1764666191859</v>
      </c>
      <c r="E40" s="296">
        <f ca="1">E34-E39</f>
        <v>1132.5599579942843</v>
      </c>
      <c r="F40" s="296">
        <f t="shared" ref="F40:K40" si="6">F34-F39</f>
        <v>1292.1802211293839</v>
      </c>
      <c r="G40" s="296">
        <f t="shared" si="6"/>
        <v>0</v>
      </c>
      <c r="H40" s="296">
        <f t="shared" si="6"/>
        <v>0</v>
      </c>
      <c r="I40" s="296">
        <f t="shared" ca="1" si="6"/>
        <v>1319.4917212077112</v>
      </c>
      <c r="J40" s="296">
        <f t="shared" si="6"/>
        <v>1884.2876605585682</v>
      </c>
      <c r="K40" s="296">
        <f t="shared" ca="1" si="6"/>
        <v>1576.8758183563305</v>
      </c>
      <c r="L40" s="750"/>
    </row>
    <row r="41" spans="1:18" ht="16.5" thickBot="1">
      <c r="A41" s="714"/>
      <c r="B41" s="128" t="s">
        <v>1769</v>
      </c>
      <c r="C41" s="485"/>
      <c r="D41" s="296">
        <v>-276.89</v>
      </c>
      <c r="E41" s="296">
        <f>D41</f>
        <v>-276.89</v>
      </c>
      <c r="F41" s="296">
        <v>-421.47500000000002</v>
      </c>
      <c r="G41" s="296"/>
      <c r="H41" s="296"/>
      <c r="I41" s="296">
        <f>F41</f>
        <v>-421.47500000000002</v>
      </c>
      <c r="J41" s="296"/>
      <c r="K41" s="296"/>
    </row>
    <row r="42" spans="1:18" ht="16.5" thickBot="1">
      <c r="A42" s="329" t="s">
        <v>210</v>
      </c>
      <c r="B42" s="128" t="s">
        <v>1387</v>
      </c>
      <c r="C42" s="485"/>
      <c r="D42" s="296">
        <f>D40-D17+D41</f>
        <v>-276.9135333808141</v>
      </c>
      <c r="E42" s="296">
        <f ca="1">E40-E17+E41</f>
        <v>-146.65004190571574</v>
      </c>
      <c r="F42" s="290">
        <f>F17-F40-F41</f>
        <v>0.19877887061613819</v>
      </c>
      <c r="G42" s="290"/>
      <c r="H42" s="290"/>
      <c r="I42" s="296">
        <f ca="1">I40-I17+I41</f>
        <v>27.112721207711161</v>
      </c>
      <c r="J42" s="489"/>
      <c r="K42" s="296"/>
    </row>
    <row r="43" spans="1:18" ht="16.5" thickBot="1">
      <c r="A43" s="329" t="s">
        <v>211</v>
      </c>
      <c r="B43" s="128" t="s">
        <v>341</v>
      </c>
      <c r="C43" s="485"/>
      <c r="D43" s="282"/>
      <c r="E43" s="282"/>
      <c r="F43" s="282"/>
      <c r="G43" s="282"/>
      <c r="H43" s="282"/>
      <c r="I43" s="282"/>
      <c r="J43" s="282"/>
      <c r="K43" s="282"/>
    </row>
    <row r="44" spans="1:18" ht="16.5" thickBot="1">
      <c r="A44" s="329"/>
      <c r="B44" s="129"/>
      <c r="C44" s="486"/>
      <c r="D44" s="297"/>
      <c r="E44" s="297"/>
      <c r="F44" s="297"/>
      <c r="G44" s="297"/>
      <c r="H44" s="297"/>
      <c r="I44" s="297"/>
      <c r="J44" s="490"/>
      <c r="K44" s="1209">
        <f ca="1">K40+'Carrying Cost'!D11</f>
        <v>1403.0588561875809</v>
      </c>
    </row>
    <row r="45" spans="1:18" ht="16.5" thickTop="1">
      <c r="A45" s="491" t="s">
        <v>212</v>
      </c>
      <c r="B45" s="492" t="s">
        <v>899</v>
      </c>
      <c r="C45" s="493"/>
      <c r="D45" s="492"/>
      <c r="E45" s="492"/>
      <c r="F45" s="140"/>
      <c r="G45" s="140"/>
      <c r="H45" s="140"/>
      <c r="I45" s="140"/>
      <c r="J45" s="140"/>
      <c r="K45" s="1077"/>
      <c r="L45" s="751"/>
      <c r="M45" s="751"/>
    </row>
    <row r="46" spans="1:18" ht="21" customHeight="1">
      <c r="B46" s="141"/>
      <c r="C46" s="487"/>
      <c r="D46" s="141"/>
      <c r="E46" s="1065"/>
      <c r="F46" s="141"/>
      <c r="G46" s="141"/>
      <c r="H46" s="141"/>
      <c r="I46" s="141"/>
      <c r="J46" s="141"/>
      <c r="K46" s="141"/>
      <c r="L46" s="751"/>
      <c r="M46" s="751"/>
    </row>
    <row r="47" spans="1:18" ht="21" customHeight="1">
      <c r="E47" s="749"/>
      <c r="I47" s="1341" t="s">
        <v>427</v>
      </c>
      <c r="J47" s="1341"/>
      <c r="K47" s="1341"/>
    </row>
    <row r="48" spans="1:18" ht="21" customHeight="1">
      <c r="J48" s="326"/>
    </row>
    <row r="49" spans="1:11" ht="21" hidden="1" customHeight="1">
      <c r="J49" s="326"/>
    </row>
    <row r="50" spans="1:11" ht="21" hidden="1" customHeight="1">
      <c r="J50" s="326"/>
    </row>
    <row r="51" spans="1:11" ht="21" hidden="1" customHeight="1">
      <c r="A51" s="138" t="s">
        <v>212</v>
      </c>
      <c r="B51" s="130"/>
      <c r="C51" s="488"/>
      <c r="D51" s="130"/>
      <c r="E51" s="130"/>
      <c r="F51" s="130"/>
      <c r="G51" s="130"/>
      <c r="H51" s="130"/>
      <c r="I51" s="130"/>
      <c r="J51" s="130"/>
      <c r="K51" s="130"/>
    </row>
    <row r="52" spans="1:11" ht="21" hidden="1" customHeight="1">
      <c r="A52" s="139">
        <v>1</v>
      </c>
      <c r="B52" s="131" t="s">
        <v>364</v>
      </c>
      <c r="C52" s="1366" t="s">
        <v>384</v>
      </c>
      <c r="D52" s="1367"/>
      <c r="E52" s="1367"/>
      <c r="F52" s="1367"/>
      <c r="G52" s="1367"/>
      <c r="H52" s="1367"/>
      <c r="I52" s="1367"/>
      <c r="J52" s="1367"/>
      <c r="K52" s="1368"/>
    </row>
    <row r="53" spans="1:11" ht="21" hidden="1" customHeight="1">
      <c r="A53" s="139">
        <v>2</v>
      </c>
      <c r="B53" s="132" t="s">
        <v>368</v>
      </c>
      <c r="C53" s="1369">
        <v>20.100000000000001</v>
      </c>
      <c r="D53" s="1370"/>
      <c r="E53" s="386"/>
      <c r="F53" s="456"/>
      <c r="G53" s="456"/>
      <c r="H53" s="456"/>
      <c r="I53" s="387"/>
      <c r="J53" s="387"/>
      <c r="K53" s="133"/>
    </row>
    <row r="54" spans="1:11" ht="21" hidden="1" customHeight="1">
      <c r="A54" s="139">
        <v>3</v>
      </c>
      <c r="B54" s="132" t="s">
        <v>355</v>
      </c>
      <c r="C54" s="1363" t="s">
        <v>366</v>
      </c>
      <c r="D54" s="1364"/>
      <c r="E54" s="387"/>
      <c r="F54" s="454"/>
      <c r="G54" s="454"/>
      <c r="H54" s="454"/>
      <c r="I54" s="387"/>
      <c r="J54" s="387"/>
      <c r="K54" s="133"/>
    </row>
    <row r="55" spans="1:11" ht="21" hidden="1" customHeight="1">
      <c r="A55" s="139">
        <v>4</v>
      </c>
      <c r="B55" s="132" t="s">
        <v>356</v>
      </c>
      <c r="C55" s="1363" t="s">
        <v>385</v>
      </c>
      <c r="D55" s="1364"/>
      <c r="E55" s="387"/>
      <c r="F55" s="454"/>
      <c r="G55" s="454"/>
      <c r="H55" s="454"/>
      <c r="I55" s="387"/>
      <c r="J55" s="387"/>
      <c r="K55" s="133"/>
    </row>
    <row r="56" spans="1:11" ht="21" hidden="1" customHeight="1">
      <c r="A56" s="139">
        <v>5</v>
      </c>
      <c r="B56" s="132" t="s">
        <v>357</v>
      </c>
      <c r="C56" s="1363"/>
      <c r="D56" s="1364"/>
      <c r="E56" s="387"/>
      <c r="F56" s="454"/>
      <c r="G56" s="454"/>
      <c r="H56" s="454"/>
      <c r="I56" s="387"/>
      <c r="J56" s="387"/>
      <c r="K56" s="133"/>
    </row>
    <row r="57" spans="1:11" ht="21" hidden="1" customHeight="1"/>
    <row r="58" spans="1:11">
      <c r="K58" s="749">
        <f ca="1">K44*10000000/6866/8760</f>
        <v>233.27488507788044</v>
      </c>
    </row>
  </sheetData>
  <mergeCells count="15">
    <mergeCell ref="A2:C2"/>
    <mergeCell ref="A1:K1"/>
    <mergeCell ref="C54:D54"/>
    <mergeCell ref="A4:A5"/>
    <mergeCell ref="B4:B5"/>
    <mergeCell ref="D3:K3"/>
    <mergeCell ref="C55:D55"/>
    <mergeCell ref="C56:D56"/>
    <mergeCell ref="J4:K4"/>
    <mergeCell ref="C52:K52"/>
    <mergeCell ref="C53:D53"/>
    <mergeCell ref="C4:C5"/>
    <mergeCell ref="D4:E4"/>
    <mergeCell ref="F4:I4"/>
    <mergeCell ref="I47:K47"/>
  </mergeCells>
  <printOptions horizontalCentered="1" verticalCentered="1"/>
  <pageMargins left="0.27559055118110237" right="0.31496062992125984" top="0" bottom="0" header="0.31496062992125984" footer="0.31496062992125984"/>
  <pageSetup paperSize="9" scale="68" fitToHeight="0" orientation="landscape" r:id="rId1"/>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26"/>
  <sheetViews>
    <sheetView showGridLines="0" view="pageBreakPreview" zoomScale="55" zoomScaleNormal="70" zoomScaleSheetLayoutView="55" workbookViewId="0">
      <selection activeCell="V29" sqref="V29"/>
    </sheetView>
  </sheetViews>
  <sheetFormatPr defaultRowHeight="15"/>
  <cols>
    <col min="1" max="1" width="4.42578125" customWidth="1"/>
    <col min="3" max="3" width="28.7109375" style="912" customWidth="1"/>
    <col min="4" max="4" width="11.42578125" customWidth="1"/>
    <col min="5" max="5" width="8.28515625" customWidth="1"/>
    <col min="6" max="6" width="31.7109375" customWidth="1"/>
    <col min="7" max="7" width="11.28515625" customWidth="1"/>
    <col min="8" max="8" width="7.42578125" customWidth="1"/>
    <col min="9" max="9" width="31.7109375" customWidth="1"/>
    <col min="10" max="10" width="3" customWidth="1"/>
    <col min="258" max="258" width="33.85546875" customWidth="1"/>
    <col min="259" max="259" width="9.85546875" customWidth="1"/>
    <col min="260" max="260" width="8.28515625" customWidth="1"/>
    <col min="261" max="261" width="10.7109375" customWidth="1"/>
    <col min="262" max="262" width="11.28515625" customWidth="1"/>
    <col min="263" max="263" width="7.42578125" customWidth="1"/>
    <col min="264" max="264" width="8.5703125" customWidth="1"/>
    <col min="265" max="265" width="51" customWidth="1"/>
    <col min="514" max="514" width="33.85546875" customWidth="1"/>
    <col min="515" max="515" width="9.85546875" customWidth="1"/>
    <col min="516" max="516" width="8.28515625" customWidth="1"/>
    <col min="517" max="517" width="10.7109375" customWidth="1"/>
    <col min="518" max="518" width="11.28515625" customWidth="1"/>
    <col min="519" max="519" width="7.42578125" customWidth="1"/>
    <col min="520" max="520" width="8.5703125" customWidth="1"/>
    <col min="521" max="521" width="51" customWidth="1"/>
    <col min="770" max="770" width="33.85546875" customWidth="1"/>
    <col min="771" max="771" width="9.85546875" customWidth="1"/>
    <col min="772" max="772" width="8.28515625" customWidth="1"/>
    <col min="773" max="773" width="10.7109375" customWidth="1"/>
    <col min="774" max="774" width="11.28515625" customWidth="1"/>
    <col min="775" max="775" width="7.42578125" customWidth="1"/>
    <col min="776" max="776" width="8.5703125" customWidth="1"/>
    <col min="777" max="777" width="51" customWidth="1"/>
    <col min="1026" max="1026" width="33.85546875" customWidth="1"/>
    <col min="1027" max="1027" width="9.85546875" customWidth="1"/>
    <col min="1028" max="1028" width="8.28515625" customWidth="1"/>
    <col min="1029" max="1029" width="10.7109375" customWidth="1"/>
    <col min="1030" max="1030" width="11.28515625" customWidth="1"/>
    <col min="1031" max="1031" width="7.42578125" customWidth="1"/>
    <col min="1032" max="1032" width="8.5703125" customWidth="1"/>
    <col min="1033" max="1033" width="51" customWidth="1"/>
    <col min="1282" max="1282" width="33.85546875" customWidth="1"/>
    <col min="1283" max="1283" width="9.85546875" customWidth="1"/>
    <col min="1284" max="1284" width="8.28515625" customWidth="1"/>
    <col min="1285" max="1285" width="10.7109375" customWidth="1"/>
    <col min="1286" max="1286" width="11.28515625" customWidth="1"/>
    <col min="1287" max="1287" width="7.42578125" customWidth="1"/>
    <col min="1288" max="1288" width="8.5703125" customWidth="1"/>
    <col min="1289" max="1289" width="51" customWidth="1"/>
    <col min="1538" max="1538" width="33.85546875" customWidth="1"/>
    <col min="1539" max="1539" width="9.85546875" customWidth="1"/>
    <col min="1540" max="1540" width="8.28515625" customWidth="1"/>
    <col min="1541" max="1541" width="10.7109375" customWidth="1"/>
    <col min="1542" max="1542" width="11.28515625" customWidth="1"/>
    <col min="1543" max="1543" width="7.42578125" customWidth="1"/>
    <col min="1544" max="1544" width="8.5703125" customWidth="1"/>
    <col min="1545" max="1545" width="51" customWidth="1"/>
    <col min="1794" max="1794" width="33.85546875" customWidth="1"/>
    <col min="1795" max="1795" width="9.85546875" customWidth="1"/>
    <col min="1796" max="1796" width="8.28515625" customWidth="1"/>
    <col min="1797" max="1797" width="10.7109375" customWidth="1"/>
    <col min="1798" max="1798" width="11.28515625" customWidth="1"/>
    <col min="1799" max="1799" width="7.42578125" customWidth="1"/>
    <col min="1800" max="1800" width="8.5703125" customWidth="1"/>
    <col min="1801" max="1801" width="51" customWidth="1"/>
    <col min="2050" max="2050" width="33.85546875" customWidth="1"/>
    <col min="2051" max="2051" width="9.85546875" customWidth="1"/>
    <col min="2052" max="2052" width="8.28515625" customWidth="1"/>
    <col min="2053" max="2053" width="10.7109375" customWidth="1"/>
    <col min="2054" max="2054" width="11.28515625" customWidth="1"/>
    <col min="2055" max="2055" width="7.42578125" customWidth="1"/>
    <col min="2056" max="2056" width="8.5703125" customWidth="1"/>
    <col min="2057" max="2057" width="51" customWidth="1"/>
    <col min="2306" max="2306" width="33.85546875" customWidth="1"/>
    <col min="2307" max="2307" width="9.85546875" customWidth="1"/>
    <col min="2308" max="2308" width="8.28515625" customWidth="1"/>
    <col min="2309" max="2309" width="10.7109375" customWidth="1"/>
    <col min="2310" max="2310" width="11.28515625" customWidth="1"/>
    <col min="2311" max="2311" width="7.42578125" customWidth="1"/>
    <col min="2312" max="2312" width="8.5703125" customWidth="1"/>
    <col min="2313" max="2313" width="51" customWidth="1"/>
    <col min="2562" max="2562" width="33.85546875" customWidth="1"/>
    <col min="2563" max="2563" width="9.85546875" customWidth="1"/>
    <col min="2564" max="2564" width="8.28515625" customWidth="1"/>
    <col min="2565" max="2565" width="10.7109375" customWidth="1"/>
    <col min="2566" max="2566" width="11.28515625" customWidth="1"/>
    <col min="2567" max="2567" width="7.42578125" customWidth="1"/>
    <col min="2568" max="2568" width="8.5703125" customWidth="1"/>
    <col min="2569" max="2569" width="51" customWidth="1"/>
    <col min="2818" max="2818" width="33.85546875" customWidth="1"/>
    <col min="2819" max="2819" width="9.85546875" customWidth="1"/>
    <col min="2820" max="2820" width="8.28515625" customWidth="1"/>
    <col min="2821" max="2821" width="10.7109375" customWidth="1"/>
    <col min="2822" max="2822" width="11.28515625" customWidth="1"/>
    <col min="2823" max="2823" width="7.42578125" customWidth="1"/>
    <col min="2824" max="2824" width="8.5703125" customWidth="1"/>
    <col min="2825" max="2825" width="51" customWidth="1"/>
    <col min="3074" max="3074" width="33.85546875" customWidth="1"/>
    <col min="3075" max="3075" width="9.85546875" customWidth="1"/>
    <col min="3076" max="3076" width="8.28515625" customWidth="1"/>
    <col min="3077" max="3077" width="10.7109375" customWidth="1"/>
    <col min="3078" max="3078" width="11.28515625" customWidth="1"/>
    <col min="3079" max="3079" width="7.42578125" customWidth="1"/>
    <col min="3080" max="3080" width="8.5703125" customWidth="1"/>
    <col min="3081" max="3081" width="51" customWidth="1"/>
    <col min="3330" max="3330" width="33.85546875" customWidth="1"/>
    <col min="3331" max="3331" width="9.85546875" customWidth="1"/>
    <col min="3332" max="3332" width="8.28515625" customWidth="1"/>
    <col min="3333" max="3333" width="10.7109375" customWidth="1"/>
    <col min="3334" max="3334" width="11.28515625" customWidth="1"/>
    <col min="3335" max="3335" width="7.42578125" customWidth="1"/>
    <col min="3336" max="3336" width="8.5703125" customWidth="1"/>
    <col min="3337" max="3337" width="51" customWidth="1"/>
    <col min="3586" max="3586" width="33.85546875" customWidth="1"/>
    <col min="3587" max="3587" width="9.85546875" customWidth="1"/>
    <col min="3588" max="3588" width="8.28515625" customWidth="1"/>
    <col min="3589" max="3589" width="10.7109375" customWidth="1"/>
    <col min="3590" max="3590" width="11.28515625" customWidth="1"/>
    <col min="3591" max="3591" width="7.42578125" customWidth="1"/>
    <col min="3592" max="3592" width="8.5703125" customWidth="1"/>
    <col min="3593" max="3593" width="51" customWidth="1"/>
    <col min="3842" max="3842" width="33.85546875" customWidth="1"/>
    <col min="3843" max="3843" width="9.85546875" customWidth="1"/>
    <col min="3844" max="3844" width="8.28515625" customWidth="1"/>
    <col min="3845" max="3845" width="10.7109375" customWidth="1"/>
    <col min="3846" max="3846" width="11.28515625" customWidth="1"/>
    <col min="3847" max="3847" width="7.42578125" customWidth="1"/>
    <col min="3848" max="3848" width="8.5703125" customWidth="1"/>
    <col min="3849" max="3849" width="51" customWidth="1"/>
    <col min="4098" max="4098" width="33.85546875" customWidth="1"/>
    <col min="4099" max="4099" width="9.85546875" customWidth="1"/>
    <col min="4100" max="4100" width="8.28515625" customWidth="1"/>
    <col min="4101" max="4101" width="10.7109375" customWidth="1"/>
    <col min="4102" max="4102" width="11.28515625" customWidth="1"/>
    <col min="4103" max="4103" width="7.42578125" customWidth="1"/>
    <col min="4104" max="4104" width="8.5703125" customWidth="1"/>
    <col min="4105" max="4105" width="51" customWidth="1"/>
    <col min="4354" max="4354" width="33.85546875" customWidth="1"/>
    <col min="4355" max="4355" width="9.85546875" customWidth="1"/>
    <col min="4356" max="4356" width="8.28515625" customWidth="1"/>
    <col min="4357" max="4357" width="10.7109375" customWidth="1"/>
    <col min="4358" max="4358" width="11.28515625" customWidth="1"/>
    <col min="4359" max="4359" width="7.42578125" customWidth="1"/>
    <col min="4360" max="4360" width="8.5703125" customWidth="1"/>
    <col min="4361" max="4361" width="51" customWidth="1"/>
    <col min="4610" max="4610" width="33.85546875" customWidth="1"/>
    <col min="4611" max="4611" width="9.85546875" customWidth="1"/>
    <col min="4612" max="4612" width="8.28515625" customWidth="1"/>
    <col min="4613" max="4613" width="10.7109375" customWidth="1"/>
    <col min="4614" max="4614" width="11.28515625" customWidth="1"/>
    <col min="4615" max="4615" width="7.42578125" customWidth="1"/>
    <col min="4616" max="4616" width="8.5703125" customWidth="1"/>
    <col min="4617" max="4617" width="51" customWidth="1"/>
    <col min="4866" max="4866" width="33.85546875" customWidth="1"/>
    <col min="4867" max="4867" width="9.85546875" customWidth="1"/>
    <col min="4868" max="4868" width="8.28515625" customWidth="1"/>
    <col min="4869" max="4869" width="10.7109375" customWidth="1"/>
    <col min="4870" max="4870" width="11.28515625" customWidth="1"/>
    <col min="4871" max="4871" width="7.42578125" customWidth="1"/>
    <col min="4872" max="4872" width="8.5703125" customWidth="1"/>
    <col min="4873" max="4873" width="51" customWidth="1"/>
    <col min="5122" max="5122" width="33.85546875" customWidth="1"/>
    <col min="5123" max="5123" width="9.85546875" customWidth="1"/>
    <col min="5124" max="5124" width="8.28515625" customWidth="1"/>
    <col min="5125" max="5125" width="10.7109375" customWidth="1"/>
    <col min="5126" max="5126" width="11.28515625" customWidth="1"/>
    <col min="5127" max="5127" width="7.42578125" customWidth="1"/>
    <col min="5128" max="5128" width="8.5703125" customWidth="1"/>
    <col min="5129" max="5129" width="51" customWidth="1"/>
    <col min="5378" max="5378" width="33.85546875" customWidth="1"/>
    <col min="5379" max="5379" width="9.85546875" customWidth="1"/>
    <col min="5380" max="5380" width="8.28515625" customWidth="1"/>
    <col min="5381" max="5381" width="10.7109375" customWidth="1"/>
    <col min="5382" max="5382" width="11.28515625" customWidth="1"/>
    <col min="5383" max="5383" width="7.42578125" customWidth="1"/>
    <col min="5384" max="5384" width="8.5703125" customWidth="1"/>
    <col min="5385" max="5385" width="51" customWidth="1"/>
    <col min="5634" max="5634" width="33.85546875" customWidth="1"/>
    <col min="5635" max="5635" width="9.85546875" customWidth="1"/>
    <col min="5636" max="5636" width="8.28515625" customWidth="1"/>
    <col min="5637" max="5637" width="10.7109375" customWidth="1"/>
    <col min="5638" max="5638" width="11.28515625" customWidth="1"/>
    <col min="5639" max="5639" width="7.42578125" customWidth="1"/>
    <col min="5640" max="5640" width="8.5703125" customWidth="1"/>
    <col min="5641" max="5641" width="51" customWidth="1"/>
    <col min="5890" max="5890" width="33.85546875" customWidth="1"/>
    <col min="5891" max="5891" width="9.85546875" customWidth="1"/>
    <col min="5892" max="5892" width="8.28515625" customWidth="1"/>
    <col min="5893" max="5893" width="10.7109375" customWidth="1"/>
    <col min="5894" max="5894" width="11.28515625" customWidth="1"/>
    <col min="5895" max="5895" width="7.42578125" customWidth="1"/>
    <col min="5896" max="5896" width="8.5703125" customWidth="1"/>
    <col min="5897" max="5897" width="51" customWidth="1"/>
    <col min="6146" max="6146" width="33.85546875" customWidth="1"/>
    <col min="6147" max="6147" width="9.85546875" customWidth="1"/>
    <col min="6148" max="6148" width="8.28515625" customWidth="1"/>
    <col min="6149" max="6149" width="10.7109375" customWidth="1"/>
    <col min="6150" max="6150" width="11.28515625" customWidth="1"/>
    <col min="6151" max="6151" width="7.42578125" customWidth="1"/>
    <col min="6152" max="6152" width="8.5703125" customWidth="1"/>
    <col min="6153" max="6153" width="51" customWidth="1"/>
    <col min="6402" max="6402" width="33.85546875" customWidth="1"/>
    <col min="6403" max="6403" width="9.85546875" customWidth="1"/>
    <col min="6404" max="6404" width="8.28515625" customWidth="1"/>
    <col min="6405" max="6405" width="10.7109375" customWidth="1"/>
    <col min="6406" max="6406" width="11.28515625" customWidth="1"/>
    <col min="6407" max="6407" width="7.42578125" customWidth="1"/>
    <col min="6408" max="6408" width="8.5703125" customWidth="1"/>
    <col min="6409" max="6409" width="51" customWidth="1"/>
    <col min="6658" max="6658" width="33.85546875" customWidth="1"/>
    <col min="6659" max="6659" width="9.85546875" customWidth="1"/>
    <col min="6660" max="6660" width="8.28515625" customWidth="1"/>
    <col min="6661" max="6661" width="10.7109375" customWidth="1"/>
    <col min="6662" max="6662" width="11.28515625" customWidth="1"/>
    <col min="6663" max="6663" width="7.42578125" customWidth="1"/>
    <col min="6664" max="6664" width="8.5703125" customWidth="1"/>
    <col min="6665" max="6665" width="51" customWidth="1"/>
    <col min="6914" max="6914" width="33.85546875" customWidth="1"/>
    <col min="6915" max="6915" width="9.85546875" customWidth="1"/>
    <col min="6916" max="6916" width="8.28515625" customWidth="1"/>
    <col min="6917" max="6917" width="10.7109375" customWidth="1"/>
    <col min="6918" max="6918" width="11.28515625" customWidth="1"/>
    <col min="6919" max="6919" width="7.42578125" customWidth="1"/>
    <col min="6920" max="6920" width="8.5703125" customWidth="1"/>
    <col min="6921" max="6921" width="51" customWidth="1"/>
    <col min="7170" max="7170" width="33.85546875" customWidth="1"/>
    <col min="7171" max="7171" width="9.85546875" customWidth="1"/>
    <col min="7172" max="7172" width="8.28515625" customWidth="1"/>
    <col min="7173" max="7173" width="10.7109375" customWidth="1"/>
    <col min="7174" max="7174" width="11.28515625" customWidth="1"/>
    <col min="7175" max="7175" width="7.42578125" customWidth="1"/>
    <col min="7176" max="7176" width="8.5703125" customWidth="1"/>
    <col min="7177" max="7177" width="51" customWidth="1"/>
    <col min="7426" max="7426" width="33.85546875" customWidth="1"/>
    <col min="7427" max="7427" width="9.85546875" customWidth="1"/>
    <col min="7428" max="7428" width="8.28515625" customWidth="1"/>
    <col min="7429" max="7429" width="10.7109375" customWidth="1"/>
    <col min="7430" max="7430" width="11.28515625" customWidth="1"/>
    <col min="7431" max="7431" width="7.42578125" customWidth="1"/>
    <col min="7432" max="7432" width="8.5703125" customWidth="1"/>
    <col min="7433" max="7433" width="51" customWidth="1"/>
    <col min="7682" max="7682" width="33.85546875" customWidth="1"/>
    <col min="7683" max="7683" width="9.85546875" customWidth="1"/>
    <col min="7684" max="7684" width="8.28515625" customWidth="1"/>
    <col min="7685" max="7685" width="10.7109375" customWidth="1"/>
    <col min="7686" max="7686" width="11.28515625" customWidth="1"/>
    <col min="7687" max="7687" width="7.42578125" customWidth="1"/>
    <col min="7688" max="7688" width="8.5703125" customWidth="1"/>
    <col min="7689" max="7689" width="51" customWidth="1"/>
    <col min="7938" max="7938" width="33.85546875" customWidth="1"/>
    <col min="7939" max="7939" width="9.85546875" customWidth="1"/>
    <col min="7940" max="7940" width="8.28515625" customWidth="1"/>
    <col min="7941" max="7941" width="10.7109375" customWidth="1"/>
    <col min="7942" max="7942" width="11.28515625" customWidth="1"/>
    <col min="7943" max="7943" width="7.42578125" customWidth="1"/>
    <col min="7944" max="7944" width="8.5703125" customWidth="1"/>
    <col min="7945" max="7945" width="51" customWidth="1"/>
    <col min="8194" max="8194" width="33.85546875" customWidth="1"/>
    <col min="8195" max="8195" width="9.85546875" customWidth="1"/>
    <col min="8196" max="8196" width="8.28515625" customWidth="1"/>
    <col min="8197" max="8197" width="10.7109375" customWidth="1"/>
    <col min="8198" max="8198" width="11.28515625" customWidth="1"/>
    <col min="8199" max="8199" width="7.42578125" customWidth="1"/>
    <col min="8200" max="8200" width="8.5703125" customWidth="1"/>
    <col min="8201" max="8201" width="51" customWidth="1"/>
    <col min="8450" max="8450" width="33.85546875" customWidth="1"/>
    <col min="8451" max="8451" width="9.85546875" customWidth="1"/>
    <col min="8452" max="8452" width="8.28515625" customWidth="1"/>
    <col min="8453" max="8453" width="10.7109375" customWidth="1"/>
    <col min="8454" max="8454" width="11.28515625" customWidth="1"/>
    <col min="8455" max="8455" width="7.42578125" customWidth="1"/>
    <col min="8456" max="8456" width="8.5703125" customWidth="1"/>
    <col min="8457" max="8457" width="51" customWidth="1"/>
    <col min="8706" max="8706" width="33.85546875" customWidth="1"/>
    <col min="8707" max="8707" width="9.85546875" customWidth="1"/>
    <col min="8708" max="8708" width="8.28515625" customWidth="1"/>
    <col min="8709" max="8709" width="10.7109375" customWidth="1"/>
    <col min="8710" max="8710" width="11.28515625" customWidth="1"/>
    <col min="8711" max="8711" width="7.42578125" customWidth="1"/>
    <col min="8712" max="8712" width="8.5703125" customWidth="1"/>
    <col min="8713" max="8713" width="51" customWidth="1"/>
    <col min="8962" max="8962" width="33.85546875" customWidth="1"/>
    <col min="8963" max="8963" width="9.85546875" customWidth="1"/>
    <col min="8964" max="8964" width="8.28515625" customWidth="1"/>
    <col min="8965" max="8965" width="10.7109375" customWidth="1"/>
    <col min="8966" max="8966" width="11.28515625" customWidth="1"/>
    <col min="8967" max="8967" width="7.42578125" customWidth="1"/>
    <col min="8968" max="8968" width="8.5703125" customWidth="1"/>
    <col min="8969" max="8969" width="51" customWidth="1"/>
    <col min="9218" max="9218" width="33.85546875" customWidth="1"/>
    <col min="9219" max="9219" width="9.85546875" customWidth="1"/>
    <col min="9220" max="9220" width="8.28515625" customWidth="1"/>
    <col min="9221" max="9221" width="10.7109375" customWidth="1"/>
    <col min="9222" max="9222" width="11.28515625" customWidth="1"/>
    <col min="9223" max="9223" width="7.42578125" customWidth="1"/>
    <col min="9224" max="9224" width="8.5703125" customWidth="1"/>
    <col min="9225" max="9225" width="51" customWidth="1"/>
    <col min="9474" max="9474" width="33.85546875" customWidth="1"/>
    <col min="9475" max="9475" width="9.85546875" customWidth="1"/>
    <col min="9476" max="9476" width="8.28515625" customWidth="1"/>
    <col min="9477" max="9477" width="10.7109375" customWidth="1"/>
    <col min="9478" max="9478" width="11.28515625" customWidth="1"/>
    <col min="9479" max="9479" width="7.42578125" customWidth="1"/>
    <col min="9480" max="9480" width="8.5703125" customWidth="1"/>
    <col min="9481" max="9481" width="51" customWidth="1"/>
    <col min="9730" max="9730" width="33.85546875" customWidth="1"/>
    <col min="9731" max="9731" width="9.85546875" customWidth="1"/>
    <col min="9732" max="9732" width="8.28515625" customWidth="1"/>
    <col min="9733" max="9733" width="10.7109375" customWidth="1"/>
    <col min="9734" max="9734" width="11.28515625" customWidth="1"/>
    <col min="9735" max="9735" width="7.42578125" customWidth="1"/>
    <col min="9736" max="9736" width="8.5703125" customWidth="1"/>
    <col min="9737" max="9737" width="51" customWidth="1"/>
    <col min="9986" max="9986" width="33.85546875" customWidth="1"/>
    <col min="9987" max="9987" width="9.85546875" customWidth="1"/>
    <col min="9988" max="9988" width="8.28515625" customWidth="1"/>
    <col min="9989" max="9989" width="10.7109375" customWidth="1"/>
    <col min="9990" max="9990" width="11.28515625" customWidth="1"/>
    <col min="9991" max="9991" width="7.42578125" customWidth="1"/>
    <col min="9992" max="9992" width="8.5703125" customWidth="1"/>
    <col min="9993" max="9993" width="51" customWidth="1"/>
    <col min="10242" max="10242" width="33.85546875" customWidth="1"/>
    <col min="10243" max="10243" width="9.85546875" customWidth="1"/>
    <col min="10244" max="10244" width="8.28515625" customWidth="1"/>
    <col min="10245" max="10245" width="10.7109375" customWidth="1"/>
    <col min="10246" max="10246" width="11.28515625" customWidth="1"/>
    <col min="10247" max="10247" width="7.42578125" customWidth="1"/>
    <col min="10248" max="10248" width="8.5703125" customWidth="1"/>
    <col min="10249" max="10249" width="51" customWidth="1"/>
    <col min="10498" max="10498" width="33.85546875" customWidth="1"/>
    <col min="10499" max="10499" width="9.85546875" customWidth="1"/>
    <col min="10500" max="10500" width="8.28515625" customWidth="1"/>
    <col min="10501" max="10501" width="10.7109375" customWidth="1"/>
    <col min="10502" max="10502" width="11.28515625" customWidth="1"/>
    <col min="10503" max="10503" width="7.42578125" customWidth="1"/>
    <col min="10504" max="10504" width="8.5703125" customWidth="1"/>
    <col min="10505" max="10505" width="51" customWidth="1"/>
    <col min="10754" max="10754" width="33.85546875" customWidth="1"/>
    <col min="10755" max="10755" width="9.85546875" customWidth="1"/>
    <col min="10756" max="10756" width="8.28515625" customWidth="1"/>
    <col min="10757" max="10757" width="10.7109375" customWidth="1"/>
    <col min="10758" max="10758" width="11.28515625" customWidth="1"/>
    <col min="10759" max="10759" width="7.42578125" customWidth="1"/>
    <col min="10760" max="10760" width="8.5703125" customWidth="1"/>
    <col min="10761" max="10761" width="51" customWidth="1"/>
    <col min="11010" max="11010" width="33.85546875" customWidth="1"/>
    <col min="11011" max="11011" width="9.85546875" customWidth="1"/>
    <col min="11012" max="11012" width="8.28515625" customWidth="1"/>
    <col min="11013" max="11013" width="10.7109375" customWidth="1"/>
    <col min="11014" max="11014" width="11.28515625" customWidth="1"/>
    <col min="11015" max="11015" width="7.42578125" customWidth="1"/>
    <col min="11016" max="11016" width="8.5703125" customWidth="1"/>
    <col min="11017" max="11017" width="51" customWidth="1"/>
    <col min="11266" max="11266" width="33.85546875" customWidth="1"/>
    <col min="11267" max="11267" width="9.85546875" customWidth="1"/>
    <col min="11268" max="11268" width="8.28515625" customWidth="1"/>
    <col min="11269" max="11269" width="10.7109375" customWidth="1"/>
    <col min="11270" max="11270" width="11.28515625" customWidth="1"/>
    <col min="11271" max="11271" width="7.42578125" customWidth="1"/>
    <col min="11272" max="11272" width="8.5703125" customWidth="1"/>
    <col min="11273" max="11273" width="51" customWidth="1"/>
    <col min="11522" max="11522" width="33.85546875" customWidth="1"/>
    <col min="11523" max="11523" width="9.85546875" customWidth="1"/>
    <col min="11524" max="11524" width="8.28515625" customWidth="1"/>
    <col min="11525" max="11525" width="10.7109375" customWidth="1"/>
    <col min="11526" max="11526" width="11.28515625" customWidth="1"/>
    <col min="11527" max="11527" width="7.42578125" customWidth="1"/>
    <col min="11528" max="11528" width="8.5703125" customWidth="1"/>
    <col min="11529" max="11529" width="51" customWidth="1"/>
    <col min="11778" max="11778" width="33.85546875" customWidth="1"/>
    <col min="11779" max="11779" width="9.85546875" customWidth="1"/>
    <col min="11780" max="11780" width="8.28515625" customWidth="1"/>
    <col min="11781" max="11781" width="10.7109375" customWidth="1"/>
    <col min="11782" max="11782" width="11.28515625" customWidth="1"/>
    <col min="11783" max="11783" width="7.42578125" customWidth="1"/>
    <col min="11784" max="11784" width="8.5703125" customWidth="1"/>
    <col min="11785" max="11785" width="51" customWidth="1"/>
    <col min="12034" max="12034" width="33.85546875" customWidth="1"/>
    <col min="12035" max="12035" width="9.85546875" customWidth="1"/>
    <col min="12036" max="12036" width="8.28515625" customWidth="1"/>
    <col min="12037" max="12037" width="10.7109375" customWidth="1"/>
    <col min="12038" max="12038" width="11.28515625" customWidth="1"/>
    <col min="12039" max="12039" width="7.42578125" customWidth="1"/>
    <col min="12040" max="12040" width="8.5703125" customWidth="1"/>
    <col min="12041" max="12041" width="51" customWidth="1"/>
    <col min="12290" max="12290" width="33.85546875" customWidth="1"/>
    <col min="12291" max="12291" width="9.85546875" customWidth="1"/>
    <col min="12292" max="12292" width="8.28515625" customWidth="1"/>
    <col min="12293" max="12293" width="10.7109375" customWidth="1"/>
    <col min="12294" max="12294" width="11.28515625" customWidth="1"/>
    <col min="12295" max="12295" width="7.42578125" customWidth="1"/>
    <col min="12296" max="12296" width="8.5703125" customWidth="1"/>
    <col min="12297" max="12297" width="51" customWidth="1"/>
    <col min="12546" max="12546" width="33.85546875" customWidth="1"/>
    <col min="12547" max="12547" width="9.85546875" customWidth="1"/>
    <col min="12548" max="12548" width="8.28515625" customWidth="1"/>
    <col min="12549" max="12549" width="10.7109375" customWidth="1"/>
    <col min="12550" max="12550" width="11.28515625" customWidth="1"/>
    <col min="12551" max="12551" width="7.42578125" customWidth="1"/>
    <col min="12552" max="12552" width="8.5703125" customWidth="1"/>
    <col min="12553" max="12553" width="51" customWidth="1"/>
    <col min="12802" max="12802" width="33.85546875" customWidth="1"/>
    <col min="12803" max="12803" width="9.85546875" customWidth="1"/>
    <col min="12804" max="12804" width="8.28515625" customWidth="1"/>
    <col min="12805" max="12805" width="10.7109375" customWidth="1"/>
    <col min="12806" max="12806" width="11.28515625" customWidth="1"/>
    <col min="12807" max="12807" width="7.42578125" customWidth="1"/>
    <col min="12808" max="12808" width="8.5703125" customWidth="1"/>
    <col min="12809" max="12809" width="51" customWidth="1"/>
    <col min="13058" max="13058" width="33.85546875" customWidth="1"/>
    <col min="13059" max="13059" width="9.85546875" customWidth="1"/>
    <col min="13060" max="13060" width="8.28515625" customWidth="1"/>
    <col min="13061" max="13061" width="10.7109375" customWidth="1"/>
    <col min="13062" max="13062" width="11.28515625" customWidth="1"/>
    <col min="13063" max="13063" width="7.42578125" customWidth="1"/>
    <col min="13064" max="13064" width="8.5703125" customWidth="1"/>
    <col min="13065" max="13065" width="51" customWidth="1"/>
    <col min="13314" max="13314" width="33.85546875" customWidth="1"/>
    <col min="13315" max="13315" width="9.85546875" customWidth="1"/>
    <col min="13316" max="13316" width="8.28515625" customWidth="1"/>
    <col min="13317" max="13317" width="10.7109375" customWidth="1"/>
    <col min="13318" max="13318" width="11.28515625" customWidth="1"/>
    <col min="13319" max="13319" width="7.42578125" customWidth="1"/>
    <col min="13320" max="13320" width="8.5703125" customWidth="1"/>
    <col min="13321" max="13321" width="51" customWidth="1"/>
    <col min="13570" max="13570" width="33.85546875" customWidth="1"/>
    <col min="13571" max="13571" width="9.85546875" customWidth="1"/>
    <col min="13572" max="13572" width="8.28515625" customWidth="1"/>
    <col min="13573" max="13573" width="10.7109375" customWidth="1"/>
    <col min="13574" max="13574" width="11.28515625" customWidth="1"/>
    <col min="13575" max="13575" width="7.42578125" customWidth="1"/>
    <col min="13576" max="13576" width="8.5703125" customWidth="1"/>
    <col min="13577" max="13577" width="51" customWidth="1"/>
    <col min="13826" max="13826" width="33.85546875" customWidth="1"/>
    <col min="13827" max="13827" width="9.85546875" customWidth="1"/>
    <col min="13828" max="13828" width="8.28515625" customWidth="1"/>
    <col min="13829" max="13829" width="10.7109375" customWidth="1"/>
    <col min="13830" max="13830" width="11.28515625" customWidth="1"/>
    <col min="13831" max="13831" width="7.42578125" customWidth="1"/>
    <col min="13832" max="13832" width="8.5703125" customWidth="1"/>
    <col min="13833" max="13833" width="51" customWidth="1"/>
    <col min="14082" max="14082" width="33.85546875" customWidth="1"/>
    <col min="14083" max="14083" width="9.85546875" customWidth="1"/>
    <col min="14084" max="14084" width="8.28515625" customWidth="1"/>
    <col min="14085" max="14085" width="10.7109375" customWidth="1"/>
    <col min="14086" max="14086" width="11.28515625" customWidth="1"/>
    <col min="14087" max="14087" width="7.42578125" customWidth="1"/>
    <col min="14088" max="14088" width="8.5703125" customWidth="1"/>
    <col min="14089" max="14089" width="51" customWidth="1"/>
    <col min="14338" max="14338" width="33.85546875" customWidth="1"/>
    <col min="14339" max="14339" width="9.85546875" customWidth="1"/>
    <col min="14340" max="14340" width="8.28515625" customWidth="1"/>
    <col min="14341" max="14341" width="10.7109375" customWidth="1"/>
    <col min="14342" max="14342" width="11.28515625" customWidth="1"/>
    <col min="14343" max="14343" width="7.42578125" customWidth="1"/>
    <col min="14344" max="14344" width="8.5703125" customWidth="1"/>
    <col min="14345" max="14345" width="51" customWidth="1"/>
    <col min="14594" max="14594" width="33.85546875" customWidth="1"/>
    <col min="14595" max="14595" width="9.85546875" customWidth="1"/>
    <col min="14596" max="14596" width="8.28515625" customWidth="1"/>
    <col min="14597" max="14597" width="10.7109375" customWidth="1"/>
    <col min="14598" max="14598" width="11.28515625" customWidth="1"/>
    <col min="14599" max="14599" width="7.42578125" customWidth="1"/>
    <col min="14600" max="14600" width="8.5703125" customWidth="1"/>
    <col min="14601" max="14601" width="51" customWidth="1"/>
    <col min="14850" max="14850" width="33.85546875" customWidth="1"/>
    <col min="14851" max="14851" width="9.85546875" customWidth="1"/>
    <col min="14852" max="14852" width="8.28515625" customWidth="1"/>
    <col min="14853" max="14853" width="10.7109375" customWidth="1"/>
    <col min="14854" max="14854" width="11.28515625" customWidth="1"/>
    <col min="14855" max="14855" width="7.42578125" customWidth="1"/>
    <col min="14856" max="14856" width="8.5703125" customWidth="1"/>
    <col min="14857" max="14857" width="51" customWidth="1"/>
    <col min="15106" max="15106" width="33.85546875" customWidth="1"/>
    <col min="15107" max="15107" width="9.85546875" customWidth="1"/>
    <col min="15108" max="15108" width="8.28515625" customWidth="1"/>
    <col min="15109" max="15109" width="10.7109375" customWidth="1"/>
    <col min="15110" max="15110" width="11.28515625" customWidth="1"/>
    <col min="15111" max="15111" width="7.42578125" customWidth="1"/>
    <col min="15112" max="15112" width="8.5703125" customWidth="1"/>
    <col min="15113" max="15113" width="51" customWidth="1"/>
    <col min="15362" max="15362" width="33.85546875" customWidth="1"/>
    <col min="15363" max="15363" width="9.85546875" customWidth="1"/>
    <col min="15364" max="15364" width="8.28515625" customWidth="1"/>
    <col min="15365" max="15365" width="10.7109375" customWidth="1"/>
    <col min="15366" max="15366" width="11.28515625" customWidth="1"/>
    <col min="15367" max="15367" width="7.42578125" customWidth="1"/>
    <col min="15368" max="15368" width="8.5703125" customWidth="1"/>
    <col min="15369" max="15369" width="51" customWidth="1"/>
    <col min="15618" max="15618" width="33.85546875" customWidth="1"/>
    <col min="15619" max="15619" width="9.85546875" customWidth="1"/>
    <col min="15620" max="15620" width="8.28515625" customWidth="1"/>
    <col min="15621" max="15621" width="10.7109375" customWidth="1"/>
    <col min="15622" max="15622" width="11.28515625" customWidth="1"/>
    <col min="15623" max="15623" width="7.42578125" customWidth="1"/>
    <col min="15624" max="15624" width="8.5703125" customWidth="1"/>
    <col min="15625" max="15625" width="51" customWidth="1"/>
    <col min="15874" max="15874" width="33.85546875" customWidth="1"/>
    <col min="15875" max="15875" width="9.85546875" customWidth="1"/>
    <col min="15876" max="15876" width="8.28515625" customWidth="1"/>
    <col min="15877" max="15877" width="10.7109375" customWidth="1"/>
    <col min="15878" max="15878" width="11.28515625" customWidth="1"/>
    <col min="15879" max="15879" width="7.42578125" customWidth="1"/>
    <col min="15880" max="15880" width="8.5703125" customWidth="1"/>
    <col min="15881" max="15881" width="51" customWidth="1"/>
    <col min="16130" max="16130" width="33.85546875" customWidth="1"/>
    <col min="16131" max="16131" width="9.85546875" customWidth="1"/>
    <col min="16132" max="16132" width="8.28515625" customWidth="1"/>
    <col min="16133" max="16133" width="10.7109375" customWidth="1"/>
    <col min="16134" max="16134" width="11.28515625" customWidth="1"/>
    <col min="16135" max="16135" width="7.42578125" customWidth="1"/>
    <col min="16136" max="16136" width="8.5703125" customWidth="1"/>
    <col min="16137" max="16137" width="51" customWidth="1"/>
  </cols>
  <sheetData>
    <row r="1" spans="2:10" ht="18.75">
      <c r="C1" s="1860" t="s">
        <v>1129</v>
      </c>
      <c r="D1" s="1959"/>
      <c r="E1" s="1959"/>
      <c r="F1" s="1959"/>
      <c r="G1" s="1959"/>
      <c r="H1" s="1959"/>
      <c r="I1" s="1959"/>
    </row>
    <row r="2" spans="2:10" ht="21">
      <c r="B2" s="1979" t="s">
        <v>1233</v>
      </c>
      <c r="C2" s="1979"/>
      <c r="D2" s="1979"/>
      <c r="E2" s="1979"/>
      <c r="F2" s="1979"/>
      <c r="G2" s="1979"/>
      <c r="H2" s="1979"/>
      <c r="I2" s="881" t="s">
        <v>1801</v>
      </c>
      <c r="J2" s="882"/>
    </row>
    <row r="3" spans="2:10" ht="18.75">
      <c r="B3" s="1979" t="s">
        <v>1130</v>
      </c>
      <c r="C3" s="1979"/>
      <c r="D3" s="1979"/>
      <c r="E3" s="1979"/>
      <c r="F3" s="1979"/>
      <c r="G3" s="1979"/>
      <c r="H3" s="1979"/>
    </row>
    <row r="4" spans="2:10" ht="10.5" customHeight="1"/>
    <row r="5" spans="2:10" ht="18.75">
      <c r="B5" s="1980" t="s">
        <v>1131</v>
      </c>
      <c r="C5" s="1980" t="s">
        <v>1132</v>
      </c>
      <c r="D5" s="1980" t="s">
        <v>1173</v>
      </c>
      <c r="E5" s="1980"/>
      <c r="F5" s="1980"/>
      <c r="G5" s="1980" t="s">
        <v>1925</v>
      </c>
      <c r="H5" s="1980"/>
      <c r="I5" s="1980"/>
    </row>
    <row r="6" spans="2:10" ht="18.75" customHeight="1">
      <c r="B6" s="1980"/>
      <c r="C6" s="1980"/>
      <c r="D6" s="1978" t="s">
        <v>1133</v>
      </c>
      <c r="E6" s="1978" t="s">
        <v>454</v>
      </c>
      <c r="F6" s="1978" t="s">
        <v>455</v>
      </c>
      <c r="G6" s="1978" t="s">
        <v>1133</v>
      </c>
      <c r="H6" s="1978" t="s">
        <v>454</v>
      </c>
      <c r="I6" s="1978" t="s">
        <v>1134</v>
      </c>
    </row>
    <row r="7" spans="2:10" ht="50.25" customHeight="1">
      <c r="B7" s="1980"/>
      <c r="C7" s="1980"/>
      <c r="D7" s="1978"/>
      <c r="E7" s="1978"/>
      <c r="F7" s="1978"/>
      <c r="G7" s="1978"/>
      <c r="H7" s="1978"/>
      <c r="I7" s="1978"/>
    </row>
    <row r="8" spans="2:10" ht="51.75" customHeight="1">
      <c r="B8" s="1980"/>
      <c r="C8" s="1980"/>
      <c r="D8" s="1978"/>
      <c r="E8" s="1978"/>
      <c r="F8" s="1978"/>
      <c r="G8" s="1978"/>
      <c r="H8" s="1978"/>
      <c r="I8" s="1978"/>
    </row>
    <row r="9" spans="2:10" ht="37.5">
      <c r="B9" s="1975">
        <v>1</v>
      </c>
      <c r="C9" s="927" t="s">
        <v>1135</v>
      </c>
      <c r="D9" s="916"/>
      <c r="E9" s="916"/>
      <c r="F9" s="916"/>
      <c r="G9" s="916"/>
      <c r="H9" s="916"/>
      <c r="I9" s="916"/>
    </row>
    <row r="10" spans="2:10" ht="36.75" customHeight="1">
      <c r="B10" s="1976"/>
      <c r="C10" s="916" t="s">
        <v>1926</v>
      </c>
      <c r="D10" s="916">
        <v>1</v>
      </c>
      <c r="E10" s="916">
        <v>1</v>
      </c>
      <c r="F10" s="916" t="s">
        <v>1927</v>
      </c>
      <c r="G10" s="916">
        <v>0</v>
      </c>
      <c r="H10" s="916">
        <v>0</v>
      </c>
      <c r="I10" s="916">
        <v>0</v>
      </c>
    </row>
    <row r="11" spans="2:10" ht="18.75">
      <c r="B11" s="1977"/>
      <c r="C11" s="927" t="s">
        <v>68</v>
      </c>
      <c r="D11" s="927">
        <v>1</v>
      </c>
      <c r="E11" s="927">
        <v>1</v>
      </c>
      <c r="F11" s="927" t="s">
        <v>1928</v>
      </c>
      <c r="G11" s="927">
        <v>0</v>
      </c>
      <c r="H11" s="927">
        <v>0</v>
      </c>
      <c r="I11" s="927">
        <v>0</v>
      </c>
    </row>
    <row r="12" spans="2:10" ht="37.5">
      <c r="B12" s="1975">
        <v>2</v>
      </c>
      <c r="C12" s="927" t="s">
        <v>1136</v>
      </c>
      <c r="D12" s="916"/>
      <c r="E12" s="916"/>
      <c r="F12" s="916"/>
      <c r="G12" s="916"/>
      <c r="H12" s="916"/>
      <c r="I12" s="916"/>
    </row>
    <row r="13" spans="2:10" ht="18.75">
      <c r="B13" s="1976"/>
      <c r="C13" s="916" t="s">
        <v>1929</v>
      </c>
      <c r="D13" s="916">
        <v>0</v>
      </c>
      <c r="E13" s="916">
        <v>0</v>
      </c>
      <c r="F13" s="916">
        <v>0</v>
      </c>
      <c r="G13" s="916">
        <v>0</v>
      </c>
      <c r="H13" s="916">
        <v>0</v>
      </c>
      <c r="I13" s="916">
        <v>0</v>
      </c>
    </row>
    <row r="14" spans="2:10" ht="18.75">
      <c r="B14" s="1977"/>
      <c r="C14" s="927" t="s">
        <v>68</v>
      </c>
      <c r="D14" s="927">
        <v>0</v>
      </c>
      <c r="E14" s="927">
        <v>0</v>
      </c>
      <c r="F14" s="927">
        <v>0</v>
      </c>
      <c r="G14" s="927">
        <v>0</v>
      </c>
      <c r="H14" s="927">
        <v>0</v>
      </c>
      <c r="I14" s="927">
        <v>0</v>
      </c>
    </row>
    <row r="15" spans="2:10" ht="37.5">
      <c r="B15" s="916">
        <v>3</v>
      </c>
      <c r="C15" s="927" t="s">
        <v>1138</v>
      </c>
      <c r="D15" s="916"/>
      <c r="E15" s="916"/>
      <c r="F15" s="916"/>
      <c r="G15" s="916"/>
      <c r="H15" s="916"/>
      <c r="I15" s="916"/>
    </row>
    <row r="16" spans="2:10" ht="37.5">
      <c r="B16" s="916"/>
      <c r="C16" s="916" t="s">
        <v>1930</v>
      </c>
      <c r="D16" s="916">
        <v>1</v>
      </c>
      <c r="E16" s="916">
        <v>1</v>
      </c>
      <c r="F16" s="916" t="s">
        <v>1931</v>
      </c>
      <c r="G16" s="794"/>
      <c r="H16" s="794"/>
      <c r="I16" s="916"/>
    </row>
    <row r="17" spans="2:10" ht="37.5">
      <c r="B17" s="916"/>
      <c r="C17" s="1975" t="s">
        <v>1932</v>
      </c>
      <c r="D17" s="916">
        <v>1</v>
      </c>
      <c r="E17" s="916">
        <v>1</v>
      </c>
      <c r="F17" s="916" t="s">
        <v>1933</v>
      </c>
      <c r="G17" s="794"/>
      <c r="H17" s="794"/>
      <c r="I17" s="916"/>
    </row>
    <row r="18" spans="2:10" ht="37.5">
      <c r="B18" s="916"/>
      <c r="C18" s="1977"/>
      <c r="D18" s="916">
        <v>1</v>
      </c>
      <c r="E18" s="916">
        <v>1</v>
      </c>
      <c r="F18" s="916" t="s">
        <v>1934</v>
      </c>
      <c r="G18" s="794"/>
      <c r="H18" s="794"/>
      <c r="I18" s="916"/>
    </row>
    <row r="19" spans="2:10" ht="37.5">
      <c r="B19" s="916"/>
      <c r="C19" s="929" t="s">
        <v>1935</v>
      </c>
      <c r="D19" s="916">
        <v>1</v>
      </c>
      <c r="E19" s="916">
        <v>1</v>
      </c>
      <c r="F19" s="916" t="s">
        <v>1936</v>
      </c>
      <c r="G19" s="794"/>
      <c r="H19" s="794"/>
      <c r="I19" s="916"/>
    </row>
    <row r="20" spans="2:10" ht="37.5">
      <c r="B20" s="916"/>
      <c r="C20" s="929" t="s">
        <v>1937</v>
      </c>
      <c r="D20" s="916">
        <v>1</v>
      </c>
      <c r="E20" s="916">
        <v>1</v>
      </c>
      <c r="F20" s="916" t="s">
        <v>1938</v>
      </c>
      <c r="G20" s="794">
        <v>1</v>
      </c>
      <c r="H20" s="794">
        <v>1</v>
      </c>
      <c r="I20" s="916" t="s">
        <v>1939</v>
      </c>
    </row>
    <row r="21" spans="2:10" ht="37.5">
      <c r="B21" s="916"/>
      <c r="C21" s="929" t="s">
        <v>1940</v>
      </c>
      <c r="D21" s="916"/>
      <c r="E21" s="916"/>
      <c r="F21" s="916"/>
      <c r="G21" s="794">
        <v>1</v>
      </c>
      <c r="H21" s="794">
        <v>1</v>
      </c>
      <c r="I21" s="916" t="s">
        <v>1941</v>
      </c>
    </row>
    <row r="22" spans="2:10" ht="37.5">
      <c r="B22" s="916"/>
      <c r="C22" s="916" t="s">
        <v>1942</v>
      </c>
      <c r="D22" s="916">
        <v>1</v>
      </c>
      <c r="E22" s="916">
        <v>1</v>
      </c>
      <c r="F22" s="916" t="s">
        <v>1943</v>
      </c>
      <c r="G22" s="794">
        <v>1</v>
      </c>
      <c r="H22" s="794">
        <v>1</v>
      </c>
      <c r="I22" s="916" t="s">
        <v>1944</v>
      </c>
    </row>
    <row r="23" spans="2:10" ht="37.5">
      <c r="B23" s="916"/>
      <c r="C23" s="916" t="s">
        <v>1945</v>
      </c>
      <c r="D23" s="916"/>
      <c r="E23" s="916"/>
      <c r="F23" s="928"/>
      <c r="G23" s="794">
        <v>1</v>
      </c>
      <c r="H23" s="794">
        <v>1</v>
      </c>
      <c r="I23" s="916" t="s">
        <v>1946</v>
      </c>
    </row>
    <row r="24" spans="2:10" s="317" customFormat="1" ht="18.75">
      <c r="B24" s="927"/>
      <c r="C24" s="927" t="s">
        <v>68</v>
      </c>
      <c r="D24" s="927">
        <f>SUM(D16:D23)</f>
        <v>6</v>
      </c>
      <c r="E24" s="927">
        <f>SUM(E16:E23)</f>
        <v>6</v>
      </c>
      <c r="F24" s="927" t="s">
        <v>1947</v>
      </c>
      <c r="G24" s="927">
        <f>SUM(G16:G23)</f>
        <v>4</v>
      </c>
      <c r="H24" s="927">
        <f>SUM(H16:H23)</f>
        <v>4</v>
      </c>
      <c r="I24" s="927" t="s">
        <v>1948</v>
      </c>
    </row>
    <row r="25" spans="2:10" ht="61.5" customHeight="1"/>
    <row r="26" spans="2:10" ht="18.75">
      <c r="I26" s="883" t="s">
        <v>1163</v>
      </c>
      <c r="J26" s="883"/>
    </row>
  </sheetData>
  <mergeCells count="16">
    <mergeCell ref="I6:I8"/>
    <mergeCell ref="C1:I1"/>
    <mergeCell ref="B2:H2"/>
    <mergeCell ref="B3:H3"/>
    <mergeCell ref="B5:B8"/>
    <mergeCell ref="C5:C8"/>
    <mergeCell ref="D5:F5"/>
    <mergeCell ref="G5:I5"/>
    <mergeCell ref="D6:D8"/>
    <mergeCell ref="E6:E8"/>
    <mergeCell ref="F6:F8"/>
    <mergeCell ref="B9:B11"/>
    <mergeCell ref="B12:B14"/>
    <mergeCell ref="C17:C18"/>
    <mergeCell ref="G6:G8"/>
    <mergeCell ref="H6:H8"/>
  </mergeCells>
  <pageMargins left="0.70866141732283472" right="0.70866141732283472" top="0.42" bottom="0.74803149606299213" header="0.31496062992125984" footer="0.31496062992125984"/>
  <pageSetup paperSize="9" scale="5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8"/>
  <sheetViews>
    <sheetView showGridLines="0" view="pageBreakPreview" topLeftCell="A4" zoomScale="80" zoomScaleNormal="100" zoomScaleSheetLayoutView="80" workbookViewId="0">
      <selection activeCell="E14" sqref="E14"/>
    </sheetView>
  </sheetViews>
  <sheetFormatPr defaultRowHeight="15"/>
  <cols>
    <col min="1" max="1" width="9.140625" style="44"/>
    <col min="2" max="2" width="40.140625" style="44" customWidth="1"/>
    <col min="3" max="3" width="12.85546875" style="44" customWidth="1"/>
    <col min="4" max="5" width="13.28515625" style="44" customWidth="1"/>
    <col min="6" max="247" width="9.140625" style="44"/>
    <col min="248" max="248" width="46.7109375" style="44" customWidth="1"/>
    <col min="249" max="503" width="9.140625" style="44"/>
    <col min="504" max="504" width="46.7109375" style="44" customWidth="1"/>
    <col min="505" max="759" width="9.140625" style="44"/>
    <col min="760" max="760" width="46.7109375" style="44" customWidth="1"/>
    <col min="761" max="1015" width="9.140625" style="44"/>
    <col min="1016" max="1016" width="46.7109375" style="44" customWidth="1"/>
    <col min="1017" max="1271" width="9.140625" style="44"/>
    <col min="1272" max="1272" width="46.7109375" style="44" customWidth="1"/>
    <col min="1273" max="1527" width="9.140625" style="44"/>
    <col min="1528" max="1528" width="46.7109375" style="44" customWidth="1"/>
    <col min="1529" max="1783" width="9.140625" style="44"/>
    <col min="1784" max="1784" width="46.7109375" style="44" customWidth="1"/>
    <col min="1785" max="2039" width="9.140625" style="44"/>
    <col min="2040" max="2040" width="46.7109375" style="44" customWidth="1"/>
    <col min="2041" max="2295" width="9.140625" style="44"/>
    <col min="2296" max="2296" width="46.7109375" style="44" customWidth="1"/>
    <col min="2297" max="2551" width="9.140625" style="44"/>
    <col min="2552" max="2552" width="46.7109375" style="44" customWidth="1"/>
    <col min="2553" max="2807" width="9.140625" style="44"/>
    <col min="2808" max="2808" width="46.7109375" style="44" customWidth="1"/>
    <col min="2809" max="3063" width="9.140625" style="44"/>
    <col min="3064" max="3064" width="46.7109375" style="44" customWidth="1"/>
    <col min="3065" max="3319" width="9.140625" style="44"/>
    <col min="3320" max="3320" width="46.7109375" style="44" customWidth="1"/>
    <col min="3321" max="3575" width="9.140625" style="44"/>
    <col min="3576" max="3576" width="46.7109375" style="44" customWidth="1"/>
    <col min="3577" max="3831" width="9.140625" style="44"/>
    <col min="3832" max="3832" width="46.7109375" style="44" customWidth="1"/>
    <col min="3833" max="4087" width="9.140625" style="44"/>
    <col min="4088" max="4088" width="46.7109375" style="44" customWidth="1"/>
    <col min="4089" max="4343" width="9.140625" style="44"/>
    <col min="4344" max="4344" width="46.7109375" style="44" customWidth="1"/>
    <col min="4345" max="4599" width="9.140625" style="44"/>
    <col min="4600" max="4600" width="46.7109375" style="44" customWidth="1"/>
    <col min="4601" max="4855" width="9.140625" style="44"/>
    <col min="4856" max="4856" width="46.7109375" style="44" customWidth="1"/>
    <col min="4857" max="5111" width="9.140625" style="44"/>
    <col min="5112" max="5112" width="46.7109375" style="44" customWidth="1"/>
    <col min="5113" max="5367" width="9.140625" style="44"/>
    <col min="5368" max="5368" width="46.7109375" style="44" customWidth="1"/>
    <col min="5369" max="5623" width="9.140625" style="44"/>
    <col min="5624" max="5624" width="46.7109375" style="44" customWidth="1"/>
    <col min="5625" max="5879" width="9.140625" style="44"/>
    <col min="5880" max="5880" width="46.7109375" style="44" customWidth="1"/>
    <col min="5881" max="6135" width="9.140625" style="44"/>
    <col min="6136" max="6136" width="46.7109375" style="44" customWidth="1"/>
    <col min="6137" max="6391" width="9.140625" style="44"/>
    <col min="6392" max="6392" width="46.7109375" style="44" customWidth="1"/>
    <col min="6393" max="6647" width="9.140625" style="44"/>
    <col min="6648" max="6648" width="46.7109375" style="44" customWidth="1"/>
    <col min="6649" max="6903" width="9.140625" style="44"/>
    <col min="6904" max="6904" width="46.7109375" style="44" customWidth="1"/>
    <col min="6905" max="7159" width="9.140625" style="44"/>
    <col min="7160" max="7160" width="46.7109375" style="44" customWidth="1"/>
    <col min="7161" max="7415" width="9.140625" style="44"/>
    <col min="7416" max="7416" width="46.7109375" style="44" customWidth="1"/>
    <col min="7417" max="7671" width="9.140625" style="44"/>
    <col min="7672" max="7672" width="46.7109375" style="44" customWidth="1"/>
    <col min="7673" max="7927" width="9.140625" style="44"/>
    <col min="7928" max="7928" width="46.7109375" style="44" customWidth="1"/>
    <col min="7929" max="8183" width="9.140625" style="44"/>
    <col min="8184" max="8184" width="46.7109375" style="44" customWidth="1"/>
    <col min="8185" max="8439" width="9.140625" style="44"/>
    <col min="8440" max="8440" width="46.7109375" style="44" customWidth="1"/>
    <col min="8441" max="8695" width="9.140625" style="44"/>
    <col min="8696" max="8696" width="46.7109375" style="44" customWidth="1"/>
    <col min="8697" max="8951" width="9.140625" style="44"/>
    <col min="8952" max="8952" width="46.7109375" style="44" customWidth="1"/>
    <col min="8953" max="9207" width="9.140625" style="44"/>
    <col min="9208" max="9208" width="46.7109375" style="44" customWidth="1"/>
    <col min="9209" max="9463" width="9.140625" style="44"/>
    <col min="9464" max="9464" width="46.7109375" style="44" customWidth="1"/>
    <col min="9465" max="9719" width="9.140625" style="44"/>
    <col min="9720" max="9720" width="46.7109375" style="44" customWidth="1"/>
    <col min="9721" max="9975" width="9.140625" style="44"/>
    <col min="9976" max="9976" width="46.7109375" style="44" customWidth="1"/>
    <col min="9977" max="10231" width="9.140625" style="44"/>
    <col min="10232" max="10232" width="46.7109375" style="44" customWidth="1"/>
    <col min="10233" max="10487" width="9.140625" style="44"/>
    <col min="10488" max="10488" width="46.7109375" style="44" customWidth="1"/>
    <col min="10489" max="10743" width="9.140625" style="44"/>
    <col min="10744" max="10744" width="46.7109375" style="44" customWidth="1"/>
    <col min="10745" max="10999" width="9.140625" style="44"/>
    <col min="11000" max="11000" width="46.7109375" style="44" customWidth="1"/>
    <col min="11001" max="11255" width="9.140625" style="44"/>
    <col min="11256" max="11256" width="46.7109375" style="44" customWidth="1"/>
    <col min="11257" max="11511" width="9.140625" style="44"/>
    <col min="11512" max="11512" width="46.7109375" style="44" customWidth="1"/>
    <col min="11513" max="11767" width="9.140625" style="44"/>
    <col min="11768" max="11768" width="46.7109375" style="44" customWidth="1"/>
    <col min="11769" max="12023" width="9.140625" style="44"/>
    <col min="12024" max="12024" width="46.7109375" style="44" customWidth="1"/>
    <col min="12025" max="12279" width="9.140625" style="44"/>
    <col min="12280" max="12280" width="46.7109375" style="44" customWidth="1"/>
    <col min="12281" max="12535" width="9.140625" style="44"/>
    <col min="12536" max="12536" width="46.7109375" style="44" customWidth="1"/>
    <col min="12537" max="12791" width="9.140625" style="44"/>
    <col min="12792" max="12792" width="46.7109375" style="44" customWidth="1"/>
    <col min="12793" max="13047" width="9.140625" style="44"/>
    <col min="13048" max="13048" width="46.7109375" style="44" customWidth="1"/>
    <col min="13049" max="13303" width="9.140625" style="44"/>
    <col min="13304" max="13304" width="46.7109375" style="44" customWidth="1"/>
    <col min="13305" max="13559" width="9.140625" style="44"/>
    <col min="13560" max="13560" width="46.7109375" style="44" customWidth="1"/>
    <col min="13561" max="13815" width="9.140625" style="44"/>
    <col min="13816" max="13816" width="46.7109375" style="44" customWidth="1"/>
    <col min="13817" max="14071" width="9.140625" style="44"/>
    <col min="14072" max="14072" width="46.7109375" style="44" customWidth="1"/>
    <col min="14073" max="14327" width="9.140625" style="44"/>
    <col min="14328" max="14328" width="46.7109375" style="44" customWidth="1"/>
    <col min="14329" max="14583" width="9.140625" style="44"/>
    <col min="14584" max="14584" width="46.7109375" style="44" customWidth="1"/>
    <col min="14585" max="14839" width="9.140625" style="44"/>
    <col min="14840" max="14840" width="46.7109375" style="44" customWidth="1"/>
    <col min="14841" max="15095" width="9.140625" style="44"/>
    <col min="15096" max="15096" width="46.7109375" style="44" customWidth="1"/>
    <col min="15097" max="15351" width="9.140625" style="44"/>
    <col min="15352" max="15352" width="46.7109375" style="44" customWidth="1"/>
    <col min="15353" max="15607" width="9.140625" style="44"/>
    <col min="15608" max="15608" width="46.7109375" style="44" customWidth="1"/>
    <col min="15609" max="15863" width="9.140625" style="44"/>
    <col min="15864" max="15864" width="46.7109375" style="44" customWidth="1"/>
    <col min="15865" max="16119" width="9.140625" style="44"/>
    <col min="16120" max="16120" width="46.7109375" style="44" customWidth="1"/>
    <col min="16121" max="16384" width="9.140625" style="44"/>
  </cols>
  <sheetData>
    <row r="1" spans="1:6">
      <c r="A1" s="1981" t="s">
        <v>47</v>
      </c>
      <c r="B1" s="1981"/>
      <c r="C1" s="1981"/>
      <c r="D1" s="1981"/>
      <c r="E1" s="1981"/>
    </row>
    <row r="2" spans="1:6">
      <c r="A2" s="52" t="s">
        <v>489</v>
      </c>
      <c r="B2" s="52"/>
      <c r="C2" s="52"/>
      <c r="D2" s="52"/>
      <c r="E2" s="58" t="s">
        <v>554</v>
      </c>
    </row>
    <row r="3" spans="1:6">
      <c r="A3" s="45"/>
      <c r="B3" s="46"/>
      <c r="C3" s="45"/>
    </row>
    <row r="4" spans="1:6">
      <c r="A4" s="53" t="s">
        <v>490</v>
      </c>
      <c r="B4" s="53" t="s">
        <v>48</v>
      </c>
      <c r="C4" s="473" t="s">
        <v>485</v>
      </c>
      <c r="D4" s="473" t="s">
        <v>486</v>
      </c>
      <c r="E4" s="660" t="s">
        <v>779</v>
      </c>
      <c r="F4" s="54"/>
    </row>
    <row r="5" spans="1:6" s="54" customFormat="1">
      <c r="A5" s="441"/>
      <c r="B5" s="441"/>
      <c r="C5" s="473" t="s">
        <v>954</v>
      </c>
      <c r="D5" s="473" t="s">
        <v>956</v>
      </c>
      <c r="E5" s="473" t="s">
        <v>958</v>
      </c>
    </row>
    <row r="6" spans="1:6">
      <c r="A6" s="42" t="s">
        <v>161</v>
      </c>
      <c r="B6" s="49" t="s">
        <v>491</v>
      </c>
      <c r="C6" s="48"/>
      <c r="D6" s="48"/>
      <c r="E6" s="48"/>
    </row>
    <row r="7" spans="1:6">
      <c r="A7" s="50">
        <v>1</v>
      </c>
      <c r="B7" s="3" t="s">
        <v>492</v>
      </c>
      <c r="C7" s="900">
        <f>'F5-8'!E8/('F7-1'!D7-('F7-3'!G18/100))</f>
        <v>0.22304012933826495</v>
      </c>
      <c r="D7" s="900">
        <f>'F5-8'!I8/('F7-1'!H7-(('F7-3'!H18/100)+'F7-2'!D56))</f>
        <v>0.17001543207738218</v>
      </c>
      <c r="E7" s="900">
        <f>'F5-8'!K8/('F7-1'!J7-('F7-3'!I18/100)+'F7-2'!D56+'F7-2'!H56)</f>
        <v>4.2593152323293276E-2</v>
      </c>
    </row>
    <row r="8" spans="1:6" ht="30">
      <c r="A8" s="50">
        <v>2</v>
      </c>
      <c r="B8" s="3" t="s">
        <v>493</v>
      </c>
      <c r="C8" s="899">
        <f ca="1">'F1'!E40/'F14-4'!C13*10</f>
        <v>0.35908803578315718</v>
      </c>
      <c r="D8" s="899">
        <f ca="1">'F1'!I40/'F14-4'!D13*10</f>
        <v>0.39843465286731244</v>
      </c>
      <c r="E8" s="899">
        <f ca="1">'F1'!K40/'F14-4'!E13*10</f>
        <v>0.45348051122262856</v>
      </c>
    </row>
    <row r="9" spans="1:6">
      <c r="A9" s="50">
        <v>3</v>
      </c>
      <c r="B9" s="3" t="s">
        <v>494</v>
      </c>
      <c r="C9" s="897">
        <f ca="1">'F1'!E20/'F1'!E40</f>
        <v>0.16661732788985928</v>
      </c>
      <c r="D9" s="897">
        <f ca="1">'F1'!I20/'F1'!I40</f>
        <v>0.16056244189562779</v>
      </c>
      <c r="E9" s="897">
        <f ca="1">'F1'!K20/'F1'!K40</f>
        <v>0.14912498716919476</v>
      </c>
    </row>
    <row r="10" spans="1:6" ht="30">
      <c r="A10" s="50">
        <v>4</v>
      </c>
      <c r="B10" s="3" t="s">
        <v>495</v>
      </c>
      <c r="C10" s="899">
        <f>'F1'!E24/'F1'!E15</f>
        <v>0.32633058018236194</v>
      </c>
      <c r="D10" s="899">
        <f>'F1'!I24/'F1'!I15</f>
        <v>0.43369862698583583</v>
      </c>
      <c r="E10" s="899">
        <f ca="1">'F1'!K24/'F1'!K15</f>
        <v>0.27177595464265947</v>
      </c>
    </row>
    <row r="11" spans="1:6">
      <c r="A11" s="50">
        <v>5</v>
      </c>
      <c r="B11" s="47" t="s">
        <v>496</v>
      </c>
      <c r="C11" s="898">
        <f>(Interest!D16*70%)+('F10'!E31*30%)</f>
        <v>0.13750000000000001</v>
      </c>
      <c r="D11" s="898">
        <f>(Interest!H16*70%)+('F10'!H31*30%)</f>
        <v>0.10197576674672994</v>
      </c>
      <c r="E11" s="898">
        <f>(Interest!J16*80%)+('F10'!J31*20%)</f>
        <v>0.10225801913911994</v>
      </c>
    </row>
    <row r="12" spans="1:6">
      <c r="A12" s="50">
        <v>6</v>
      </c>
      <c r="B12" s="3" t="s">
        <v>497</v>
      </c>
      <c r="C12" s="901">
        <f>'F1'!E15/Interest!D11</f>
        <v>0.76332672437611981</v>
      </c>
      <c r="D12" s="901">
        <f>'F1'!I15/Interest!H11</f>
        <v>1.64729002364396</v>
      </c>
      <c r="E12" s="901">
        <f ca="1">'F1'!K15/Interest!J12</f>
        <v>1.1502762290802127</v>
      </c>
    </row>
    <row r="13" spans="1:6" ht="30">
      <c r="A13" s="50">
        <v>7</v>
      </c>
      <c r="B13" s="3" t="s">
        <v>560</v>
      </c>
      <c r="C13" s="899">
        <v>0</v>
      </c>
      <c r="D13" s="899">
        <v>0</v>
      </c>
      <c r="E13" s="899">
        <v>0</v>
      </c>
    </row>
    <row r="14" spans="1:6" ht="30">
      <c r="A14" s="50">
        <v>9</v>
      </c>
      <c r="B14" s="3" t="s">
        <v>498</v>
      </c>
      <c r="C14" s="900">
        <f>'F19'!D12/'F1'!E17</f>
        <v>1.1029217737242901E-2</v>
      </c>
      <c r="D14" s="900">
        <f ca="1">'F19'!H12/'F1'!I17</f>
        <v>1.2790547120616887E-2</v>
      </c>
      <c r="E14" s="900">
        <f ca="1">'F19'!J12/'F1'!K17</f>
        <v>8.3851137335595426E-3</v>
      </c>
    </row>
    <row r="15" spans="1:6">
      <c r="A15" s="50"/>
      <c r="B15" s="47"/>
      <c r="C15" s="48"/>
      <c r="D15" s="48"/>
      <c r="E15" s="48"/>
    </row>
    <row r="16" spans="1:6">
      <c r="A16" s="42" t="s">
        <v>166</v>
      </c>
      <c r="B16" s="49" t="s">
        <v>499</v>
      </c>
      <c r="C16" s="48"/>
      <c r="D16" s="48"/>
      <c r="E16" s="48"/>
    </row>
    <row r="17" spans="1:5">
      <c r="A17" s="50">
        <v>1</v>
      </c>
      <c r="B17" s="3" t="s">
        <v>500</v>
      </c>
      <c r="C17" s="902">
        <f>'F14-4'!C13/'F14-4'!C9</f>
        <v>13.507450436830835</v>
      </c>
      <c r="D17" s="902">
        <f>'F14-4'!D13/'F14-4'!D9</f>
        <v>14.188899575192803</v>
      </c>
      <c r="E17" s="902">
        <f>'F14-4'!E13/'F14-4'!E9</f>
        <v>14.847453539250642</v>
      </c>
    </row>
    <row r="18" spans="1:5">
      <c r="A18" s="50">
        <v>2</v>
      </c>
      <c r="B18" s="3" t="s">
        <v>1232</v>
      </c>
      <c r="C18" s="902">
        <f>'F14-4'!C12/'F14-4'!C9</f>
        <v>7.1492933618843679</v>
      </c>
      <c r="D18" s="902">
        <f>'F14-4'!D12/'F14-4'!D9</f>
        <v>7.2222193658954588</v>
      </c>
      <c r="E18" s="902">
        <f>'F14-4'!E12/'F14-4'!E9</f>
        <v>7.1975491033304868</v>
      </c>
    </row>
    <row r="19" spans="1:5">
      <c r="A19" s="50">
        <v>3</v>
      </c>
      <c r="B19" s="3" t="s">
        <v>501</v>
      </c>
      <c r="C19" s="902">
        <f>'F14-4'!C11/'F14-4'!C9</f>
        <v>9.1134903640256955</v>
      </c>
      <c r="D19" s="902">
        <f>'F14-4'!D11/'F14-4'!D9</f>
        <v>9.6615252784918599</v>
      </c>
      <c r="E19" s="902">
        <f>'F14-4'!E11/'F14-4'!E9</f>
        <v>10.109948761742102</v>
      </c>
    </row>
    <row r="20" spans="1:5">
      <c r="A20" s="50">
        <v>4</v>
      </c>
      <c r="B20" s="3" t="s">
        <v>1231</v>
      </c>
      <c r="C20" s="902">
        <f>'F1'!E15/'F14-4'!C9</f>
        <v>0.42925910059957179</v>
      </c>
      <c r="D20" s="902">
        <f>'F1'!I15/'F14-4'!D9</f>
        <v>0.37313796058269066</v>
      </c>
      <c r="E20" s="902">
        <f ca="1">'F1'!K15/'F14-4'!E9</f>
        <v>0.6677376574273366</v>
      </c>
    </row>
    <row r="21" spans="1:5">
      <c r="A21" s="50">
        <v>5</v>
      </c>
      <c r="B21" s="3" t="s">
        <v>502</v>
      </c>
      <c r="C21" s="903">
        <v>0</v>
      </c>
      <c r="D21" s="903">
        <v>0</v>
      </c>
      <c r="E21" s="903">
        <v>0</v>
      </c>
    </row>
    <row r="22" spans="1:5">
      <c r="A22" s="50"/>
      <c r="B22" s="47"/>
      <c r="C22" s="48"/>
      <c r="D22" s="48"/>
      <c r="E22" s="48"/>
    </row>
    <row r="23" spans="1:5" hidden="1">
      <c r="A23" s="42" t="s">
        <v>208</v>
      </c>
      <c r="B23" s="49" t="s">
        <v>503</v>
      </c>
      <c r="C23" s="47"/>
      <c r="D23" s="48"/>
      <c r="E23" s="48"/>
    </row>
    <row r="24" spans="1:5" ht="30" hidden="1">
      <c r="A24" s="50">
        <v>1</v>
      </c>
      <c r="B24" s="3" t="s">
        <v>504</v>
      </c>
      <c r="C24" s="1982"/>
      <c r="D24" s="1983"/>
      <c r="E24" s="1983"/>
    </row>
    <row r="25" spans="1:5" s="59" customFormat="1" ht="60" hidden="1">
      <c r="A25" s="852">
        <v>2</v>
      </c>
      <c r="B25" s="853" t="s">
        <v>505</v>
      </c>
      <c r="C25" s="450"/>
      <c r="D25" s="319"/>
      <c r="E25" s="319"/>
    </row>
    <row r="26" spans="1:5">
      <c r="A26" s="43"/>
    </row>
    <row r="27" spans="1:5">
      <c r="A27" s="43"/>
    </row>
    <row r="28" spans="1:5">
      <c r="A28" s="43"/>
      <c r="E28" s="55"/>
    </row>
    <row r="29" spans="1:5" ht="15.75">
      <c r="A29" s="43"/>
      <c r="D29" s="904" t="s">
        <v>1163</v>
      </c>
    </row>
    <row r="30" spans="1:5">
      <c r="A30" s="43"/>
    </row>
    <row r="31" spans="1:5">
      <c r="A31" s="43"/>
    </row>
    <row r="32" spans="1:5">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sheetData>
  <mergeCells count="2">
    <mergeCell ref="A1:E1"/>
    <mergeCell ref="C24:E24"/>
  </mergeCells>
  <pageMargins left="0.70866141732283472" right="0.70866141732283472" top="0.74803149606299213" bottom="0.74803149606299213" header="0.31496062992125984" footer="0.31496062992125984"/>
  <pageSetup paperSize="9" scale="9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3" sqref="A23"/>
    </sheetView>
  </sheetViews>
  <sheetFormatPr defaultRowHeight="1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E2:R246"/>
  <sheetViews>
    <sheetView zoomScale="90" zoomScaleNormal="90" workbookViewId="0">
      <pane xSplit="5" ySplit="2" topLeftCell="F48" activePane="bottomRight" state="frozen"/>
      <selection pane="topRight" activeCell="F1" sqref="F1"/>
      <selection pane="bottomLeft" activeCell="A3" sqref="A3"/>
      <selection pane="bottomRight" activeCell="G48" sqref="G3:G48"/>
    </sheetView>
  </sheetViews>
  <sheetFormatPr defaultRowHeight="15"/>
  <cols>
    <col min="5" max="5" width="29.42578125" customWidth="1"/>
    <col min="6" max="7" width="11.140625" customWidth="1"/>
    <col min="8" max="10" width="10.140625" bestFit="1" customWidth="1"/>
    <col min="11" max="11" width="16.5703125" customWidth="1"/>
    <col min="12" max="12" width="12.7109375" customWidth="1"/>
  </cols>
  <sheetData>
    <row r="2" spans="5:18" ht="45">
      <c r="G2" s="322" t="s">
        <v>1254</v>
      </c>
      <c r="H2" t="s">
        <v>1173</v>
      </c>
      <c r="I2" t="s">
        <v>1174</v>
      </c>
      <c r="J2" t="s">
        <v>1252</v>
      </c>
      <c r="K2" s="322" t="s">
        <v>1255</v>
      </c>
      <c r="L2" s="323" t="s">
        <v>1256</v>
      </c>
      <c r="N2" s="469" t="s">
        <v>1308</v>
      </c>
      <c r="O2" s="469" t="s">
        <v>244</v>
      </c>
      <c r="P2" s="469" t="s">
        <v>654</v>
      </c>
      <c r="Q2" s="322" t="s">
        <v>1411</v>
      </c>
      <c r="R2" s="322" t="s">
        <v>1412</v>
      </c>
    </row>
    <row r="3" spans="5:18" ht="120">
      <c r="E3" s="51" t="s">
        <v>1251</v>
      </c>
      <c r="F3" s="546" t="s">
        <v>1253</v>
      </c>
      <c r="G3" s="548">
        <v>92.55</v>
      </c>
      <c r="H3" s="548">
        <f>G3*60%</f>
        <v>55.529999999999994</v>
      </c>
      <c r="I3" s="548">
        <f>G3*40%</f>
        <v>37.020000000000003</v>
      </c>
      <c r="J3" s="548"/>
      <c r="K3" s="547">
        <v>44013</v>
      </c>
      <c r="L3" s="469" t="s">
        <v>1174</v>
      </c>
      <c r="N3" s="564">
        <f t="shared" ref="N3:N49" si="0">G3*80%</f>
        <v>74.040000000000006</v>
      </c>
      <c r="O3" s="564">
        <f t="shared" ref="O3:O49" si="1">G3*20%</f>
        <v>18.510000000000002</v>
      </c>
      <c r="Q3" s="564">
        <f>(H3*80%)*10.5%</f>
        <v>4.6645199999999996</v>
      </c>
      <c r="R3" s="564">
        <f>((SUM(H3:I3)*80%)*10.5%)/12*4</f>
        <v>2.5914000000000001</v>
      </c>
    </row>
    <row r="4" spans="5:18" ht="75">
      <c r="E4" s="51" t="s">
        <v>1257</v>
      </c>
      <c r="F4" s="546" t="s">
        <v>1258</v>
      </c>
      <c r="G4" s="548">
        <v>38.19</v>
      </c>
      <c r="H4" s="548">
        <f>G4*70%</f>
        <v>26.732999999999997</v>
      </c>
      <c r="I4" s="548">
        <f>G4*30%</f>
        <v>11.456999999999999</v>
      </c>
      <c r="J4" s="548"/>
      <c r="K4" s="547">
        <v>43952</v>
      </c>
      <c r="L4" s="469" t="s">
        <v>1174</v>
      </c>
      <c r="N4" s="564">
        <f t="shared" si="0"/>
        <v>30.552</v>
      </c>
      <c r="O4" s="564">
        <f t="shared" si="1"/>
        <v>7.6379999999999999</v>
      </c>
      <c r="Q4" s="564">
        <f t="shared" ref="Q4:Q49" si="2">(H4*80%)*10.5%</f>
        <v>2.2455719999999997</v>
      </c>
      <c r="R4" s="564">
        <f>((SUM(H4:I4)*80%)*10.5%)/12*2</f>
        <v>0.53466000000000002</v>
      </c>
    </row>
    <row r="5" spans="5:18" ht="60">
      <c r="E5" s="51" t="s">
        <v>1259</v>
      </c>
      <c r="F5" s="546" t="s">
        <v>1253</v>
      </c>
      <c r="G5" s="548">
        <v>39.799999999999997</v>
      </c>
      <c r="H5" s="548">
        <f>G5*70%</f>
        <v>27.859999999999996</v>
      </c>
      <c r="I5" s="548">
        <f>G5*30%</f>
        <v>11.94</v>
      </c>
      <c r="J5" s="548"/>
      <c r="K5" s="547">
        <v>43952</v>
      </c>
      <c r="L5" s="469" t="s">
        <v>1174</v>
      </c>
      <c r="N5" s="564">
        <f t="shared" si="0"/>
        <v>31.84</v>
      </c>
      <c r="O5" s="564">
        <f t="shared" si="1"/>
        <v>7.96</v>
      </c>
      <c r="Q5" s="564">
        <f t="shared" si="2"/>
        <v>2.3402399999999997</v>
      </c>
      <c r="R5" s="564">
        <f>((SUM(H5:I5)*80%)*10.5%)/12*2</f>
        <v>0.55720000000000003</v>
      </c>
    </row>
    <row r="6" spans="5:18" ht="60">
      <c r="E6" s="51" t="s">
        <v>1260</v>
      </c>
      <c r="F6" s="546" t="s">
        <v>1253</v>
      </c>
      <c r="G6" s="548">
        <v>98.27</v>
      </c>
      <c r="H6" s="548">
        <f>G6*60%</f>
        <v>58.961999999999996</v>
      </c>
      <c r="I6" s="548">
        <f>G6*40%</f>
        <v>39.308</v>
      </c>
      <c r="J6" s="548"/>
      <c r="K6" s="547">
        <v>44013</v>
      </c>
      <c r="L6" s="469" t="s">
        <v>1174</v>
      </c>
      <c r="N6" s="564">
        <f t="shared" si="0"/>
        <v>78.616</v>
      </c>
      <c r="O6" s="564">
        <f t="shared" si="1"/>
        <v>19.654</v>
      </c>
      <c r="Q6" s="564">
        <f t="shared" si="2"/>
        <v>4.9528080000000001</v>
      </c>
      <c r="R6" s="564">
        <f>((SUM(H6:I6)*80%)*10.5%)/12*4</f>
        <v>2.75156</v>
      </c>
    </row>
    <row r="7" spans="5:18" ht="120">
      <c r="E7" s="51" t="s">
        <v>1261</v>
      </c>
      <c r="F7" s="546" t="s">
        <v>1253</v>
      </c>
      <c r="G7" s="548">
        <v>93.49</v>
      </c>
      <c r="H7" s="548">
        <f>G7*60%</f>
        <v>56.093999999999994</v>
      </c>
      <c r="I7" s="548">
        <f>G7*40%</f>
        <v>37.396000000000001</v>
      </c>
      <c r="J7" s="548"/>
      <c r="K7" s="547">
        <v>44013</v>
      </c>
      <c r="L7" s="469" t="s">
        <v>1174</v>
      </c>
      <c r="N7" s="564">
        <f t="shared" si="0"/>
        <v>74.792000000000002</v>
      </c>
      <c r="O7" s="564">
        <f t="shared" si="1"/>
        <v>18.698</v>
      </c>
      <c r="Q7" s="564">
        <f t="shared" si="2"/>
        <v>4.7118959999999994</v>
      </c>
      <c r="R7" s="564">
        <f>((SUM(H7:I7)*80%)*10.5%)/12*4</f>
        <v>2.6177199999999998</v>
      </c>
    </row>
    <row r="8" spans="5:18" ht="165.75" hidden="1" customHeight="1">
      <c r="E8" s="51" t="s">
        <v>1262</v>
      </c>
      <c r="F8" s="546" t="s">
        <v>1007</v>
      </c>
      <c r="G8" s="548">
        <v>19.43</v>
      </c>
      <c r="H8" s="548">
        <f>G8*10%</f>
        <v>1.9430000000000001</v>
      </c>
      <c r="I8" s="548">
        <f>G8*30%</f>
        <v>5.8289999999999997</v>
      </c>
      <c r="J8" s="548">
        <f>G8*60%</f>
        <v>11.657999999999999</v>
      </c>
      <c r="K8" s="547">
        <v>44378</v>
      </c>
      <c r="L8" s="469" t="s">
        <v>1252</v>
      </c>
      <c r="N8" s="564">
        <f t="shared" si="0"/>
        <v>15.544</v>
      </c>
      <c r="O8" s="564">
        <f t="shared" si="1"/>
        <v>3.8860000000000001</v>
      </c>
      <c r="Q8" s="564">
        <f t="shared" si="2"/>
        <v>0.16321200000000002</v>
      </c>
    </row>
    <row r="9" spans="5:18" ht="90" hidden="1">
      <c r="E9" s="565" t="s">
        <v>1263</v>
      </c>
      <c r="F9" s="566" t="s">
        <v>1265</v>
      </c>
      <c r="G9" s="567">
        <v>13.68</v>
      </c>
      <c r="H9" s="567"/>
      <c r="I9" s="567">
        <f>G9*60%</f>
        <v>8.2080000000000002</v>
      </c>
      <c r="J9" s="567">
        <f>G9*40%</f>
        <v>5.4720000000000004</v>
      </c>
      <c r="K9" s="568">
        <v>44531</v>
      </c>
      <c r="L9" s="569" t="s">
        <v>1252</v>
      </c>
      <c r="M9" s="570"/>
      <c r="N9" s="571">
        <f t="shared" si="0"/>
        <v>10.944000000000001</v>
      </c>
      <c r="O9" s="571">
        <f t="shared" si="1"/>
        <v>2.7360000000000002</v>
      </c>
      <c r="Q9" s="564">
        <f t="shared" si="2"/>
        <v>0</v>
      </c>
    </row>
    <row r="10" spans="5:18" ht="124.5" hidden="1" customHeight="1">
      <c r="E10" s="51" t="s">
        <v>1264</v>
      </c>
      <c r="F10" s="546" t="s">
        <v>1007</v>
      </c>
      <c r="G10" s="548">
        <v>42.69</v>
      </c>
      <c r="H10" s="548">
        <f>G10*10%</f>
        <v>4.2690000000000001</v>
      </c>
      <c r="I10" s="548">
        <f>G10*30%</f>
        <v>12.806999999999999</v>
      </c>
      <c r="J10" s="548">
        <f>G10*60%</f>
        <v>25.613999999999997</v>
      </c>
      <c r="K10" s="547">
        <v>44378</v>
      </c>
      <c r="L10" s="469" t="s">
        <v>1252</v>
      </c>
      <c r="N10" s="564">
        <f t="shared" si="0"/>
        <v>34.152000000000001</v>
      </c>
      <c r="O10" s="564">
        <f t="shared" si="1"/>
        <v>8.5380000000000003</v>
      </c>
      <c r="Q10" s="564">
        <f t="shared" si="2"/>
        <v>0.35859600000000003</v>
      </c>
    </row>
    <row r="11" spans="5:18" ht="409.5">
      <c r="E11" s="51" t="s">
        <v>1266</v>
      </c>
      <c r="F11" s="546" t="s">
        <v>1253</v>
      </c>
      <c r="G11" s="548">
        <v>128.33000000000001</v>
      </c>
      <c r="H11" s="548">
        <f>G11*60%</f>
        <v>76.998000000000005</v>
      </c>
      <c r="I11" s="548">
        <f>G11*40%</f>
        <v>51.332000000000008</v>
      </c>
      <c r="J11" s="548"/>
      <c r="K11" s="547">
        <v>44013</v>
      </c>
      <c r="L11" s="469" t="s">
        <v>1174</v>
      </c>
      <c r="N11" s="564">
        <f t="shared" si="0"/>
        <v>102.66400000000002</v>
      </c>
      <c r="O11" s="564">
        <f t="shared" si="1"/>
        <v>25.666000000000004</v>
      </c>
      <c r="Q11" s="564">
        <f t="shared" si="2"/>
        <v>6.4678320000000005</v>
      </c>
      <c r="R11" s="564">
        <f>((SUM(H11:I11)*80%)*10.5%)/12*4</f>
        <v>3.5932400000000002</v>
      </c>
    </row>
    <row r="12" spans="5:18" ht="126.75" hidden="1" customHeight="1">
      <c r="E12" s="565" t="s">
        <v>1268</v>
      </c>
      <c r="F12" s="572" t="s">
        <v>1267</v>
      </c>
      <c r="G12" s="567">
        <v>29</v>
      </c>
      <c r="H12" s="567"/>
      <c r="I12" s="567">
        <f>G12*60%</f>
        <v>17.399999999999999</v>
      </c>
      <c r="J12" s="567">
        <f>G12*40%</f>
        <v>11.600000000000001</v>
      </c>
      <c r="K12" s="568">
        <v>44531</v>
      </c>
      <c r="L12" s="569" t="s">
        <v>1252</v>
      </c>
      <c r="M12" s="570"/>
      <c r="N12" s="571">
        <f t="shared" si="0"/>
        <v>23.200000000000003</v>
      </c>
      <c r="O12" s="571">
        <f t="shared" si="1"/>
        <v>5.8000000000000007</v>
      </c>
      <c r="Q12" s="564">
        <f t="shared" si="2"/>
        <v>0</v>
      </c>
    </row>
    <row r="13" spans="5:18" ht="169.5" customHeight="1">
      <c r="E13" s="51" t="s">
        <v>1269</v>
      </c>
      <c r="F13" s="546" t="s">
        <v>1253</v>
      </c>
      <c r="G13" s="548">
        <v>87.86</v>
      </c>
      <c r="H13" s="548">
        <f>G13*70%</f>
        <v>61.501999999999995</v>
      </c>
      <c r="I13" s="548">
        <f t="shared" ref="I13:I26" si="3">G13*30%</f>
        <v>26.358000000000001</v>
      </c>
      <c r="J13" s="548"/>
      <c r="K13" s="547">
        <v>43952</v>
      </c>
      <c r="L13" s="469" t="s">
        <v>1174</v>
      </c>
      <c r="N13" s="564">
        <f t="shared" si="0"/>
        <v>70.287999999999997</v>
      </c>
      <c r="O13" s="564">
        <f t="shared" si="1"/>
        <v>17.571999999999999</v>
      </c>
      <c r="Q13" s="564">
        <f t="shared" si="2"/>
        <v>5.1661679999999999</v>
      </c>
      <c r="R13" s="564">
        <f>((SUM(H13:I13)*80%)*10.5%)/12*2</f>
        <v>1.23004</v>
      </c>
    </row>
    <row r="14" spans="5:18" ht="105">
      <c r="E14" s="51" t="s">
        <v>1270</v>
      </c>
      <c r="F14" s="546" t="s">
        <v>1253</v>
      </c>
      <c r="G14" s="548">
        <v>114</v>
      </c>
      <c r="H14" s="548">
        <f>G14*70%</f>
        <v>79.8</v>
      </c>
      <c r="I14" s="548">
        <f t="shared" si="3"/>
        <v>34.199999999999996</v>
      </c>
      <c r="J14" s="548"/>
      <c r="K14" s="547">
        <v>43952</v>
      </c>
      <c r="L14" s="469" t="s">
        <v>1174</v>
      </c>
      <c r="N14" s="564">
        <f t="shared" si="0"/>
        <v>91.2</v>
      </c>
      <c r="O14" s="564">
        <f t="shared" si="1"/>
        <v>22.8</v>
      </c>
      <c r="Q14" s="564">
        <f t="shared" si="2"/>
        <v>6.7031999999999998</v>
      </c>
      <c r="R14" s="564">
        <f>((SUM(H14:I14)*80%)*10.5%)/12*2</f>
        <v>1.5960000000000001</v>
      </c>
    </row>
    <row r="15" spans="5:18" ht="135" hidden="1" customHeight="1">
      <c r="E15" s="51" t="s">
        <v>1271</v>
      </c>
      <c r="F15" s="546" t="s">
        <v>1007</v>
      </c>
      <c r="G15" s="548">
        <v>79.94</v>
      </c>
      <c r="H15" s="548">
        <f>G15*10%</f>
        <v>7.9939999999999998</v>
      </c>
      <c r="I15" s="548">
        <f t="shared" si="3"/>
        <v>23.981999999999999</v>
      </c>
      <c r="J15" s="548">
        <f>G15*60%</f>
        <v>47.963999999999999</v>
      </c>
      <c r="K15" s="547">
        <v>44378</v>
      </c>
      <c r="L15" s="469" t="s">
        <v>1252</v>
      </c>
      <c r="N15" s="564">
        <f t="shared" si="0"/>
        <v>63.951999999999998</v>
      </c>
      <c r="O15" s="564">
        <f t="shared" si="1"/>
        <v>15.988</v>
      </c>
      <c r="Q15" s="564"/>
    </row>
    <row r="16" spans="5:18" ht="180" hidden="1">
      <c r="E16" s="51" t="s">
        <v>1272</v>
      </c>
      <c r="F16" s="546" t="s">
        <v>1007</v>
      </c>
      <c r="G16" s="548">
        <v>67.8</v>
      </c>
      <c r="H16" s="548">
        <f>G16*10%</f>
        <v>6.78</v>
      </c>
      <c r="I16" s="548">
        <f t="shared" si="3"/>
        <v>20.34</v>
      </c>
      <c r="J16" s="548">
        <f>G16*60%</f>
        <v>40.68</v>
      </c>
      <c r="K16" s="547">
        <v>44378</v>
      </c>
      <c r="L16" s="469" t="s">
        <v>1252</v>
      </c>
      <c r="N16" s="564">
        <f t="shared" si="0"/>
        <v>54.24</v>
      </c>
      <c r="O16" s="564">
        <f t="shared" si="1"/>
        <v>13.56</v>
      </c>
      <c r="Q16" s="564"/>
    </row>
    <row r="17" spans="5:18" ht="210" hidden="1">
      <c r="E17" s="51" t="s">
        <v>1273</v>
      </c>
      <c r="F17" s="546" t="s">
        <v>1007</v>
      </c>
      <c r="G17" s="548">
        <v>39.36</v>
      </c>
      <c r="H17" s="548">
        <f>G17*10%</f>
        <v>3.9359999999999999</v>
      </c>
      <c r="I17" s="548">
        <f t="shared" si="3"/>
        <v>11.808</v>
      </c>
      <c r="J17" s="548">
        <f>G17*60%</f>
        <v>23.616</v>
      </c>
      <c r="K17" s="547">
        <v>44378</v>
      </c>
      <c r="L17" s="469" t="s">
        <v>1252</v>
      </c>
      <c r="N17" s="564">
        <f t="shared" si="0"/>
        <v>31.488</v>
      </c>
      <c r="O17" s="564">
        <f t="shared" si="1"/>
        <v>7.8719999999999999</v>
      </c>
      <c r="Q17" s="564"/>
    </row>
    <row r="18" spans="5:18" ht="105">
      <c r="E18" s="51" t="s">
        <v>1274</v>
      </c>
      <c r="F18" s="546" t="s">
        <v>1253</v>
      </c>
      <c r="G18" s="548">
        <v>40.18</v>
      </c>
      <c r="H18" s="548">
        <f t="shared" ref="H18:H25" si="4">G18*70%</f>
        <v>28.125999999999998</v>
      </c>
      <c r="I18" s="548">
        <f t="shared" si="3"/>
        <v>12.054</v>
      </c>
      <c r="J18" s="548"/>
      <c r="K18" s="547">
        <v>43952</v>
      </c>
      <c r="L18" s="469" t="s">
        <v>1174</v>
      </c>
      <c r="N18" s="564">
        <f t="shared" si="0"/>
        <v>32.143999999999998</v>
      </c>
      <c r="O18" s="564">
        <f t="shared" si="1"/>
        <v>8.0359999999999996</v>
      </c>
      <c r="Q18" s="564">
        <f t="shared" si="2"/>
        <v>2.3625839999999996</v>
      </c>
      <c r="R18" s="564">
        <f t="shared" ref="R18:R25" si="5">((SUM(H18:I18)*80%)*10.5%)/12*2</f>
        <v>0.56252000000000002</v>
      </c>
    </row>
    <row r="19" spans="5:18" ht="105">
      <c r="E19" s="51" t="s">
        <v>1275</v>
      </c>
      <c r="F19" s="546" t="s">
        <v>1253</v>
      </c>
      <c r="G19" s="548">
        <v>214.05</v>
      </c>
      <c r="H19" s="548">
        <f t="shared" si="4"/>
        <v>149.83500000000001</v>
      </c>
      <c r="I19" s="548">
        <f t="shared" si="3"/>
        <v>64.215000000000003</v>
      </c>
      <c r="J19" s="548"/>
      <c r="K19" s="547">
        <v>43952</v>
      </c>
      <c r="L19" s="469" t="s">
        <v>1174</v>
      </c>
      <c r="N19" s="564">
        <f t="shared" si="0"/>
        <v>171.24</v>
      </c>
      <c r="O19" s="564">
        <f t="shared" si="1"/>
        <v>42.81</v>
      </c>
      <c r="Q19" s="564">
        <f t="shared" si="2"/>
        <v>12.58614</v>
      </c>
      <c r="R19" s="564">
        <f t="shared" si="5"/>
        <v>2.9967000000000001</v>
      </c>
    </row>
    <row r="20" spans="5:18" ht="180" customHeight="1">
      <c r="E20" s="51" t="s">
        <v>1276</v>
      </c>
      <c r="F20" s="546" t="s">
        <v>1253</v>
      </c>
      <c r="G20" s="548">
        <v>103.6</v>
      </c>
      <c r="H20" s="548">
        <f t="shared" si="4"/>
        <v>72.52</v>
      </c>
      <c r="I20" s="548">
        <f t="shared" si="3"/>
        <v>31.08</v>
      </c>
      <c r="J20" s="548"/>
      <c r="K20" s="547">
        <v>43952</v>
      </c>
      <c r="L20" s="469" t="s">
        <v>1174</v>
      </c>
      <c r="N20" s="564">
        <f t="shared" si="0"/>
        <v>82.88</v>
      </c>
      <c r="O20" s="564">
        <f t="shared" si="1"/>
        <v>20.72</v>
      </c>
      <c r="Q20" s="564">
        <f t="shared" si="2"/>
        <v>6.0916799999999993</v>
      </c>
      <c r="R20" s="564">
        <f t="shared" si="5"/>
        <v>1.4503999999999999</v>
      </c>
    </row>
    <row r="21" spans="5:18" ht="300">
      <c r="E21" s="51" t="s">
        <v>1277</v>
      </c>
      <c r="F21" s="546" t="s">
        <v>1253</v>
      </c>
      <c r="G21" s="548">
        <v>103.14</v>
      </c>
      <c r="H21" s="548">
        <f t="shared" si="4"/>
        <v>72.197999999999993</v>
      </c>
      <c r="I21" s="548">
        <f t="shared" si="3"/>
        <v>30.942</v>
      </c>
      <c r="J21" s="548"/>
      <c r="K21" s="547">
        <v>43952</v>
      </c>
      <c r="L21" s="469" t="s">
        <v>1174</v>
      </c>
      <c r="N21" s="564">
        <f t="shared" si="0"/>
        <v>82.512</v>
      </c>
      <c r="O21" s="564">
        <f t="shared" si="1"/>
        <v>20.628</v>
      </c>
      <c r="Q21" s="564">
        <f t="shared" si="2"/>
        <v>6.0646319999999996</v>
      </c>
      <c r="R21" s="564">
        <f t="shared" si="5"/>
        <v>1.4439599999999999</v>
      </c>
    </row>
    <row r="22" spans="5:18" ht="105">
      <c r="E22" s="51" t="s">
        <v>1278</v>
      </c>
      <c r="F22" s="546" t="s">
        <v>1253</v>
      </c>
      <c r="G22" s="548">
        <v>165.64</v>
      </c>
      <c r="H22" s="548">
        <f t="shared" si="4"/>
        <v>115.94799999999998</v>
      </c>
      <c r="I22" s="548">
        <f t="shared" si="3"/>
        <v>49.691999999999993</v>
      </c>
      <c r="J22" s="548"/>
      <c r="K22" s="547">
        <v>43952</v>
      </c>
      <c r="L22" s="469" t="s">
        <v>1174</v>
      </c>
      <c r="N22" s="564">
        <f t="shared" si="0"/>
        <v>132.512</v>
      </c>
      <c r="O22" s="564">
        <f t="shared" si="1"/>
        <v>33.128</v>
      </c>
      <c r="Q22" s="564">
        <f t="shared" si="2"/>
        <v>9.7396319999999985</v>
      </c>
      <c r="R22" s="564">
        <f t="shared" si="5"/>
        <v>2.3189600000000001</v>
      </c>
    </row>
    <row r="23" spans="5:18" ht="210">
      <c r="E23" s="51" t="s">
        <v>1279</v>
      </c>
      <c r="F23" s="546" t="s">
        <v>1253</v>
      </c>
      <c r="G23" s="548">
        <v>104.09</v>
      </c>
      <c r="H23" s="548">
        <f t="shared" si="4"/>
        <v>72.863</v>
      </c>
      <c r="I23" s="548">
        <f t="shared" si="3"/>
        <v>31.227</v>
      </c>
      <c r="J23" s="548"/>
      <c r="K23" s="547">
        <v>43952</v>
      </c>
      <c r="L23" s="469" t="s">
        <v>1174</v>
      </c>
      <c r="N23" s="564">
        <f t="shared" si="0"/>
        <v>83.272000000000006</v>
      </c>
      <c r="O23" s="564">
        <f t="shared" si="1"/>
        <v>20.818000000000001</v>
      </c>
      <c r="Q23" s="564">
        <f t="shared" si="2"/>
        <v>6.1204920000000005</v>
      </c>
      <c r="R23" s="564">
        <f t="shared" si="5"/>
        <v>1.45726</v>
      </c>
    </row>
    <row r="24" spans="5:18" ht="135">
      <c r="E24" s="51" t="s">
        <v>1280</v>
      </c>
      <c r="F24" s="546" t="s">
        <v>1253</v>
      </c>
      <c r="G24" s="548">
        <v>150.09</v>
      </c>
      <c r="H24" s="548">
        <f t="shared" si="4"/>
        <v>105.063</v>
      </c>
      <c r="I24" s="548">
        <f t="shared" si="3"/>
        <v>45.027000000000001</v>
      </c>
      <c r="J24" s="548"/>
      <c r="K24" s="547">
        <v>43952</v>
      </c>
      <c r="L24" s="469" t="s">
        <v>1174</v>
      </c>
      <c r="N24" s="564">
        <f t="shared" si="0"/>
        <v>120.072</v>
      </c>
      <c r="O24" s="564">
        <f t="shared" si="1"/>
        <v>30.018000000000001</v>
      </c>
      <c r="Q24" s="564">
        <f t="shared" si="2"/>
        <v>8.825292000000001</v>
      </c>
      <c r="R24" s="564">
        <f t="shared" si="5"/>
        <v>2.1012599999999999</v>
      </c>
    </row>
    <row r="25" spans="5:18" ht="135">
      <c r="E25" s="51" t="s">
        <v>1281</v>
      </c>
      <c r="F25" s="546" t="s">
        <v>1253</v>
      </c>
      <c r="G25" s="548">
        <v>52.8</v>
      </c>
      <c r="H25" s="548">
        <f t="shared" si="4"/>
        <v>36.959999999999994</v>
      </c>
      <c r="I25" s="548">
        <f t="shared" si="3"/>
        <v>15.839999999999998</v>
      </c>
      <c r="J25" s="548"/>
      <c r="K25" s="547">
        <v>43952</v>
      </c>
      <c r="L25" s="469" t="s">
        <v>1174</v>
      </c>
      <c r="N25" s="564">
        <f t="shared" si="0"/>
        <v>42.24</v>
      </c>
      <c r="O25" s="564">
        <f t="shared" si="1"/>
        <v>10.56</v>
      </c>
      <c r="Q25" s="564">
        <f t="shared" si="2"/>
        <v>3.1046399999999998</v>
      </c>
      <c r="R25" s="564">
        <f t="shared" si="5"/>
        <v>0.73919999999999986</v>
      </c>
    </row>
    <row r="26" spans="5:18" ht="135" hidden="1">
      <c r="E26" s="51" t="s">
        <v>1282</v>
      </c>
      <c r="F26" s="546" t="s">
        <v>1007</v>
      </c>
      <c r="G26" s="548">
        <v>30</v>
      </c>
      <c r="H26" s="548">
        <f>G26*10%</f>
        <v>3</v>
      </c>
      <c r="I26" s="548">
        <f t="shared" si="3"/>
        <v>9</v>
      </c>
      <c r="J26" s="548">
        <f>G26*60%</f>
        <v>18</v>
      </c>
      <c r="K26" s="547">
        <v>44378</v>
      </c>
      <c r="L26" s="469" t="s">
        <v>1252</v>
      </c>
      <c r="N26" s="564">
        <f t="shared" si="0"/>
        <v>24</v>
      </c>
      <c r="O26" s="564">
        <f t="shared" si="1"/>
        <v>6</v>
      </c>
      <c r="Q26" s="564">
        <f t="shared" si="2"/>
        <v>0.252</v>
      </c>
    </row>
    <row r="27" spans="5:18" ht="105" hidden="1">
      <c r="E27" s="565" t="s">
        <v>1283</v>
      </c>
      <c r="F27" s="572" t="s">
        <v>1267</v>
      </c>
      <c r="G27" s="567">
        <v>81.94</v>
      </c>
      <c r="H27" s="567"/>
      <c r="I27" s="567">
        <f>G27*60%</f>
        <v>49.163999999999994</v>
      </c>
      <c r="J27" s="567">
        <f>G27*40%</f>
        <v>32.776000000000003</v>
      </c>
      <c r="K27" s="568">
        <v>44531</v>
      </c>
      <c r="L27" s="569" t="s">
        <v>1252</v>
      </c>
      <c r="M27" s="570"/>
      <c r="N27" s="571">
        <f t="shared" si="0"/>
        <v>65.552000000000007</v>
      </c>
      <c r="O27" s="571">
        <f t="shared" si="1"/>
        <v>16.388000000000002</v>
      </c>
      <c r="Q27" s="564">
        <f t="shared" si="2"/>
        <v>0</v>
      </c>
    </row>
    <row r="28" spans="5:18" ht="105">
      <c r="E28" s="51" t="s">
        <v>1284</v>
      </c>
      <c r="F28" s="546" t="s">
        <v>1253</v>
      </c>
      <c r="G28" s="548">
        <v>65.459999999999994</v>
      </c>
      <c r="H28" s="548">
        <f>G28*70%</f>
        <v>45.821999999999996</v>
      </c>
      <c r="I28" s="548">
        <f>G28*30%</f>
        <v>19.637999999999998</v>
      </c>
      <c r="J28" s="548"/>
      <c r="K28" s="547">
        <v>43952</v>
      </c>
      <c r="L28" s="469" t="s">
        <v>1174</v>
      </c>
      <c r="N28" s="564">
        <f t="shared" si="0"/>
        <v>52.367999999999995</v>
      </c>
      <c r="O28" s="564">
        <f t="shared" si="1"/>
        <v>13.091999999999999</v>
      </c>
      <c r="Q28" s="564">
        <f t="shared" si="2"/>
        <v>3.8490479999999994</v>
      </c>
      <c r="R28" s="564">
        <f>((SUM(H28:I28)*80%)*10.5%)/12*2</f>
        <v>0.91643999999999981</v>
      </c>
    </row>
    <row r="29" spans="5:18" ht="60" hidden="1">
      <c r="E29" s="573" t="s">
        <v>1285</v>
      </c>
      <c r="F29" s="574" t="s">
        <v>1007</v>
      </c>
      <c r="G29" s="575">
        <v>6.6</v>
      </c>
      <c r="H29" s="575">
        <f>G29*10%</f>
        <v>0.66</v>
      </c>
      <c r="I29" s="575">
        <f>G29*30%</f>
        <v>1.9799999999999998</v>
      </c>
      <c r="J29" s="575">
        <f>G29*60%</f>
        <v>3.9599999999999995</v>
      </c>
      <c r="K29" s="576">
        <v>44378</v>
      </c>
      <c r="L29" s="577" t="s">
        <v>1252</v>
      </c>
      <c r="M29" s="578"/>
      <c r="N29" s="581">
        <f t="shared" si="0"/>
        <v>5.28</v>
      </c>
      <c r="O29" s="581">
        <f t="shared" si="1"/>
        <v>1.32</v>
      </c>
      <c r="Q29" s="564">
        <f t="shared" si="2"/>
        <v>5.5440000000000003E-2</v>
      </c>
    </row>
    <row r="30" spans="5:18" ht="75" hidden="1">
      <c r="E30" s="565" t="s">
        <v>1286</v>
      </c>
      <c r="F30" s="572" t="s">
        <v>1267</v>
      </c>
      <c r="G30" s="567">
        <v>35.19</v>
      </c>
      <c r="H30" s="567"/>
      <c r="I30" s="567">
        <f>G30*60%</f>
        <v>21.113999999999997</v>
      </c>
      <c r="J30" s="567">
        <f>G30*40%</f>
        <v>14.076000000000001</v>
      </c>
      <c r="K30" s="568">
        <v>44531</v>
      </c>
      <c r="L30" s="569" t="s">
        <v>1252</v>
      </c>
      <c r="M30" s="570"/>
      <c r="N30" s="571">
        <f t="shared" si="0"/>
        <v>28.152000000000001</v>
      </c>
      <c r="O30" s="571">
        <f t="shared" si="1"/>
        <v>7.0380000000000003</v>
      </c>
      <c r="Q30" s="564">
        <f t="shared" si="2"/>
        <v>0</v>
      </c>
    </row>
    <row r="31" spans="5:18" ht="90" hidden="1">
      <c r="E31" s="51" t="s">
        <v>1287</v>
      </c>
      <c r="F31" s="546" t="s">
        <v>1007</v>
      </c>
      <c r="G31" s="548">
        <v>29.96</v>
      </c>
      <c r="H31" s="548">
        <f>G31*10%</f>
        <v>2.9960000000000004</v>
      </c>
      <c r="I31" s="548">
        <f>G31*30%</f>
        <v>8.9879999999999995</v>
      </c>
      <c r="J31" s="548">
        <f>G31*60%</f>
        <v>17.975999999999999</v>
      </c>
      <c r="K31" s="547">
        <v>44378</v>
      </c>
      <c r="L31" s="469" t="s">
        <v>1252</v>
      </c>
      <c r="N31" s="564">
        <f t="shared" si="0"/>
        <v>23.968000000000004</v>
      </c>
      <c r="O31" s="564">
        <f t="shared" si="1"/>
        <v>5.9920000000000009</v>
      </c>
      <c r="Q31" s="564">
        <f t="shared" si="2"/>
        <v>0.251664</v>
      </c>
    </row>
    <row r="32" spans="5:18" ht="135" hidden="1">
      <c r="E32" s="51" t="s">
        <v>1011</v>
      </c>
      <c r="F32" s="546" t="s">
        <v>1007</v>
      </c>
      <c r="G32" s="548">
        <v>109.46</v>
      </c>
      <c r="H32" s="548">
        <f>G32*10%</f>
        <v>10.946</v>
      </c>
      <c r="I32" s="548">
        <f>G32*30%</f>
        <v>32.837999999999994</v>
      </c>
      <c r="J32" s="548">
        <f>G32*60%</f>
        <v>65.675999999999988</v>
      </c>
      <c r="K32" s="547">
        <v>44378</v>
      </c>
      <c r="L32" s="469" t="s">
        <v>1252</v>
      </c>
      <c r="N32" s="564">
        <f t="shared" si="0"/>
        <v>87.567999999999998</v>
      </c>
      <c r="O32" s="564">
        <f t="shared" si="1"/>
        <v>21.891999999999999</v>
      </c>
      <c r="Q32" s="564">
        <f t="shared" si="2"/>
        <v>0.91946399999999995</v>
      </c>
    </row>
    <row r="33" spans="5:18" ht="60">
      <c r="E33" s="51" t="s">
        <v>1288</v>
      </c>
      <c r="F33" s="546" t="s">
        <v>1253</v>
      </c>
      <c r="G33" s="548">
        <v>95.86</v>
      </c>
      <c r="H33" s="548">
        <f>G33*70%</f>
        <v>67.10199999999999</v>
      </c>
      <c r="I33" s="548">
        <f>G33*30%</f>
        <v>28.757999999999999</v>
      </c>
      <c r="J33" s="548"/>
      <c r="K33" s="547">
        <v>43952</v>
      </c>
      <c r="L33" s="469" t="s">
        <v>1174</v>
      </c>
      <c r="N33" s="564">
        <f t="shared" si="0"/>
        <v>76.688000000000002</v>
      </c>
      <c r="O33" s="564">
        <f t="shared" si="1"/>
        <v>19.172000000000001</v>
      </c>
      <c r="Q33" s="564">
        <f t="shared" si="2"/>
        <v>5.6365679999999996</v>
      </c>
      <c r="R33" s="564">
        <f>((SUM(H33:I33)*80%)*10.5%)/12*2</f>
        <v>1.3420399999999997</v>
      </c>
    </row>
    <row r="34" spans="5:18" ht="120" hidden="1">
      <c r="E34" s="565" t="s">
        <v>1289</v>
      </c>
      <c r="F34" s="572" t="s">
        <v>1267</v>
      </c>
      <c r="G34" s="567">
        <v>141.03</v>
      </c>
      <c r="H34" s="567"/>
      <c r="I34" s="567">
        <f>G34*60%</f>
        <v>84.617999999999995</v>
      </c>
      <c r="J34" s="567">
        <f>G34*40%</f>
        <v>56.412000000000006</v>
      </c>
      <c r="K34" s="568">
        <v>44531</v>
      </c>
      <c r="L34" s="569" t="s">
        <v>1252</v>
      </c>
      <c r="M34" s="570"/>
      <c r="N34" s="571">
        <f t="shared" si="0"/>
        <v>112.82400000000001</v>
      </c>
      <c r="O34" s="571">
        <f t="shared" si="1"/>
        <v>28.206000000000003</v>
      </c>
      <c r="Q34" s="564">
        <f t="shared" si="2"/>
        <v>0</v>
      </c>
    </row>
    <row r="35" spans="5:18" ht="120">
      <c r="E35" s="51" t="s">
        <v>1290</v>
      </c>
      <c r="F35" s="546" t="s">
        <v>1253</v>
      </c>
      <c r="G35" s="548">
        <v>92.55</v>
      </c>
      <c r="H35" s="548">
        <f>G35*70%</f>
        <v>64.784999999999997</v>
      </c>
      <c r="I35" s="548">
        <f>G35*30%</f>
        <v>27.764999999999997</v>
      </c>
      <c r="J35" s="548"/>
      <c r="K35" s="547">
        <v>43952</v>
      </c>
      <c r="L35" s="469" t="s">
        <v>1174</v>
      </c>
      <c r="N35" s="564">
        <f t="shared" si="0"/>
        <v>74.040000000000006</v>
      </c>
      <c r="O35" s="564">
        <f t="shared" si="1"/>
        <v>18.510000000000002</v>
      </c>
      <c r="Q35" s="564">
        <f t="shared" si="2"/>
        <v>5.4419399999999998</v>
      </c>
      <c r="R35" s="564">
        <f>((SUM(H35:I35)*80%)*10.5%)/12*2</f>
        <v>1.2957000000000001</v>
      </c>
    </row>
    <row r="36" spans="5:18" ht="105" hidden="1">
      <c r="E36" s="565" t="s">
        <v>1291</v>
      </c>
      <c r="F36" s="572" t="s">
        <v>1267</v>
      </c>
      <c r="G36" s="567">
        <v>72.73</v>
      </c>
      <c r="H36" s="567"/>
      <c r="I36" s="567">
        <f>G36*60%</f>
        <v>43.637999999999998</v>
      </c>
      <c r="J36" s="567">
        <f>G36*40%</f>
        <v>29.092000000000002</v>
      </c>
      <c r="K36" s="568">
        <v>44531</v>
      </c>
      <c r="L36" s="569" t="s">
        <v>1252</v>
      </c>
      <c r="M36" s="570"/>
      <c r="N36" s="571">
        <f t="shared" si="0"/>
        <v>58.184000000000005</v>
      </c>
      <c r="O36" s="571">
        <f t="shared" si="1"/>
        <v>14.546000000000001</v>
      </c>
      <c r="Q36" s="564">
        <f t="shared" si="2"/>
        <v>0</v>
      </c>
    </row>
    <row r="37" spans="5:18" ht="225">
      <c r="E37" s="51" t="s">
        <v>1292</v>
      </c>
      <c r="F37" s="546" t="s">
        <v>1253</v>
      </c>
      <c r="G37" s="548">
        <v>153.68</v>
      </c>
      <c r="H37" s="548">
        <f>G37*70%</f>
        <v>107.57599999999999</v>
      </c>
      <c r="I37" s="548">
        <f>G37*30%</f>
        <v>46.103999999999999</v>
      </c>
      <c r="J37" s="548"/>
      <c r="K37" s="547">
        <v>43952</v>
      </c>
      <c r="L37" s="469" t="s">
        <v>1174</v>
      </c>
      <c r="N37" s="564">
        <f t="shared" si="0"/>
        <v>122.94400000000002</v>
      </c>
      <c r="O37" s="564">
        <f t="shared" si="1"/>
        <v>30.736000000000004</v>
      </c>
      <c r="Q37" s="564">
        <f t="shared" si="2"/>
        <v>9.036384</v>
      </c>
      <c r="R37" s="564">
        <f>((SUM(H37:I37)*80%)*10.5%)/12*2</f>
        <v>2.1515200000000001</v>
      </c>
    </row>
    <row r="38" spans="5:18" ht="255" hidden="1">
      <c r="E38" s="51" t="s">
        <v>1293</v>
      </c>
      <c r="F38" s="322" t="s">
        <v>1267</v>
      </c>
      <c r="G38" s="548">
        <v>135.29</v>
      </c>
      <c r="H38" s="548"/>
      <c r="I38" s="548">
        <f>G38*60%</f>
        <v>81.173999999999992</v>
      </c>
      <c r="J38" s="548">
        <f>G38*40%</f>
        <v>54.116</v>
      </c>
      <c r="K38" s="568">
        <v>44531</v>
      </c>
      <c r="L38" s="569" t="s">
        <v>1252</v>
      </c>
      <c r="M38" s="570"/>
      <c r="N38" s="571">
        <f t="shared" si="0"/>
        <v>108.232</v>
      </c>
      <c r="O38" s="571">
        <f t="shared" si="1"/>
        <v>27.058</v>
      </c>
      <c r="Q38" s="564">
        <f t="shared" si="2"/>
        <v>0</v>
      </c>
    </row>
    <row r="39" spans="5:18" ht="165">
      <c r="E39" s="51" t="s">
        <v>1294</v>
      </c>
      <c r="F39" s="546" t="s">
        <v>1253</v>
      </c>
      <c r="G39" s="548">
        <v>167.45</v>
      </c>
      <c r="H39" s="548">
        <f>G39*70%</f>
        <v>117.21499999999999</v>
      </c>
      <c r="I39" s="548">
        <f t="shared" ref="I39:I49" si="6">G39*30%</f>
        <v>50.234999999999992</v>
      </c>
      <c r="J39" s="548"/>
      <c r="K39" s="547">
        <v>43952</v>
      </c>
      <c r="L39" s="469" t="s">
        <v>1174</v>
      </c>
      <c r="N39" s="564">
        <f t="shared" si="0"/>
        <v>133.96</v>
      </c>
      <c r="O39" s="564">
        <f t="shared" si="1"/>
        <v>33.49</v>
      </c>
      <c r="Q39" s="564">
        <f t="shared" si="2"/>
        <v>9.8460599999999996</v>
      </c>
      <c r="R39" s="564">
        <f>((SUM(H39:I39)*80%)*10.5%)/12*2</f>
        <v>2.3443000000000001</v>
      </c>
    </row>
    <row r="40" spans="5:18" ht="75" hidden="1">
      <c r="E40" s="51" t="s">
        <v>1295</v>
      </c>
      <c r="F40" s="546" t="s">
        <v>1007</v>
      </c>
      <c r="G40" s="548">
        <v>250.51</v>
      </c>
      <c r="H40" s="548">
        <f t="shared" ref="H40:H47" si="7">G40*10%</f>
        <v>25.051000000000002</v>
      </c>
      <c r="I40" s="548">
        <f t="shared" si="6"/>
        <v>75.152999999999992</v>
      </c>
      <c r="J40" s="548">
        <f t="shared" ref="J40:J47" si="8">G40*60%</f>
        <v>150.30599999999998</v>
      </c>
      <c r="K40" s="547">
        <v>44378</v>
      </c>
      <c r="L40" s="469" t="s">
        <v>1252</v>
      </c>
      <c r="N40" s="564">
        <f t="shared" si="0"/>
        <v>200.40800000000002</v>
      </c>
      <c r="O40" s="564">
        <f t="shared" si="1"/>
        <v>50.102000000000004</v>
      </c>
      <c r="Q40" s="564">
        <f t="shared" si="2"/>
        <v>2.1042840000000003</v>
      </c>
    </row>
    <row r="41" spans="5:18" ht="90" hidden="1">
      <c r="E41" s="51" t="s">
        <v>1017</v>
      </c>
      <c r="F41" s="546" t="s">
        <v>1007</v>
      </c>
      <c r="G41" s="548">
        <v>14.66</v>
      </c>
      <c r="H41" s="548">
        <f t="shared" si="7"/>
        <v>1.4660000000000002</v>
      </c>
      <c r="I41" s="548">
        <f t="shared" si="6"/>
        <v>4.3979999999999997</v>
      </c>
      <c r="J41" s="548">
        <f t="shared" si="8"/>
        <v>8.7959999999999994</v>
      </c>
      <c r="K41" s="547">
        <v>44378</v>
      </c>
      <c r="L41" s="469" t="s">
        <v>1252</v>
      </c>
      <c r="N41" s="579">
        <f t="shared" si="0"/>
        <v>11.728000000000002</v>
      </c>
      <c r="O41" s="579">
        <f t="shared" si="1"/>
        <v>2.9320000000000004</v>
      </c>
      <c r="Q41" s="564">
        <f t="shared" si="2"/>
        <v>0.12314400000000003</v>
      </c>
    </row>
    <row r="42" spans="5:18" ht="90" hidden="1">
      <c r="E42" s="51" t="s">
        <v>1018</v>
      </c>
      <c r="F42" s="546" t="s">
        <v>1007</v>
      </c>
      <c r="G42" s="548">
        <v>11.73</v>
      </c>
      <c r="H42" s="548">
        <f t="shared" si="7"/>
        <v>1.173</v>
      </c>
      <c r="I42" s="548">
        <f t="shared" si="6"/>
        <v>3.5190000000000001</v>
      </c>
      <c r="J42" s="548">
        <f t="shared" si="8"/>
        <v>7.0380000000000003</v>
      </c>
      <c r="K42" s="547">
        <v>44378</v>
      </c>
      <c r="L42" s="469" t="s">
        <v>1252</v>
      </c>
      <c r="N42" s="579">
        <f t="shared" si="0"/>
        <v>9.3840000000000003</v>
      </c>
      <c r="O42" s="579">
        <f t="shared" si="1"/>
        <v>2.3460000000000001</v>
      </c>
      <c r="Q42" s="564">
        <f t="shared" si="2"/>
        <v>9.8532000000000008E-2</v>
      </c>
    </row>
    <row r="43" spans="5:18" ht="90" hidden="1">
      <c r="E43" s="51" t="s">
        <v>1296</v>
      </c>
      <c r="F43" s="546" t="s">
        <v>1007</v>
      </c>
      <c r="G43" s="548">
        <v>8.8000000000000007</v>
      </c>
      <c r="H43" s="548">
        <f t="shared" si="7"/>
        <v>0.88000000000000012</v>
      </c>
      <c r="I43" s="548">
        <f t="shared" si="6"/>
        <v>2.64</v>
      </c>
      <c r="J43" s="548">
        <f t="shared" si="8"/>
        <v>5.28</v>
      </c>
      <c r="K43" s="547">
        <v>44378</v>
      </c>
      <c r="L43" s="469" t="s">
        <v>1252</v>
      </c>
      <c r="N43" s="579">
        <f t="shared" si="0"/>
        <v>7.0400000000000009</v>
      </c>
      <c r="O43" s="579">
        <f t="shared" si="1"/>
        <v>1.7600000000000002</v>
      </c>
      <c r="Q43" s="564">
        <f t="shared" si="2"/>
        <v>7.3920000000000013E-2</v>
      </c>
    </row>
    <row r="44" spans="5:18" ht="120" hidden="1">
      <c r="E44" s="51" t="s">
        <v>1297</v>
      </c>
      <c r="F44" s="546" t="s">
        <v>1007</v>
      </c>
      <c r="G44" s="548">
        <v>17.559999999999999</v>
      </c>
      <c r="H44" s="548">
        <f t="shared" si="7"/>
        <v>1.756</v>
      </c>
      <c r="I44" s="548">
        <f t="shared" si="6"/>
        <v>5.2679999999999998</v>
      </c>
      <c r="J44" s="548">
        <f t="shared" si="8"/>
        <v>10.536</v>
      </c>
      <c r="K44" s="547">
        <v>44378</v>
      </c>
      <c r="L44" s="469" t="s">
        <v>1252</v>
      </c>
      <c r="N44" s="579">
        <f t="shared" si="0"/>
        <v>14.048</v>
      </c>
      <c r="O44" s="579">
        <f t="shared" si="1"/>
        <v>3.512</v>
      </c>
      <c r="Q44" s="564">
        <f t="shared" si="2"/>
        <v>0.147504</v>
      </c>
    </row>
    <row r="45" spans="5:18" ht="135" hidden="1">
      <c r="E45" s="51" t="s">
        <v>1298</v>
      </c>
      <c r="F45" s="546" t="s">
        <v>1007</v>
      </c>
      <c r="G45" s="548">
        <v>17.559999999999999</v>
      </c>
      <c r="H45" s="548">
        <f t="shared" si="7"/>
        <v>1.756</v>
      </c>
      <c r="I45" s="548">
        <f t="shared" si="6"/>
        <v>5.2679999999999998</v>
      </c>
      <c r="J45" s="548">
        <f t="shared" si="8"/>
        <v>10.536</v>
      </c>
      <c r="K45" s="547">
        <v>44378</v>
      </c>
      <c r="L45" s="469" t="s">
        <v>1252</v>
      </c>
      <c r="N45" s="579">
        <f t="shared" si="0"/>
        <v>14.048</v>
      </c>
      <c r="O45" s="579">
        <f t="shared" si="1"/>
        <v>3.512</v>
      </c>
      <c r="Q45" s="564">
        <f t="shared" si="2"/>
        <v>0.147504</v>
      </c>
    </row>
    <row r="46" spans="5:18" ht="120" hidden="1">
      <c r="E46" s="51" t="s">
        <v>1299</v>
      </c>
      <c r="F46" s="546" t="s">
        <v>1007</v>
      </c>
      <c r="G46" s="548">
        <v>17.559999999999999</v>
      </c>
      <c r="H46" s="548">
        <f t="shared" si="7"/>
        <v>1.756</v>
      </c>
      <c r="I46" s="548">
        <f t="shared" si="6"/>
        <v>5.2679999999999998</v>
      </c>
      <c r="J46" s="548">
        <f t="shared" si="8"/>
        <v>10.536</v>
      </c>
      <c r="K46" s="547">
        <v>44378</v>
      </c>
      <c r="L46" s="469" t="s">
        <v>1252</v>
      </c>
      <c r="N46" s="579">
        <f t="shared" si="0"/>
        <v>14.048</v>
      </c>
      <c r="O46" s="579">
        <f t="shared" si="1"/>
        <v>3.512</v>
      </c>
      <c r="Q46" s="564">
        <f t="shared" si="2"/>
        <v>0.147504</v>
      </c>
    </row>
    <row r="47" spans="5:18" ht="135" hidden="1">
      <c r="E47" s="51" t="s">
        <v>1300</v>
      </c>
      <c r="F47" s="546" t="s">
        <v>1007</v>
      </c>
      <c r="G47" s="548">
        <v>14.63</v>
      </c>
      <c r="H47" s="548">
        <f t="shared" si="7"/>
        <v>1.4630000000000001</v>
      </c>
      <c r="I47" s="548">
        <f t="shared" si="6"/>
        <v>4.3890000000000002</v>
      </c>
      <c r="J47" s="548">
        <f t="shared" si="8"/>
        <v>8.7780000000000005</v>
      </c>
      <c r="K47" s="547">
        <v>44378</v>
      </c>
      <c r="L47" s="469" t="s">
        <v>1252</v>
      </c>
      <c r="N47" s="579">
        <f t="shared" si="0"/>
        <v>11.704000000000001</v>
      </c>
      <c r="O47" s="579">
        <f t="shared" si="1"/>
        <v>2.9260000000000002</v>
      </c>
      <c r="Q47" s="564">
        <f t="shared" si="2"/>
        <v>0.122892</v>
      </c>
    </row>
    <row r="48" spans="5:18" ht="45">
      <c r="E48" s="51" t="s">
        <v>1301</v>
      </c>
      <c r="F48" s="546" t="s">
        <v>1253</v>
      </c>
      <c r="G48" s="548">
        <v>200.62</v>
      </c>
      <c r="H48" s="548">
        <f>G48*70%</f>
        <v>140.434</v>
      </c>
      <c r="I48" s="548">
        <f t="shared" si="6"/>
        <v>60.186</v>
      </c>
      <c r="J48" s="548"/>
      <c r="K48" s="547">
        <v>43952</v>
      </c>
      <c r="L48" s="469" t="s">
        <v>1174</v>
      </c>
      <c r="N48" s="580">
        <f t="shared" si="0"/>
        <v>160.49600000000001</v>
      </c>
      <c r="O48" s="580">
        <f t="shared" si="1"/>
        <v>40.124000000000002</v>
      </c>
      <c r="Q48" s="564">
        <f t="shared" si="2"/>
        <v>11.796455999999999</v>
      </c>
      <c r="R48" s="564">
        <f>((SUM(H48:I48)*80%)*10.5%)/12*2</f>
        <v>2.8086800000000003</v>
      </c>
    </row>
    <row r="49" spans="5:17" ht="135" hidden="1">
      <c r="E49" s="51" t="s">
        <v>1302</v>
      </c>
      <c r="F49" s="546" t="s">
        <v>1007</v>
      </c>
      <c r="G49" s="548">
        <v>14.63</v>
      </c>
      <c r="H49" s="548">
        <f>G49*10%</f>
        <v>1.4630000000000001</v>
      </c>
      <c r="I49" s="548">
        <f t="shared" si="6"/>
        <v>4.3890000000000002</v>
      </c>
      <c r="J49" s="548">
        <f>G49*60%</f>
        <v>8.7780000000000005</v>
      </c>
      <c r="K49" s="547">
        <v>44378</v>
      </c>
      <c r="L49" s="469" t="s">
        <v>1252</v>
      </c>
      <c r="N49" s="579">
        <f t="shared" si="0"/>
        <v>11.704000000000001</v>
      </c>
      <c r="O49" s="579">
        <f t="shared" si="1"/>
        <v>2.9260000000000002</v>
      </c>
      <c r="Q49" s="564">
        <f t="shared" si="2"/>
        <v>0.122892</v>
      </c>
    </row>
    <row r="50" spans="5:17">
      <c r="G50" s="548"/>
      <c r="H50" s="548"/>
      <c r="I50" s="548"/>
      <c r="J50" s="548"/>
    </row>
    <row r="51" spans="5:17">
      <c r="G51" s="548"/>
      <c r="H51" s="548"/>
      <c r="I51" s="548"/>
      <c r="J51" s="548"/>
    </row>
    <row r="52" spans="5:17">
      <c r="E52" s="51" t="s">
        <v>1303</v>
      </c>
      <c r="G52" s="548"/>
      <c r="H52" s="549">
        <f>SUM(H3:H49)</f>
        <v>1719.2140000000002</v>
      </c>
      <c r="I52" s="549">
        <f>SUM(I3:I49)</f>
        <v>1304.9539999999997</v>
      </c>
      <c r="J52" s="549">
        <f>SUM(J3:J49)</f>
        <v>679.27199999999982</v>
      </c>
      <c r="Q52" s="711">
        <f>SUM(Q3:R49)</f>
        <v>182.24309600000004</v>
      </c>
    </row>
    <row r="53" spans="5:17">
      <c r="E53" s="51" t="s">
        <v>1304</v>
      </c>
      <c r="G53" s="548"/>
      <c r="H53" s="549">
        <v>0</v>
      </c>
      <c r="I53" s="549">
        <f>SUM(H3:I3,H4:I4,H5:I5,H6:I6,H7:I7,H11:I11,H13:I13,H14:I14,H18:I18,H19:I19,H20:I20,H21:I21,H22:I23,H24:I25,H28:I28,H33:I33,H35:I35,H37:I37,H39:I39,H48:I48)</f>
        <v>2401.7000000000007</v>
      </c>
      <c r="J53" s="549">
        <f>SUM(H8:J8,H9:J9,H10:J10,H12:J12,H15:J15,H16:J16,H17:J17,H26:J26,H27:J27,H29:J29,H30:J30,H31:J31,H32:J32,H34:J34,H36:J36,H38:J38,H40:J40,H41:J42,H43:J44,H45:J46,H47:J47,H49:J49)</f>
        <v>1301.7400000000002</v>
      </c>
    </row>
    <row r="54" spans="5:17">
      <c r="E54" s="51"/>
      <c r="G54" s="548"/>
      <c r="H54" s="549"/>
      <c r="I54" s="549"/>
      <c r="J54" s="549"/>
    </row>
    <row r="55" spans="5:17">
      <c r="G55" s="548"/>
      <c r="H55" s="548"/>
      <c r="I55" s="548" t="s">
        <v>1308</v>
      </c>
      <c r="J55" s="548" t="s">
        <v>244</v>
      </c>
    </row>
    <row r="56" spans="5:17">
      <c r="E56" t="s">
        <v>1174</v>
      </c>
      <c r="G56" s="548"/>
      <c r="H56" s="548"/>
      <c r="I56" s="549">
        <f>N3+N4+N5+N6+N7+N11+N13+N14+N18+N19+N20+N21+N22+N23+N24+N25+N28+N33+N35+N37+N39+N48</f>
        <v>1921.36</v>
      </c>
      <c r="J56" s="549">
        <f>O3+O4+O5+O6+O7+O11+O13+O14+O18+O19+O20+O21+O22+O23+O24+O25+O28+O33+O35+O37+O39+O48</f>
        <v>480.34</v>
      </c>
    </row>
    <row r="57" spans="5:17">
      <c r="E57" t="s">
        <v>1252</v>
      </c>
      <c r="G57" s="548"/>
      <c r="H57" s="548"/>
      <c r="I57" s="549">
        <f>N8+N9+N10+N12+N15+N16+N17+N26+N27+N29+N30+N31+N32+N34+N36+N38+N40+N41+N42+N43+N44+N45+N46+N47+N49</f>
        <v>1041.3919999999998</v>
      </c>
      <c r="J57" s="549">
        <f>O8+O9+O10+O12+O15+O16+O17+O26+O27+O29+O30+O31+O32+O34+O36+O38+O40+O41+O42+O43+O44+O45+O46+O47+O49</f>
        <v>260.34799999999996</v>
      </c>
    </row>
    <row r="58" spans="5:17">
      <c r="G58" s="548"/>
      <c r="H58" s="548"/>
      <c r="I58" s="548"/>
      <c r="J58" s="548"/>
    </row>
    <row r="59" spans="5:17">
      <c r="G59" s="548"/>
      <c r="H59" s="548"/>
      <c r="I59" s="548"/>
      <c r="J59" s="548"/>
    </row>
    <row r="60" spans="5:17">
      <c r="E60" t="s">
        <v>1408</v>
      </c>
      <c r="G60" s="548"/>
      <c r="H60" s="549">
        <f>H52*80%</f>
        <v>1375.3712000000003</v>
      </c>
      <c r="I60" s="549">
        <f>I52*80%</f>
        <v>1043.9631999999999</v>
      </c>
      <c r="J60" s="549">
        <f>J52*80%</f>
        <v>543.41759999999988</v>
      </c>
    </row>
    <row r="61" spans="5:17">
      <c r="E61" t="s">
        <v>1409</v>
      </c>
      <c r="G61" s="548"/>
      <c r="H61" s="548">
        <f>H60*10.5%</f>
        <v>144.41397600000002</v>
      </c>
      <c r="I61" s="548">
        <f>I60*10.5%</f>
        <v>109.61613599999998</v>
      </c>
      <c r="J61" s="548">
        <f>J60*10.5%</f>
        <v>57.058847999999983</v>
      </c>
    </row>
    <row r="62" spans="5:17">
      <c r="E62" t="s">
        <v>1410</v>
      </c>
      <c r="G62" s="548"/>
      <c r="H62" s="548"/>
      <c r="I62" s="548"/>
      <c r="J62" s="548"/>
    </row>
    <row r="63" spans="5:17">
      <c r="G63" s="548"/>
      <c r="H63" s="548"/>
      <c r="I63" s="548"/>
      <c r="J63" s="548"/>
    </row>
    <row r="64" spans="5:17">
      <c r="G64" s="548"/>
      <c r="H64" s="548"/>
      <c r="I64" s="548"/>
      <c r="J64" s="548"/>
    </row>
    <row r="65" spans="7:10">
      <c r="G65" s="548"/>
      <c r="H65" s="548"/>
      <c r="I65" s="548"/>
      <c r="J65" s="548"/>
    </row>
    <row r="66" spans="7:10">
      <c r="G66" s="548"/>
      <c r="H66" s="548"/>
      <c r="I66" s="548"/>
      <c r="J66" s="548"/>
    </row>
    <row r="67" spans="7:10">
      <c r="G67" s="548"/>
      <c r="H67" s="548"/>
      <c r="I67" s="548"/>
      <c r="J67" s="548"/>
    </row>
    <row r="68" spans="7:10">
      <c r="G68" s="548"/>
      <c r="H68" s="548"/>
      <c r="I68" s="548"/>
      <c r="J68" s="548"/>
    </row>
    <row r="69" spans="7:10">
      <c r="G69" s="548"/>
      <c r="H69" s="548"/>
      <c r="I69" s="548"/>
      <c r="J69" s="548"/>
    </row>
    <row r="70" spans="7:10">
      <c r="G70" s="548"/>
      <c r="H70" s="548"/>
      <c r="I70" s="548"/>
      <c r="J70" s="548"/>
    </row>
    <row r="71" spans="7:10">
      <c r="G71" s="548"/>
      <c r="H71" s="548"/>
      <c r="I71" s="548"/>
      <c r="J71" s="548"/>
    </row>
    <row r="72" spans="7:10">
      <c r="G72" s="548"/>
      <c r="H72" s="548"/>
      <c r="I72" s="548"/>
      <c r="J72" s="548"/>
    </row>
    <row r="73" spans="7:10">
      <c r="G73" s="548"/>
      <c r="H73" s="548"/>
      <c r="I73" s="548"/>
      <c r="J73" s="548"/>
    </row>
    <row r="74" spans="7:10">
      <c r="G74" s="548"/>
      <c r="H74" s="548"/>
      <c r="I74" s="548"/>
      <c r="J74" s="548"/>
    </row>
    <row r="75" spans="7:10">
      <c r="G75" s="548"/>
      <c r="H75" s="548"/>
      <c r="I75" s="548"/>
      <c r="J75" s="548"/>
    </row>
    <row r="76" spans="7:10">
      <c r="G76" s="548"/>
      <c r="H76" s="548"/>
      <c r="I76" s="548"/>
      <c r="J76" s="548"/>
    </row>
    <row r="77" spans="7:10">
      <c r="G77" s="548"/>
      <c r="H77" s="548"/>
      <c r="I77" s="548"/>
      <c r="J77" s="548"/>
    </row>
    <row r="78" spans="7:10">
      <c r="G78" s="548"/>
      <c r="H78" s="548"/>
      <c r="I78" s="548"/>
      <c r="J78" s="548"/>
    </row>
    <row r="79" spans="7:10">
      <c r="G79" s="548"/>
      <c r="H79" s="548"/>
      <c r="I79" s="548"/>
      <c r="J79" s="548"/>
    </row>
    <row r="80" spans="7:10">
      <c r="G80" s="548"/>
      <c r="H80" s="548"/>
      <c r="I80" s="548"/>
      <c r="J80" s="548"/>
    </row>
    <row r="81" spans="7:10">
      <c r="G81" s="548"/>
      <c r="H81" s="548"/>
      <c r="I81" s="548"/>
      <c r="J81" s="548"/>
    </row>
    <row r="82" spans="7:10">
      <c r="G82" s="548"/>
      <c r="H82" s="548"/>
      <c r="I82" s="548"/>
      <c r="J82" s="548"/>
    </row>
    <row r="83" spans="7:10">
      <c r="G83" s="548"/>
      <c r="H83" s="548"/>
      <c r="I83" s="548"/>
      <c r="J83" s="548"/>
    </row>
    <row r="84" spans="7:10">
      <c r="G84" s="548"/>
      <c r="H84" s="548"/>
      <c r="I84" s="548"/>
      <c r="J84" s="548"/>
    </row>
    <row r="85" spans="7:10">
      <c r="G85" s="548"/>
      <c r="H85" s="548"/>
      <c r="I85" s="548"/>
      <c r="J85" s="548"/>
    </row>
    <row r="86" spans="7:10">
      <c r="G86" s="548"/>
      <c r="H86" s="548"/>
      <c r="I86" s="548"/>
      <c r="J86" s="548"/>
    </row>
    <row r="87" spans="7:10">
      <c r="G87" s="548"/>
      <c r="H87" s="548"/>
      <c r="I87" s="548"/>
      <c r="J87" s="548"/>
    </row>
    <row r="88" spans="7:10">
      <c r="G88" s="548"/>
      <c r="H88" s="548"/>
      <c r="I88" s="548"/>
      <c r="J88" s="548"/>
    </row>
    <row r="89" spans="7:10">
      <c r="G89" s="548"/>
      <c r="H89" s="548"/>
      <c r="I89" s="548"/>
      <c r="J89" s="548"/>
    </row>
    <row r="90" spans="7:10">
      <c r="G90" s="548"/>
      <c r="H90" s="548"/>
      <c r="I90" s="548"/>
      <c r="J90" s="548"/>
    </row>
    <row r="91" spans="7:10">
      <c r="G91" s="548"/>
      <c r="H91" s="548"/>
      <c r="I91" s="548"/>
      <c r="J91" s="548"/>
    </row>
    <row r="92" spans="7:10">
      <c r="G92" s="548"/>
      <c r="H92" s="548"/>
      <c r="I92" s="548"/>
      <c r="J92" s="548"/>
    </row>
    <row r="93" spans="7:10">
      <c r="G93" s="548"/>
      <c r="H93" s="548"/>
      <c r="I93" s="548"/>
      <c r="J93" s="548"/>
    </row>
    <row r="94" spans="7:10">
      <c r="G94" s="548"/>
      <c r="H94" s="548"/>
      <c r="I94" s="548"/>
      <c r="J94" s="548"/>
    </row>
    <row r="95" spans="7:10">
      <c r="G95" s="548"/>
      <c r="H95" s="548"/>
      <c r="I95" s="548"/>
      <c r="J95" s="548"/>
    </row>
    <row r="96" spans="7:10">
      <c r="G96" s="548"/>
      <c r="H96" s="548"/>
      <c r="I96" s="548"/>
      <c r="J96" s="548"/>
    </row>
    <row r="97" spans="7:10">
      <c r="G97" s="548"/>
      <c r="H97" s="548"/>
      <c r="I97" s="548"/>
      <c r="J97" s="548"/>
    </row>
    <row r="98" spans="7:10">
      <c r="G98" s="548"/>
      <c r="H98" s="548"/>
      <c r="I98" s="548"/>
      <c r="J98" s="548"/>
    </row>
    <row r="99" spans="7:10">
      <c r="G99" s="548"/>
      <c r="H99" s="548"/>
      <c r="I99" s="548"/>
      <c r="J99" s="548"/>
    </row>
    <row r="100" spans="7:10">
      <c r="G100" s="548"/>
      <c r="H100" s="548"/>
      <c r="I100" s="548"/>
      <c r="J100" s="548"/>
    </row>
    <row r="101" spans="7:10">
      <c r="G101" s="548"/>
      <c r="H101" s="548"/>
      <c r="I101" s="548"/>
      <c r="J101" s="548"/>
    </row>
    <row r="102" spans="7:10">
      <c r="G102" s="548"/>
      <c r="H102" s="548"/>
      <c r="I102" s="548"/>
      <c r="J102" s="548"/>
    </row>
    <row r="103" spans="7:10">
      <c r="G103" s="548"/>
      <c r="H103" s="548"/>
      <c r="I103" s="548"/>
      <c r="J103" s="548"/>
    </row>
    <row r="104" spans="7:10">
      <c r="G104" s="548"/>
      <c r="H104" s="548"/>
      <c r="I104" s="548"/>
      <c r="J104" s="548"/>
    </row>
    <row r="105" spans="7:10">
      <c r="G105" s="548"/>
      <c r="H105" s="548"/>
      <c r="I105" s="548"/>
      <c r="J105" s="548"/>
    </row>
    <row r="106" spans="7:10">
      <c r="G106" s="548"/>
      <c r="H106" s="548"/>
      <c r="I106" s="548"/>
      <c r="J106" s="548"/>
    </row>
    <row r="107" spans="7:10">
      <c r="G107" s="548"/>
      <c r="H107" s="548"/>
      <c r="I107" s="548"/>
      <c r="J107" s="548"/>
    </row>
    <row r="108" spans="7:10">
      <c r="G108" s="548"/>
      <c r="H108" s="548"/>
      <c r="I108" s="548"/>
      <c r="J108" s="548"/>
    </row>
    <row r="109" spans="7:10">
      <c r="G109" s="548"/>
      <c r="H109" s="548"/>
      <c r="I109" s="548"/>
      <c r="J109" s="548"/>
    </row>
    <row r="110" spans="7:10">
      <c r="G110" s="548"/>
      <c r="H110" s="548"/>
      <c r="I110" s="548"/>
      <c r="J110" s="548"/>
    </row>
    <row r="111" spans="7:10">
      <c r="G111" s="548"/>
      <c r="H111" s="548"/>
      <c r="I111" s="548"/>
      <c r="J111" s="548"/>
    </row>
    <row r="112" spans="7:10">
      <c r="G112" s="548"/>
      <c r="H112" s="548"/>
      <c r="I112" s="548"/>
      <c r="J112" s="548"/>
    </row>
    <row r="113" spans="7:10">
      <c r="G113" s="548"/>
      <c r="H113" s="548"/>
      <c r="I113" s="548"/>
      <c r="J113" s="548"/>
    </row>
    <row r="114" spans="7:10">
      <c r="G114" s="548"/>
      <c r="H114" s="548"/>
      <c r="I114" s="548"/>
      <c r="J114" s="548"/>
    </row>
    <row r="115" spans="7:10">
      <c r="G115" s="548"/>
      <c r="H115" s="548"/>
      <c r="I115" s="548"/>
      <c r="J115" s="548"/>
    </row>
    <row r="116" spans="7:10">
      <c r="G116" s="548"/>
      <c r="H116" s="548"/>
      <c r="I116" s="548"/>
      <c r="J116" s="548"/>
    </row>
    <row r="117" spans="7:10">
      <c r="G117" s="548"/>
      <c r="H117" s="548"/>
      <c r="I117" s="548"/>
      <c r="J117" s="548"/>
    </row>
    <row r="118" spans="7:10">
      <c r="G118" s="548"/>
      <c r="H118" s="548"/>
      <c r="I118" s="548"/>
      <c r="J118" s="548"/>
    </row>
    <row r="119" spans="7:10">
      <c r="G119" s="548"/>
      <c r="H119" s="548"/>
      <c r="I119" s="548"/>
      <c r="J119" s="548"/>
    </row>
    <row r="120" spans="7:10">
      <c r="G120" s="548"/>
      <c r="H120" s="548"/>
      <c r="I120" s="548"/>
      <c r="J120" s="548"/>
    </row>
    <row r="121" spans="7:10">
      <c r="G121" s="548"/>
      <c r="H121" s="548"/>
      <c r="I121" s="548"/>
      <c r="J121" s="548"/>
    </row>
    <row r="122" spans="7:10">
      <c r="G122" s="548"/>
      <c r="H122" s="548"/>
      <c r="I122" s="548"/>
      <c r="J122" s="548"/>
    </row>
    <row r="123" spans="7:10">
      <c r="G123" s="548"/>
      <c r="H123" s="548"/>
      <c r="I123" s="548"/>
      <c r="J123" s="548"/>
    </row>
    <row r="124" spans="7:10">
      <c r="G124" s="548"/>
      <c r="H124" s="548"/>
      <c r="I124" s="548"/>
      <c r="J124" s="548"/>
    </row>
    <row r="125" spans="7:10">
      <c r="G125" s="548"/>
      <c r="H125" s="548"/>
      <c r="I125" s="548"/>
      <c r="J125" s="548"/>
    </row>
    <row r="126" spans="7:10">
      <c r="G126" s="548"/>
      <c r="H126" s="548"/>
      <c r="I126" s="548"/>
      <c r="J126" s="548"/>
    </row>
    <row r="127" spans="7:10">
      <c r="G127" s="548"/>
      <c r="H127" s="548"/>
      <c r="I127" s="548"/>
      <c r="J127" s="548"/>
    </row>
    <row r="128" spans="7:10">
      <c r="G128" s="548"/>
      <c r="H128" s="548"/>
      <c r="I128" s="548"/>
      <c r="J128" s="548"/>
    </row>
    <row r="129" spans="7:10">
      <c r="G129" s="548"/>
      <c r="H129" s="548"/>
      <c r="I129" s="548"/>
      <c r="J129" s="548"/>
    </row>
    <row r="130" spans="7:10">
      <c r="G130" s="548"/>
      <c r="H130" s="548"/>
      <c r="I130" s="548"/>
      <c r="J130" s="548"/>
    </row>
    <row r="131" spans="7:10">
      <c r="G131" s="548"/>
      <c r="H131" s="548"/>
      <c r="I131" s="548"/>
      <c r="J131" s="548"/>
    </row>
    <row r="132" spans="7:10">
      <c r="G132" s="548"/>
      <c r="H132" s="548"/>
      <c r="I132" s="548"/>
      <c r="J132" s="548"/>
    </row>
    <row r="133" spans="7:10">
      <c r="G133" s="548"/>
      <c r="H133" s="548"/>
      <c r="I133" s="548"/>
      <c r="J133" s="548"/>
    </row>
    <row r="134" spans="7:10">
      <c r="G134" s="548"/>
      <c r="H134" s="548"/>
      <c r="I134" s="548"/>
      <c r="J134" s="548"/>
    </row>
    <row r="135" spans="7:10">
      <c r="G135" s="548"/>
      <c r="H135" s="548"/>
      <c r="I135" s="548"/>
      <c r="J135" s="548"/>
    </row>
    <row r="136" spans="7:10">
      <c r="G136" s="548"/>
      <c r="H136" s="548"/>
      <c r="I136" s="548"/>
      <c r="J136" s="548"/>
    </row>
    <row r="137" spans="7:10">
      <c r="G137" s="548"/>
      <c r="H137" s="548"/>
      <c r="I137" s="548"/>
      <c r="J137" s="548"/>
    </row>
    <row r="138" spans="7:10">
      <c r="G138" s="548"/>
      <c r="H138" s="548"/>
      <c r="I138" s="548"/>
      <c r="J138" s="548"/>
    </row>
    <row r="139" spans="7:10">
      <c r="G139" s="548"/>
      <c r="H139" s="548"/>
      <c r="I139" s="548"/>
      <c r="J139" s="548"/>
    </row>
    <row r="140" spans="7:10">
      <c r="G140" s="548"/>
      <c r="H140" s="548"/>
      <c r="I140" s="548"/>
      <c r="J140" s="548"/>
    </row>
    <row r="141" spans="7:10">
      <c r="G141" s="548"/>
      <c r="H141" s="548"/>
      <c r="I141" s="548"/>
      <c r="J141" s="548"/>
    </row>
    <row r="142" spans="7:10">
      <c r="G142" s="548"/>
      <c r="H142" s="548"/>
      <c r="I142" s="548"/>
      <c r="J142" s="548"/>
    </row>
    <row r="143" spans="7:10">
      <c r="G143" s="548"/>
      <c r="H143" s="548"/>
      <c r="I143" s="548"/>
      <c r="J143" s="548"/>
    </row>
    <row r="144" spans="7:10">
      <c r="G144" s="548"/>
      <c r="H144" s="548"/>
      <c r="I144" s="548"/>
      <c r="J144" s="548"/>
    </row>
    <row r="145" spans="7:10">
      <c r="G145" s="548"/>
      <c r="H145" s="548"/>
      <c r="I145" s="548"/>
      <c r="J145" s="548"/>
    </row>
    <row r="146" spans="7:10">
      <c r="G146" s="548"/>
      <c r="H146" s="548"/>
      <c r="I146" s="548"/>
      <c r="J146" s="548"/>
    </row>
    <row r="147" spans="7:10">
      <c r="G147" s="548"/>
      <c r="H147" s="548"/>
      <c r="I147" s="548"/>
      <c r="J147" s="548"/>
    </row>
    <row r="148" spans="7:10">
      <c r="G148" s="548"/>
      <c r="H148" s="548"/>
      <c r="I148" s="548"/>
      <c r="J148" s="548"/>
    </row>
    <row r="149" spans="7:10">
      <c r="G149" s="548"/>
      <c r="H149" s="548"/>
      <c r="I149" s="548"/>
      <c r="J149" s="548"/>
    </row>
    <row r="150" spans="7:10">
      <c r="G150" s="548"/>
      <c r="H150" s="548"/>
      <c r="I150" s="548"/>
      <c r="J150" s="548"/>
    </row>
    <row r="151" spans="7:10">
      <c r="G151" s="548"/>
      <c r="H151" s="548"/>
      <c r="I151" s="548"/>
      <c r="J151" s="548"/>
    </row>
    <row r="152" spans="7:10">
      <c r="G152" s="548"/>
      <c r="H152" s="548"/>
      <c r="I152" s="548"/>
      <c r="J152" s="548"/>
    </row>
    <row r="153" spans="7:10">
      <c r="G153" s="548"/>
      <c r="H153" s="548"/>
      <c r="I153" s="548"/>
      <c r="J153" s="548"/>
    </row>
    <row r="154" spans="7:10">
      <c r="G154" s="548"/>
      <c r="H154" s="548"/>
      <c r="I154" s="548"/>
      <c r="J154" s="548"/>
    </row>
    <row r="155" spans="7:10">
      <c r="G155" s="548"/>
      <c r="H155" s="548"/>
      <c r="I155" s="548"/>
      <c r="J155" s="548"/>
    </row>
    <row r="156" spans="7:10">
      <c r="G156" s="548"/>
      <c r="H156" s="548"/>
      <c r="I156" s="548"/>
      <c r="J156" s="548"/>
    </row>
    <row r="157" spans="7:10">
      <c r="G157" s="548"/>
      <c r="H157" s="548"/>
      <c r="I157" s="548"/>
      <c r="J157" s="548"/>
    </row>
    <row r="158" spans="7:10">
      <c r="G158" s="548"/>
      <c r="H158" s="548"/>
      <c r="I158" s="548"/>
      <c r="J158" s="548"/>
    </row>
    <row r="159" spans="7:10">
      <c r="G159" s="548"/>
      <c r="H159" s="548"/>
      <c r="I159" s="548"/>
      <c r="J159" s="548"/>
    </row>
    <row r="160" spans="7:10">
      <c r="G160" s="548"/>
      <c r="H160" s="548"/>
      <c r="I160" s="548"/>
      <c r="J160" s="548"/>
    </row>
    <row r="161" spans="7:10">
      <c r="G161" s="548"/>
      <c r="H161" s="548"/>
      <c r="I161" s="548"/>
      <c r="J161" s="548"/>
    </row>
    <row r="162" spans="7:10">
      <c r="G162" s="548"/>
      <c r="H162" s="548"/>
      <c r="I162" s="548"/>
      <c r="J162" s="548"/>
    </row>
    <row r="163" spans="7:10">
      <c r="G163" s="548"/>
      <c r="H163" s="548"/>
      <c r="I163" s="548"/>
      <c r="J163" s="548"/>
    </row>
    <row r="164" spans="7:10">
      <c r="G164" s="548"/>
      <c r="H164" s="548"/>
      <c r="I164" s="548"/>
      <c r="J164" s="548"/>
    </row>
    <row r="165" spans="7:10">
      <c r="G165" s="548"/>
      <c r="H165" s="548"/>
      <c r="I165" s="548"/>
      <c r="J165" s="548"/>
    </row>
    <row r="166" spans="7:10">
      <c r="G166" s="548"/>
      <c r="H166" s="548"/>
      <c r="I166" s="548"/>
      <c r="J166" s="548"/>
    </row>
    <row r="167" spans="7:10">
      <c r="G167" s="548"/>
      <c r="H167" s="548"/>
      <c r="I167" s="548"/>
      <c r="J167" s="548"/>
    </row>
    <row r="168" spans="7:10">
      <c r="G168" s="548"/>
      <c r="H168" s="548"/>
      <c r="I168" s="548"/>
      <c r="J168" s="548"/>
    </row>
    <row r="169" spans="7:10">
      <c r="G169" s="548"/>
      <c r="H169" s="548"/>
      <c r="I169" s="548"/>
      <c r="J169" s="548"/>
    </row>
    <row r="170" spans="7:10">
      <c r="G170" s="548"/>
      <c r="H170" s="548"/>
      <c r="I170" s="548"/>
      <c r="J170" s="548"/>
    </row>
    <row r="171" spans="7:10">
      <c r="G171" s="548"/>
      <c r="H171" s="548"/>
      <c r="I171" s="548"/>
      <c r="J171" s="548"/>
    </row>
    <row r="172" spans="7:10">
      <c r="G172" s="548"/>
      <c r="H172" s="548"/>
      <c r="I172" s="548"/>
      <c r="J172" s="548"/>
    </row>
    <row r="173" spans="7:10">
      <c r="G173" s="548"/>
      <c r="H173" s="548"/>
      <c r="I173" s="548"/>
      <c r="J173" s="548"/>
    </row>
    <row r="174" spans="7:10">
      <c r="G174" s="548"/>
      <c r="H174" s="548"/>
      <c r="I174" s="548"/>
      <c r="J174" s="548"/>
    </row>
    <row r="175" spans="7:10">
      <c r="G175" s="548"/>
      <c r="H175" s="548"/>
      <c r="I175" s="548"/>
      <c r="J175" s="548"/>
    </row>
    <row r="176" spans="7:10">
      <c r="G176" s="548"/>
      <c r="H176" s="548"/>
      <c r="I176" s="548"/>
      <c r="J176" s="548"/>
    </row>
    <row r="177" spans="7:10">
      <c r="G177" s="548"/>
      <c r="H177" s="548"/>
      <c r="I177" s="548"/>
      <c r="J177" s="548"/>
    </row>
    <row r="178" spans="7:10">
      <c r="G178" s="548"/>
      <c r="H178" s="548"/>
      <c r="I178" s="548"/>
      <c r="J178" s="548"/>
    </row>
    <row r="179" spans="7:10">
      <c r="G179" s="548"/>
      <c r="H179" s="548"/>
      <c r="I179" s="548"/>
      <c r="J179" s="548"/>
    </row>
    <row r="180" spans="7:10">
      <c r="G180" s="548"/>
      <c r="H180" s="548"/>
      <c r="I180" s="548"/>
      <c r="J180" s="548"/>
    </row>
    <row r="181" spans="7:10">
      <c r="G181" s="548"/>
      <c r="H181" s="548"/>
      <c r="I181" s="548"/>
      <c r="J181" s="548"/>
    </row>
    <row r="182" spans="7:10">
      <c r="G182" s="548"/>
      <c r="H182" s="548"/>
      <c r="I182" s="548"/>
      <c r="J182" s="548"/>
    </row>
    <row r="183" spans="7:10">
      <c r="G183" s="548"/>
      <c r="H183" s="548"/>
      <c r="I183" s="548"/>
      <c r="J183" s="548"/>
    </row>
    <row r="184" spans="7:10">
      <c r="G184" s="548"/>
      <c r="H184" s="548"/>
      <c r="I184" s="548"/>
      <c r="J184" s="548"/>
    </row>
    <row r="185" spans="7:10">
      <c r="G185" s="548"/>
      <c r="H185" s="548"/>
      <c r="I185" s="548"/>
      <c r="J185" s="548"/>
    </row>
    <row r="186" spans="7:10">
      <c r="G186" s="548"/>
      <c r="H186" s="548"/>
      <c r="I186" s="548"/>
      <c r="J186" s="548"/>
    </row>
    <row r="187" spans="7:10">
      <c r="G187" s="548"/>
      <c r="H187" s="548"/>
      <c r="I187" s="548"/>
      <c r="J187" s="548"/>
    </row>
    <row r="188" spans="7:10">
      <c r="G188" s="548"/>
      <c r="H188" s="548"/>
      <c r="I188" s="548"/>
      <c r="J188" s="548"/>
    </row>
    <row r="189" spans="7:10">
      <c r="G189" s="548"/>
      <c r="H189" s="548"/>
      <c r="I189" s="548"/>
      <c r="J189" s="548"/>
    </row>
    <row r="190" spans="7:10">
      <c r="G190" s="548"/>
      <c r="H190" s="548"/>
      <c r="I190" s="548"/>
      <c r="J190" s="548"/>
    </row>
    <row r="191" spans="7:10">
      <c r="G191" s="548"/>
      <c r="H191" s="548"/>
      <c r="I191" s="548"/>
      <c r="J191" s="548"/>
    </row>
    <row r="192" spans="7:10">
      <c r="G192" s="548"/>
      <c r="H192" s="548"/>
      <c r="I192" s="548"/>
      <c r="J192" s="548"/>
    </row>
    <row r="193" spans="7:10">
      <c r="G193" s="548"/>
      <c r="H193" s="548"/>
      <c r="I193" s="548"/>
      <c r="J193" s="548"/>
    </row>
    <row r="194" spans="7:10">
      <c r="G194" s="548"/>
      <c r="H194" s="548"/>
      <c r="I194" s="548"/>
      <c r="J194" s="548"/>
    </row>
    <row r="195" spans="7:10">
      <c r="G195" s="548"/>
      <c r="H195" s="548"/>
      <c r="I195" s="548"/>
      <c r="J195" s="548"/>
    </row>
    <row r="196" spans="7:10">
      <c r="G196" s="548"/>
      <c r="H196" s="548"/>
      <c r="I196" s="548"/>
      <c r="J196" s="548"/>
    </row>
    <row r="197" spans="7:10">
      <c r="G197" s="548"/>
      <c r="H197" s="548"/>
      <c r="I197" s="548"/>
      <c r="J197" s="548"/>
    </row>
    <row r="198" spans="7:10">
      <c r="G198" s="548"/>
      <c r="H198" s="548"/>
      <c r="I198" s="548"/>
      <c r="J198" s="548"/>
    </row>
    <row r="199" spans="7:10">
      <c r="G199" s="548"/>
      <c r="H199" s="548"/>
      <c r="I199" s="548"/>
      <c r="J199" s="548"/>
    </row>
    <row r="200" spans="7:10">
      <c r="G200" s="548"/>
      <c r="H200" s="548"/>
      <c r="I200" s="548"/>
      <c r="J200" s="548"/>
    </row>
    <row r="201" spans="7:10">
      <c r="G201" s="548"/>
      <c r="H201" s="548"/>
      <c r="I201" s="548"/>
      <c r="J201" s="548"/>
    </row>
    <row r="202" spans="7:10">
      <c r="G202" s="548"/>
      <c r="H202" s="548"/>
      <c r="I202" s="548"/>
      <c r="J202" s="548"/>
    </row>
    <row r="203" spans="7:10">
      <c r="G203" s="548"/>
      <c r="H203" s="548"/>
      <c r="I203" s="548"/>
      <c r="J203" s="548"/>
    </row>
    <row r="204" spans="7:10">
      <c r="G204" s="548"/>
      <c r="H204" s="548"/>
      <c r="I204" s="548"/>
      <c r="J204" s="548"/>
    </row>
    <row r="205" spans="7:10">
      <c r="G205" s="548"/>
      <c r="H205" s="548"/>
      <c r="I205" s="548"/>
      <c r="J205" s="548"/>
    </row>
    <row r="206" spans="7:10">
      <c r="G206" s="548"/>
      <c r="H206" s="548"/>
      <c r="I206" s="548"/>
      <c r="J206" s="548"/>
    </row>
    <row r="207" spans="7:10">
      <c r="G207" s="548"/>
      <c r="H207" s="548"/>
      <c r="I207" s="548"/>
      <c r="J207" s="548"/>
    </row>
    <row r="208" spans="7:10">
      <c r="G208" s="548"/>
      <c r="H208" s="548"/>
      <c r="I208" s="548"/>
      <c r="J208" s="548"/>
    </row>
    <row r="209" spans="7:10">
      <c r="G209" s="548"/>
      <c r="H209" s="548"/>
      <c r="I209" s="548"/>
      <c r="J209" s="548"/>
    </row>
    <row r="210" spans="7:10">
      <c r="G210" s="548"/>
      <c r="H210" s="548"/>
      <c r="I210" s="548"/>
      <c r="J210" s="548"/>
    </row>
    <row r="211" spans="7:10">
      <c r="G211" s="548"/>
      <c r="H211" s="548"/>
      <c r="I211" s="548"/>
      <c r="J211" s="548"/>
    </row>
    <row r="212" spans="7:10">
      <c r="G212" s="548"/>
      <c r="H212" s="548"/>
      <c r="I212" s="548"/>
      <c r="J212" s="548"/>
    </row>
    <row r="213" spans="7:10">
      <c r="G213" s="548"/>
      <c r="H213" s="548"/>
      <c r="I213" s="548"/>
      <c r="J213" s="548"/>
    </row>
    <row r="214" spans="7:10">
      <c r="G214" s="548"/>
      <c r="H214" s="548"/>
      <c r="I214" s="548"/>
      <c r="J214" s="548"/>
    </row>
    <row r="215" spans="7:10">
      <c r="G215" s="548"/>
      <c r="H215" s="548"/>
      <c r="I215" s="548"/>
      <c r="J215" s="548"/>
    </row>
    <row r="216" spans="7:10">
      <c r="G216" s="548"/>
      <c r="H216" s="548"/>
      <c r="I216" s="548"/>
      <c r="J216" s="548"/>
    </row>
    <row r="217" spans="7:10">
      <c r="G217" s="548"/>
      <c r="H217" s="548"/>
      <c r="I217" s="548"/>
      <c r="J217" s="548"/>
    </row>
    <row r="218" spans="7:10">
      <c r="G218" s="548"/>
      <c r="H218" s="548"/>
      <c r="I218" s="548"/>
      <c r="J218" s="548"/>
    </row>
    <row r="219" spans="7:10">
      <c r="G219" s="548"/>
      <c r="H219" s="548"/>
      <c r="I219" s="548"/>
      <c r="J219" s="548"/>
    </row>
    <row r="220" spans="7:10">
      <c r="G220" s="548"/>
      <c r="H220" s="548"/>
      <c r="I220" s="548"/>
      <c r="J220" s="548"/>
    </row>
    <row r="221" spans="7:10">
      <c r="G221" s="548"/>
      <c r="H221" s="548"/>
      <c r="I221" s="548"/>
      <c r="J221" s="548"/>
    </row>
    <row r="222" spans="7:10">
      <c r="G222" s="548"/>
      <c r="H222" s="548"/>
      <c r="I222" s="548"/>
      <c r="J222" s="548"/>
    </row>
    <row r="223" spans="7:10">
      <c r="G223" s="548"/>
      <c r="H223" s="548"/>
      <c r="I223" s="548"/>
      <c r="J223" s="548"/>
    </row>
    <row r="224" spans="7:10">
      <c r="G224" s="548"/>
      <c r="H224" s="548"/>
      <c r="I224" s="548"/>
      <c r="J224" s="548"/>
    </row>
    <row r="225" spans="7:10">
      <c r="G225" s="548"/>
      <c r="H225" s="548"/>
      <c r="I225" s="548"/>
      <c r="J225" s="548"/>
    </row>
    <row r="226" spans="7:10">
      <c r="G226" s="548"/>
      <c r="H226" s="548"/>
      <c r="I226" s="548"/>
      <c r="J226" s="548"/>
    </row>
    <row r="227" spans="7:10">
      <c r="G227" s="548"/>
      <c r="H227" s="548"/>
      <c r="I227" s="548"/>
      <c r="J227" s="548"/>
    </row>
    <row r="228" spans="7:10">
      <c r="G228" s="548"/>
      <c r="H228" s="548"/>
      <c r="I228" s="548"/>
      <c r="J228" s="548"/>
    </row>
    <row r="229" spans="7:10">
      <c r="G229" s="548"/>
      <c r="H229" s="548"/>
      <c r="I229" s="548"/>
      <c r="J229" s="548"/>
    </row>
    <row r="230" spans="7:10">
      <c r="G230" s="548"/>
      <c r="H230" s="548"/>
      <c r="I230" s="548"/>
      <c r="J230" s="548"/>
    </row>
    <row r="231" spans="7:10">
      <c r="G231" s="548"/>
      <c r="H231" s="548"/>
      <c r="I231" s="548"/>
      <c r="J231" s="548"/>
    </row>
    <row r="232" spans="7:10">
      <c r="G232" s="548"/>
      <c r="H232" s="548"/>
      <c r="I232" s="548"/>
      <c r="J232" s="548"/>
    </row>
    <row r="233" spans="7:10">
      <c r="G233" s="548"/>
      <c r="H233" s="548"/>
      <c r="I233" s="548"/>
      <c r="J233" s="548"/>
    </row>
    <row r="234" spans="7:10">
      <c r="G234" s="548"/>
      <c r="H234" s="548"/>
      <c r="I234" s="548"/>
      <c r="J234" s="548"/>
    </row>
    <row r="235" spans="7:10">
      <c r="G235" s="548"/>
      <c r="H235" s="548"/>
      <c r="I235" s="548"/>
      <c r="J235" s="548"/>
    </row>
    <row r="236" spans="7:10">
      <c r="G236" s="548"/>
      <c r="H236" s="548"/>
      <c r="I236" s="548"/>
      <c r="J236" s="548"/>
    </row>
    <row r="237" spans="7:10">
      <c r="G237" s="548"/>
      <c r="H237" s="548"/>
      <c r="I237" s="548"/>
      <c r="J237" s="548"/>
    </row>
    <row r="238" spans="7:10">
      <c r="G238" s="548"/>
      <c r="H238" s="548"/>
      <c r="I238" s="548"/>
      <c r="J238" s="548"/>
    </row>
    <row r="239" spans="7:10">
      <c r="G239" s="548"/>
      <c r="H239" s="548"/>
      <c r="I239" s="548"/>
      <c r="J239" s="548"/>
    </row>
    <row r="240" spans="7:10">
      <c r="G240" s="548"/>
      <c r="H240" s="548"/>
      <c r="I240" s="548"/>
      <c r="J240" s="548"/>
    </row>
    <row r="241" spans="7:10">
      <c r="G241" s="548"/>
      <c r="H241" s="548"/>
      <c r="I241" s="548"/>
      <c r="J241" s="548"/>
    </row>
    <row r="242" spans="7:10">
      <c r="G242" s="548"/>
      <c r="H242" s="548"/>
      <c r="I242" s="548"/>
      <c r="J242" s="548"/>
    </row>
    <row r="243" spans="7:10">
      <c r="G243" s="548"/>
      <c r="H243" s="548"/>
      <c r="I243" s="548"/>
      <c r="J243" s="548"/>
    </row>
    <row r="244" spans="7:10">
      <c r="G244" s="548"/>
      <c r="H244" s="548"/>
      <c r="I244" s="548"/>
      <c r="J244" s="548"/>
    </row>
    <row r="245" spans="7:10">
      <c r="G245" s="548"/>
      <c r="H245" s="548"/>
      <c r="I245" s="548"/>
      <c r="J245" s="548"/>
    </row>
    <row r="246" spans="7:10">
      <c r="G246" s="548"/>
      <c r="H246" s="548"/>
      <c r="I246" s="548"/>
      <c r="J246" s="548"/>
    </row>
  </sheetData>
  <autoFilter ref="G2:R49">
    <filterColumn colId="5">
      <filters>
        <filter val="FY 2020-21"/>
      </filters>
    </filterColumn>
  </autoFilter>
  <pageMargins left="0.7" right="0.7" top="0.75" bottom="0.75" header="0.3" footer="0.3"/>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D30"/>
  <sheetViews>
    <sheetView showGridLines="0" view="pageBreakPreview" zoomScale="80" zoomScaleNormal="60" zoomScaleSheetLayoutView="80" workbookViewId="0">
      <selection activeCell="C2" sqref="C2:D2"/>
    </sheetView>
  </sheetViews>
  <sheetFormatPr defaultColWidth="9.140625" defaultRowHeight="15.75"/>
  <cols>
    <col min="1" max="1" width="9.140625" style="75"/>
    <col min="2" max="2" width="42.28515625" style="75" customWidth="1"/>
    <col min="3" max="4" width="13.140625" style="75" customWidth="1"/>
    <col min="5" max="6" width="16.140625" style="75" customWidth="1"/>
    <col min="7" max="16384" width="9.140625" style="75"/>
  </cols>
  <sheetData>
    <row r="1" spans="1:4">
      <c r="A1" s="1755" t="s">
        <v>1233</v>
      </c>
      <c r="B1" s="1755"/>
      <c r="C1" s="1755"/>
      <c r="D1" s="1755"/>
    </row>
    <row r="2" spans="1:4">
      <c r="A2" s="1803" t="s">
        <v>1381</v>
      </c>
      <c r="B2" s="1803"/>
      <c r="C2" s="1552" t="s">
        <v>1380</v>
      </c>
      <c r="D2" s="1552"/>
    </row>
    <row r="3" spans="1:4">
      <c r="A3" s="647"/>
      <c r="B3" s="647"/>
      <c r="C3" s="647"/>
      <c r="D3" s="647"/>
    </row>
    <row r="4" spans="1:4" ht="45.75" customHeight="1">
      <c r="A4" s="1802" t="s">
        <v>174</v>
      </c>
      <c r="B4" s="1325" t="s">
        <v>48</v>
      </c>
      <c r="C4" s="1365" t="s">
        <v>1924</v>
      </c>
      <c r="D4" s="1365"/>
    </row>
    <row r="5" spans="1:4" ht="63">
      <c r="A5" s="1802"/>
      <c r="B5" s="1325"/>
      <c r="C5" s="455" t="s">
        <v>1250</v>
      </c>
      <c r="D5" s="328" t="s">
        <v>1236</v>
      </c>
    </row>
    <row r="6" spans="1:4">
      <c r="A6" s="78"/>
      <c r="B6" s="154" t="s">
        <v>177</v>
      </c>
      <c r="C6" s="627"/>
      <c r="D6" s="854">
        <v>0.99</v>
      </c>
    </row>
    <row r="7" spans="1:4">
      <c r="A7" s="78"/>
      <c r="B7" s="154" t="s">
        <v>1382</v>
      </c>
      <c r="C7" s="627"/>
      <c r="D7" s="283"/>
    </row>
    <row r="8" spans="1:4">
      <c r="A8" s="78"/>
      <c r="B8" s="661">
        <v>43556</v>
      </c>
      <c r="C8" s="627"/>
      <c r="D8" s="926">
        <v>0.99299999999999999</v>
      </c>
    </row>
    <row r="9" spans="1:4">
      <c r="A9" s="78"/>
      <c r="B9" s="661">
        <v>43586</v>
      </c>
      <c r="C9" s="648"/>
      <c r="D9" s="926">
        <v>0.99939999999999996</v>
      </c>
    </row>
    <row r="10" spans="1:4">
      <c r="A10" s="78"/>
      <c r="B10" s="661">
        <v>43617</v>
      </c>
      <c r="C10" s="648"/>
      <c r="D10" s="926">
        <v>0.99629999999999996</v>
      </c>
    </row>
    <row r="11" spans="1:4">
      <c r="A11" s="78"/>
      <c r="B11" s="661">
        <v>43647</v>
      </c>
      <c r="C11" s="648"/>
      <c r="D11" s="926">
        <v>0.99409999999999998</v>
      </c>
    </row>
    <row r="12" spans="1:4">
      <c r="A12" s="78"/>
      <c r="B12" s="661">
        <v>43678</v>
      </c>
      <c r="C12" s="648"/>
      <c r="D12" s="926">
        <v>0.99470000000000003</v>
      </c>
    </row>
    <row r="13" spans="1:4">
      <c r="A13" s="276"/>
      <c r="B13" s="661">
        <v>43709</v>
      </c>
      <c r="C13" s="78"/>
      <c r="D13" s="926">
        <v>0.9909</v>
      </c>
    </row>
    <row r="14" spans="1:4">
      <c r="A14" s="148"/>
      <c r="B14" s="661">
        <v>43739</v>
      </c>
      <c r="C14" s="148"/>
      <c r="D14" s="926">
        <v>0.99480000000000002</v>
      </c>
    </row>
    <row r="15" spans="1:4">
      <c r="A15" s="148"/>
      <c r="B15" s="661">
        <v>43770</v>
      </c>
      <c r="C15" s="148"/>
      <c r="D15" s="926">
        <v>0.99480000000000002</v>
      </c>
    </row>
    <row r="16" spans="1:4">
      <c r="A16" s="148"/>
      <c r="B16" s="661">
        <v>43800</v>
      </c>
      <c r="C16" s="148"/>
      <c r="D16" s="926">
        <v>0.99450000000000005</v>
      </c>
    </row>
    <row r="17" spans="1:4">
      <c r="A17" s="148"/>
      <c r="B17" s="661">
        <v>43831</v>
      </c>
      <c r="C17" s="148"/>
      <c r="D17" s="926">
        <v>0.995</v>
      </c>
    </row>
    <row r="18" spans="1:4">
      <c r="A18" s="148"/>
      <c r="B18" s="661">
        <v>43862</v>
      </c>
      <c r="C18" s="148"/>
      <c r="D18" s="926">
        <v>0.995</v>
      </c>
    </row>
    <row r="19" spans="1:4">
      <c r="A19" s="148"/>
      <c r="B19" s="661">
        <v>43891</v>
      </c>
      <c r="C19" s="148"/>
      <c r="D19" s="926">
        <v>0.99509999999999998</v>
      </c>
    </row>
    <row r="20" spans="1:4">
      <c r="A20" s="148"/>
      <c r="B20" s="148" t="s">
        <v>1382</v>
      </c>
      <c r="C20" s="148"/>
      <c r="D20" s="854">
        <f>AVERAGE(D8:D19)</f>
        <v>0.9947999999999998</v>
      </c>
    </row>
    <row r="21" spans="1:4">
      <c r="A21" s="148"/>
      <c r="B21" s="148" t="s">
        <v>1383</v>
      </c>
      <c r="C21" s="148"/>
      <c r="D21" s="588">
        <f>D20-D6</f>
        <v>4.7999999999998044E-3</v>
      </c>
    </row>
    <row r="22" spans="1:4">
      <c r="A22" s="148"/>
      <c r="B22" s="148" t="s">
        <v>2597</v>
      </c>
      <c r="C22" s="148"/>
      <c r="D22" s="1038">
        <f ca="1">'F1'!E40</f>
        <v>1132.5599579942843</v>
      </c>
    </row>
    <row r="23" spans="1:4">
      <c r="A23" s="148"/>
      <c r="B23" s="505" t="s">
        <v>2307</v>
      </c>
      <c r="C23" s="505"/>
      <c r="D23" s="644">
        <f ca="1">D21*D22</f>
        <v>5.4362877983723434</v>
      </c>
    </row>
    <row r="26" spans="1:4">
      <c r="B26" s="148" t="s">
        <v>48</v>
      </c>
      <c r="C26" s="148" t="s">
        <v>2302</v>
      </c>
      <c r="D26" s="148" t="s">
        <v>255</v>
      </c>
    </row>
    <row r="27" spans="1:4">
      <c r="B27" s="148" t="s">
        <v>2303</v>
      </c>
      <c r="C27" s="588">
        <v>3.9199999999999999E-2</v>
      </c>
      <c r="D27" s="588">
        <v>3.6600000000000001E-2</v>
      </c>
    </row>
    <row r="28" spans="1:4">
      <c r="B28" s="148" t="s">
        <v>2305</v>
      </c>
      <c r="C28" s="148"/>
      <c r="D28" s="588">
        <f>C27-D27</f>
        <v>2.5999999999999981E-3</v>
      </c>
    </row>
    <row r="29" spans="1:4">
      <c r="B29" s="148" t="s">
        <v>2304</v>
      </c>
      <c r="C29" s="148"/>
      <c r="D29" s="543">
        <f ca="1">'F1'!E40</f>
        <v>1132.5599579942843</v>
      </c>
    </row>
    <row r="30" spans="1:4" ht="31.5">
      <c r="B30" s="501" t="s">
        <v>2306</v>
      </c>
      <c r="C30" s="505"/>
      <c r="D30" s="1064">
        <f ca="1">D29*D28</f>
        <v>2.9446558907851372</v>
      </c>
    </row>
  </sheetData>
  <mergeCells count="6">
    <mergeCell ref="A1:D1"/>
    <mergeCell ref="A2:B2"/>
    <mergeCell ref="C2:D2"/>
    <mergeCell ref="A4:A5"/>
    <mergeCell ref="B4:B5"/>
    <mergeCell ref="C4:D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D24"/>
  <sheetViews>
    <sheetView showGridLines="0" view="pageBreakPreview" zoomScale="90" zoomScaleNormal="70" zoomScaleSheetLayoutView="90" workbookViewId="0">
      <selection activeCell="D11" sqref="D11"/>
    </sheetView>
  </sheetViews>
  <sheetFormatPr defaultRowHeight="15"/>
  <cols>
    <col min="1" max="2" width="9.140625" style="174"/>
    <col min="3" max="3" width="63.140625" style="174" customWidth="1"/>
    <col min="4" max="4" width="39.5703125" style="174" customWidth="1"/>
    <col min="5" max="16384" width="9.140625" style="174"/>
  </cols>
  <sheetData>
    <row r="1" spans="2:4">
      <c r="B1" s="1386" t="s">
        <v>1233</v>
      </c>
      <c r="C1" s="1387"/>
      <c r="D1" s="1387"/>
    </row>
    <row r="2" spans="2:4">
      <c r="B2" s="243" t="s">
        <v>1777</v>
      </c>
      <c r="C2" s="243"/>
      <c r="D2" s="780" t="s">
        <v>1380</v>
      </c>
    </row>
    <row r="4" spans="2:4">
      <c r="B4" s="1388"/>
      <c r="C4" s="1389" t="s">
        <v>48</v>
      </c>
      <c r="D4" s="777" t="s">
        <v>1173</v>
      </c>
    </row>
    <row r="5" spans="2:4">
      <c r="B5" s="1388"/>
      <c r="C5" s="1389"/>
      <c r="D5" s="781" t="s">
        <v>1391</v>
      </c>
    </row>
    <row r="6" spans="2:4" ht="20.25" customHeight="1">
      <c r="B6" s="250"/>
      <c r="C6" s="251" t="s">
        <v>1774</v>
      </c>
      <c r="D6" s="795">
        <f ca="1">'F1'!E42</f>
        <v>-146.65004190571574</v>
      </c>
    </row>
    <row r="7" spans="2:4" ht="30">
      <c r="B7" s="213"/>
      <c r="C7" s="782" t="s">
        <v>2325</v>
      </c>
      <c r="D7" s="795">
        <f ca="1">(D6*10.05%)/2</f>
        <v>-7.369164605762216</v>
      </c>
    </row>
    <row r="8" spans="2:4" ht="30">
      <c r="B8" s="213"/>
      <c r="C8" s="782" t="s">
        <v>2324</v>
      </c>
      <c r="D8" s="795">
        <f ca="1">D6*9.25%</f>
        <v>-13.565128876278706</v>
      </c>
    </row>
    <row r="9" spans="2:4" ht="30">
      <c r="B9" s="213"/>
      <c r="C9" s="782" t="s">
        <v>2292</v>
      </c>
      <c r="D9" s="795">
        <f ca="1">(D6*8.5%)/2</f>
        <v>-6.232626780992919</v>
      </c>
    </row>
    <row r="10" spans="2:4">
      <c r="B10" s="213"/>
      <c r="C10" s="251" t="s">
        <v>1775</v>
      </c>
      <c r="D10" s="270">
        <f ca="1">SUM(D6:D9)</f>
        <v>-173.81696216874957</v>
      </c>
    </row>
    <row r="11" spans="2:4">
      <c r="B11" s="213"/>
      <c r="C11" s="784" t="s">
        <v>1388</v>
      </c>
      <c r="D11" s="788">
        <f ca="1">D10</f>
        <v>-173.81696216874957</v>
      </c>
    </row>
    <row r="12" spans="2:4">
      <c r="B12" s="786"/>
      <c r="C12" s="784"/>
      <c r="D12" s="103"/>
    </row>
    <row r="15" spans="2:4">
      <c r="B15" s="1388"/>
      <c r="C15" s="1389" t="s">
        <v>48</v>
      </c>
      <c r="D15" s="777" t="s">
        <v>1174</v>
      </c>
    </row>
    <row r="16" spans="2:4">
      <c r="B16" s="1388"/>
      <c r="C16" s="1389"/>
      <c r="D16" s="781" t="s">
        <v>1391</v>
      </c>
    </row>
    <row r="17" spans="2:4">
      <c r="B17" s="250"/>
      <c r="C17" s="251" t="s">
        <v>1771</v>
      </c>
      <c r="D17" s="591">
        <f ca="1">'F1'!I42</f>
        <v>27.112721207711161</v>
      </c>
    </row>
    <row r="18" spans="2:4" ht="30">
      <c r="B18" s="213"/>
      <c r="C18" s="782" t="s">
        <v>1772</v>
      </c>
      <c r="D18" s="783"/>
    </row>
    <row r="19" spans="2:4" ht="30">
      <c r="B19" s="213"/>
      <c r="C19" s="782" t="s">
        <v>1773</v>
      </c>
      <c r="D19" s="783"/>
    </row>
    <row r="20" spans="2:4">
      <c r="B20" s="175"/>
      <c r="C20" s="784" t="s">
        <v>1388</v>
      </c>
      <c r="D20" s="785">
        <f ca="1">SUM(D17:D19)</f>
        <v>27.112721207711161</v>
      </c>
    </row>
    <row r="24" spans="2:4" ht="16.5">
      <c r="B24" s="1341" t="s">
        <v>427</v>
      </c>
      <c r="C24" s="1341"/>
      <c r="D24" s="1341"/>
    </row>
  </sheetData>
  <mergeCells count="6">
    <mergeCell ref="B1:D1"/>
    <mergeCell ref="B24:D24"/>
    <mergeCell ref="B4:B5"/>
    <mergeCell ref="C4:C5"/>
    <mergeCell ref="B15:B16"/>
    <mergeCell ref="C15:C16"/>
  </mergeCells>
  <pageMargins left="0.7" right="0.7" top="0.75" bottom="0.75" header="0.3" footer="0.3"/>
  <pageSetup paperSize="9"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J34"/>
  <sheetViews>
    <sheetView showGridLines="0" view="pageBreakPreview" topLeftCell="A16" zoomScale="70" zoomScaleNormal="100" zoomScaleSheetLayoutView="70" workbookViewId="0">
      <selection activeCell="C25" sqref="C25"/>
    </sheetView>
  </sheetViews>
  <sheetFormatPr defaultColWidth="9.140625" defaultRowHeight="15.75"/>
  <cols>
    <col min="1" max="1" width="9.140625" style="165"/>
    <col min="2" max="2" width="59.7109375" style="324" customWidth="1"/>
    <col min="3" max="4" width="20.42578125" style="75" customWidth="1"/>
    <col min="5" max="5" width="17.42578125" style="75" customWidth="1"/>
    <col min="6" max="7" width="17.42578125" style="75" hidden="1" customWidth="1"/>
    <col min="8" max="8" width="17.42578125" style="75" customWidth="1"/>
    <col min="9" max="10" width="19" style="75" customWidth="1"/>
    <col min="11" max="16384" width="9.140625" style="75"/>
  </cols>
  <sheetData>
    <row r="1" spans="1:10">
      <c r="A1" s="1391" t="s">
        <v>1233</v>
      </c>
      <c r="B1" s="1391"/>
      <c r="C1" s="1391"/>
      <c r="D1" s="1391"/>
      <c r="E1" s="1391"/>
      <c r="F1" s="1391"/>
      <c r="G1" s="1391"/>
      <c r="H1" s="1391"/>
      <c r="I1" s="1390"/>
      <c r="J1" s="1390"/>
    </row>
    <row r="2" spans="1:10" ht="16.5">
      <c r="A2" s="460"/>
      <c r="B2" s="460"/>
      <c r="C2" s="479"/>
      <c r="D2" s="479"/>
      <c r="E2" s="479"/>
      <c r="F2" s="479"/>
      <c r="G2" s="479"/>
      <c r="H2" s="479"/>
      <c r="I2" s="494" t="s">
        <v>435</v>
      </c>
      <c r="J2" s="479"/>
    </row>
    <row r="3" spans="1:10">
      <c r="A3" s="157" t="s">
        <v>583</v>
      </c>
      <c r="B3" s="159"/>
      <c r="C3" s="341"/>
      <c r="D3" s="341"/>
      <c r="E3" s="341"/>
      <c r="F3" s="341"/>
      <c r="G3" s="341"/>
      <c r="H3" s="341"/>
      <c r="I3" s="159"/>
      <c r="J3" s="159"/>
    </row>
    <row r="4" spans="1:10">
      <c r="A4" s="499" t="s">
        <v>77</v>
      </c>
      <c r="B4" s="158"/>
      <c r="C4" s="159"/>
      <c r="D4" s="159"/>
      <c r="E4" s="159"/>
      <c r="F4" s="159"/>
      <c r="G4" s="159"/>
      <c r="H4" s="159"/>
      <c r="I4" s="145"/>
      <c r="J4" s="145"/>
    </row>
    <row r="5" spans="1:10">
      <c r="A5" s="162"/>
      <c r="B5" s="151"/>
      <c r="C5" s="144"/>
      <c r="D5" s="144"/>
      <c r="E5" s="157"/>
      <c r="F5" s="157"/>
      <c r="G5" s="157"/>
      <c r="H5" s="157"/>
      <c r="I5" s="1392" t="s">
        <v>1244</v>
      </c>
      <c r="J5" s="1392"/>
    </row>
    <row r="6" spans="1:10">
      <c r="A6" s="1396"/>
      <c r="B6" s="1365" t="s">
        <v>48</v>
      </c>
      <c r="C6" s="1373" t="s">
        <v>1916</v>
      </c>
      <c r="D6" s="1374"/>
      <c r="E6" s="1375" t="s">
        <v>1917</v>
      </c>
      <c r="F6" s="1376"/>
      <c r="G6" s="1376"/>
      <c r="H6" s="1377"/>
      <c r="I6" s="1365" t="s">
        <v>1918</v>
      </c>
      <c r="J6" s="1365"/>
    </row>
    <row r="7" spans="1:10" ht="31.5">
      <c r="A7" s="1396"/>
      <c r="B7" s="1365"/>
      <c r="C7" s="455" t="s">
        <v>1235</v>
      </c>
      <c r="D7" s="328" t="s">
        <v>1236</v>
      </c>
      <c r="E7" s="455" t="s">
        <v>1235</v>
      </c>
      <c r="F7" s="455" t="s">
        <v>1239</v>
      </c>
      <c r="G7" s="455" t="s">
        <v>1240</v>
      </c>
      <c r="H7" s="459" t="s">
        <v>1241</v>
      </c>
      <c r="I7" s="455" t="s">
        <v>1235</v>
      </c>
      <c r="J7" s="455" t="s">
        <v>1243</v>
      </c>
    </row>
    <row r="8" spans="1:10">
      <c r="A8" s="160" t="s">
        <v>161</v>
      </c>
      <c r="B8" s="152" t="s">
        <v>162</v>
      </c>
      <c r="C8" s="148"/>
      <c r="D8" s="148"/>
      <c r="E8" s="148"/>
      <c r="F8" s="148"/>
      <c r="G8" s="148"/>
      <c r="H8" s="148"/>
      <c r="I8" s="148"/>
      <c r="J8" s="148"/>
    </row>
    <row r="9" spans="1:10">
      <c r="A9" s="60">
        <v>1</v>
      </c>
      <c r="B9" s="153" t="s">
        <v>556</v>
      </c>
      <c r="C9" s="1036"/>
      <c r="D9" s="1190">
        <f>'F3'!F39</f>
        <v>2732</v>
      </c>
      <c r="E9" s="1036"/>
      <c r="F9" s="1036"/>
      <c r="G9" s="1036"/>
      <c r="H9" s="1190">
        <f>'F3'!J39</f>
        <v>3010</v>
      </c>
      <c r="I9" s="1036"/>
      <c r="J9" s="1190">
        <f>'F3'!L39</f>
        <v>3316</v>
      </c>
    </row>
    <row r="10" spans="1:10" ht="15.75" customHeight="1">
      <c r="A10" s="60">
        <v>2</v>
      </c>
      <c r="B10" s="153" t="s">
        <v>557</v>
      </c>
      <c r="C10" s="1036"/>
      <c r="D10" s="1190">
        <f>'F3'!F40</f>
        <v>3063</v>
      </c>
      <c r="E10" s="1036"/>
      <c r="F10" s="1036"/>
      <c r="G10" s="1036"/>
      <c r="H10" s="1190">
        <f>'F3'!J40</f>
        <v>3208</v>
      </c>
      <c r="I10" s="1036"/>
      <c r="J10" s="1190">
        <f>'F3'!L40</f>
        <v>3450</v>
      </c>
    </row>
    <row r="11" spans="1:10">
      <c r="A11" s="60">
        <v>3</v>
      </c>
      <c r="B11" s="154"/>
      <c r="C11" s="1036"/>
      <c r="D11" s="1036"/>
      <c r="E11" s="1036"/>
      <c r="F11" s="1036"/>
      <c r="G11" s="1036"/>
      <c r="H11" s="1036"/>
      <c r="I11" s="1036"/>
      <c r="J11" s="1036"/>
    </row>
    <row r="12" spans="1:10">
      <c r="A12" s="60"/>
      <c r="B12" s="154" t="s">
        <v>164</v>
      </c>
      <c r="C12" s="148"/>
      <c r="D12" s="148"/>
      <c r="E12" s="148"/>
      <c r="F12" s="148"/>
      <c r="G12" s="148"/>
      <c r="H12" s="148"/>
      <c r="I12" s="148"/>
      <c r="J12" s="148"/>
    </row>
    <row r="13" spans="1:10">
      <c r="A13" s="60"/>
      <c r="B13" s="154" t="s">
        <v>165</v>
      </c>
      <c r="C13" s="148"/>
      <c r="D13" s="148"/>
      <c r="E13" s="148"/>
      <c r="F13" s="148"/>
      <c r="G13" s="148"/>
      <c r="H13" s="148"/>
      <c r="I13" s="148"/>
      <c r="J13" s="148"/>
    </row>
    <row r="14" spans="1:10" ht="31.5">
      <c r="A14" s="161" t="s">
        <v>166</v>
      </c>
      <c r="B14" s="152" t="s">
        <v>167</v>
      </c>
      <c r="C14" s="148"/>
      <c r="D14" s="148"/>
      <c r="E14" s="148"/>
      <c r="F14" s="148"/>
      <c r="G14" s="148"/>
      <c r="H14" s="148"/>
      <c r="I14" s="148"/>
      <c r="J14" s="148"/>
    </row>
    <row r="15" spans="1:10">
      <c r="A15" s="60">
        <v>1</v>
      </c>
      <c r="B15" s="154" t="s">
        <v>1170</v>
      </c>
      <c r="C15" s="148"/>
      <c r="D15" s="543">
        <f>'F3'!F45</f>
        <v>100</v>
      </c>
      <c r="E15" s="148"/>
      <c r="F15" s="148"/>
      <c r="G15" s="148"/>
      <c r="H15" s="543">
        <f>'F3'!J45</f>
        <v>100</v>
      </c>
      <c r="I15" s="148"/>
      <c r="J15" s="543">
        <f>'F3'!L45</f>
        <v>100</v>
      </c>
    </row>
    <row r="16" spans="1:10">
      <c r="A16" s="60">
        <v>2</v>
      </c>
      <c r="B16" s="153"/>
      <c r="C16" s="148"/>
      <c r="D16" s="148"/>
      <c r="E16" s="148"/>
      <c r="F16" s="148"/>
      <c r="G16" s="148"/>
      <c r="H16" s="148"/>
      <c r="I16" s="148"/>
      <c r="J16" s="148"/>
    </row>
    <row r="17" spans="1:10" ht="54" customHeight="1" thickBot="1">
      <c r="A17" s="163"/>
      <c r="B17" s="155" t="s">
        <v>544</v>
      </c>
      <c r="C17" s="149"/>
      <c r="D17" s="895">
        <f>D9+D10+D15</f>
        <v>5895</v>
      </c>
      <c r="E17" s="446"/>
      <c r="F17" s="446"/>
      <c r="G17" s="446"/>
      <c r="H17" s="895">
        <f>H9+H10+H15</f>
        <v>6318</v>
      </c>
      <c r="I17" s="446"/>
      <c r="J17" s="895">
        <f>J9+J10+J15</f>
        <v>6866</v>
      </c>
    </row>
    <row r="18" spans="1:10" ht="16.5" thickTop="1">
      <c r="A18" s="164"/>
      <c r="B18" s="156"/>
      <c r="C18" s="130"/>
      <c r="D18" s="130"/>
      <c r="E18" s="130"/>
      <c r="F18" s="130"/>
      <c r="G18" s="130"/>
      <c r="H18" s="130"/>
      <c r="I18" s="130"/>
      <c r="J18" s="130"/>
    </row>
    <row r="19" spans="1:10">
      <c r="A19" s="1395" t="s">
        <v>582</v>
      </c>
      <c r="B19" s="1395"/>
      <c r="C19" s="1395"/>
      <c r="D19" s="1395"/>
      <c r="E19" s="1395"/>
      <c r="F19" s="1395"/>
      <c r="G19" s="1395"/>
      <c r="H19" s="1395"/>
    </row>
    <row r="20" spans="1:10">
      <c r="A20" s="461"/>
      <c r="B20" s="461"/>
      <c r="C20" s="461"/>
      <c r="D20" s="461"/>
      <c r="E20" s="461"/>
      <c r="F20" s="461"/>
      <c r="G20" s="461"/>
      <c r="H20" s="461"/>
      <c r="I20" s="1392" t="s">
        <v>345</v>
      </c>
      <c r="J20" s="1392"/>
    </row>
    <row r="21" spans="1:10">
      <c r="A21" s="496" t="s">
        <v>161</v>
      </c>
      <c r="B21" s="497" t="s">
        <v>162</v>
      </c>
      <c r="C21" s="498"/>
      <c r="D21" s="498"/>
      <c r="E21" s="498"/>
      <c r="F21" s="498"/>
      <c r="G21" s="498"/>
      <c r="H21" s="498"/>
      <c r="I21" s="131"/>
      <c r="J21" s="131"/>
    </row>
    <row r="22" spans="1:10">
      <c r="A22" s="61">
        <v>1</v>
      </c>
      <c r="B22" s="153" t="s">
        <v>556</v>
      </c>
      <c r="C22" s="1397">
        <f>'F1'!D15</f>
        <v>1279.2</v>
      </c>
      <c r="D22" s="1397">
        <f>'F1'!E15</f>
        <v>1002.3199999000001</v>
      </c>
      <c r="E22" s="1397">
        <f>'F1'!F15</f>
        <v>870.904</v>
      </c>
      <c r="F22" s="316"/>
      <c r="G22" s="316"/>
      <c r="H22" s="1397">
        <f>'F1'!I15</f>
        <v>870.904</v>
      </c>
      <c r="I22" s="1397">
        <f>'F1'!J15</f>
        <v>1946.33</v>
      </c>
      <c r="J22" s="1397">
        <f ca="1">'F1'!K15</f>
        <v>1563.8415936948222</v>
      </c>
    </row>
    <row r="23" spans="1:10">
      <c r="A23" s="61">
        <v>2</v>
      </c>
      <c r="B23" s="153" t="s">
        <v>557</v>
      </c>
      <c r="C23" s="1398"/>
      <c r="D23" s="1398"/>
      <c r="E23" s="1398"/>
      <c r="F23" s="809"/>
      <c r="G23" s="809"/>
      <c r="H23" s="1398"/>
      <c r="I23" s="1398"/>
      <c r="J23" s="1398"/>
    </row>
    <row r="24" spans="1:10">
      <c r="A24" s="61">
        <v>3</v>
      </c>
      <c r="B24" s="154" t="s">
        <v>163</v>
      </c>
      <c r="C24" s="674"/>
      <c r="D24" s="148"/>
      <c r="E24" s="674"/>
      <c r="F24" s="148"/>
      <c r="G24" s="148"/>
      <c r="H24" s="674"/>
      <c r="I24" s="674"/>
      <c r="J24" s="674"/>
    </row>
    <row r="25" spans="1:10">
      <c r="A25" s="61"/>
      <c r="B25" s="154" t="s">
        <v>995</v>
      </c>
      <c r="C25" s="674"/>
      <c r="D25" s="169"/>
      <c r="E25" s="674"/>
      <c r="F25" s="169"/>
      <c r="G25" s="169"/>
      <c r="H25" s="674"/>
      <c r="I25" s="674"/>
      <c r="J25" s="674"/>
    </row>
    <row r="26" spans="1:10">
      <c r="A26" s="61"/>
      <c r="B26" s="154" t="s">
        <v>165</v>
      </c>
      <c r="C26" s="674"/>
      <c r="D26" s="150"/>
      <c r="E26" s="674"/>
      <c r="F26" s="150"/>
      <c r="G26" s="150"/>
      <c r="H26" s="674"/>
      <c r="I26" s="674"/>
      <c r="J26" s="674"/>
    </row>
    <row r="27" spans="1:10" ht="31.5">
      <c r="A27" s="160" t="s">
        <v>166</v>
      </c>
      <c r="B27" s="152" t="s">
        <v>168</v>
      </c>
      <c r="C27" s="674"/>
      <c r="D27" s="150"/>
      <c r="E27" s="674"/>
      <c r="F27" s="150"/>
      <c r="G27" s="150"/>
      <c r="H27" s="674"/>
      <c r="I27" s="674"/>
      <c r="J27" s="674"/>
    </row>
    <row r="28" spans="1:10">
      <c r="A28" s="61">
        <v>1</v>
      </c>
      <c r="B28" s="154"/>
      <c r="C28" s="674"/>
      <c r="D28" s="150"/>
      <c r="E28" s="674"/>
      <c r="F28" s="150"/>
      <c r="G28" s="150"/>
      <c r="H28" s="674"/>
      <c r="I28" s="674"/>
      <c r="J28" s="674"/>
    </row>
    <row r="29" spans="1:10">
      <c r="A29" s="61">
        <v>2</v>
      </c>
      <c r="B29" s="154"/>
      <c r="C29" s="150"/>
      <c r="D29" s="150"/>
      <c r="E29" s="150"/>
      <c r="F29" s="150"/>
      <c r="G29" s="150"/>
      <c r="H29" s="150"/>
      <c r="I29" s="123"/>
      <c r="J29" s="123"/>
    </row>
    <row r="30" spans="1:10" ht="16.5" thickBot="1">
      <c r="A30" s="1393" t="s">
        <v>68</v>
      </c>
      <c r="B30" s="1394"/>
      <c r="C30" s="896">
        <f>'F1'!D17</f>
        <v>1279.2</v>
      </c>
      <c r="D30" s="896">
        <f>'F1'!E17</f>
        <v>1002.3199999000001</v>
      </c>
      <c r="E30" s="896">
        <f>'F1'!F17</f>
        <v>870.904</v>
      </c>
      <c r="F30" s="896">
        <f>'F1'!G17</f>
        <v>0</v>
      </c>
      <c r="G30" s="896">
        <f>'F1'!H17</f>
        <v>0</v>
      </c>
      <c r="H30" s="896">
        <f>'F1'!I17</f>
        <v>870.904</v>
      </c>
      <c r="I30" s="896">
        <f>'F1'!J17</f>
        <v>1946.33</v>
      </c>
      <c r="J30" s="896">
        <f ca="1">'F1'!K17</f>
        <v>1563.8415936948222</v>
      </c>
    </row>
    <row r="31" spans="1:10" ht="16.5" thickTop="1"/>
    <row r="32" spans="1:10">
      <c r="B32" s="452"/>
    </row>
    <row r="34" spans="8:10" ht="16.5">
      <c r="H34" s="1341" t="s">
        <v>427</v>
      </c>
      <c r="I34" s="1341"/>
      <c r="J34" s="1341"/>
    </row>
  </sheetData>
  <mergeCells count="18">
    <mergeCell ref="J22:J23"/>
    <mergeCell ref="H34:J34"/>
    <mergeCell ref="I1:J1"/>
    <mergeCell ref="A1:H1"/>
    <mergeCell ref="I5:J5"/>
    <mergeCell ref="A30:B30"/>
    <mergeCell ref="A19:H19"/>
    <mergeCell ref="I20:J20"/>
    <mergeCell ref="B6:B7"/>
    <mergeCell ref="A6:A7"/>
    <mergeCell ref="C6:D6"/>
    <mergeCell ref="E6:H6"/>
    <mergeCell ref="I6:J6"/>
    <mergeCell ref="C22:C23"/>
    <mergeCell ref="D22:D23"/>
    <mergeCell ref="E22:E23"/>
    <mergeCell ref="H22:H23"/>
    <mergeCell ref="I22:I23"/>
  </mergeCells>
  <pageMargins left="0.27" right="0.38"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M51"/>
  <sheetViews>
    <sheetView showGridLines="0" view="pageBreakPreview" topLeftCell="A19" zoomScale="70" zoomScaleNormal="70" zoomScaleSheetLayoutView="70" workbookViewId="0">
      <selection activeCell="L39" sqref="L39:L46"/>
    </sheetView>
  </sheetViews>
  <sheetFormatPr defaultRowHeight="15.75"/>
  <cols>
    <col min="1" max="1" width="3" style="500" bestFit="1" customWidth="1"/>
    <col min="2" max="3" width="9.140625" style="500"/>
    <col min="4" max="4" width="27.7109375" style="500" customWidth="1"/>
    <col min="5" max="5" width="19.140625" style="500" customWidth="1"/>
    <col min="6" max="6" width="21.7109375" style="500" customWidth="1"/>
    <col min="7" max="7" width="23.140625" style="500" bestFit="1" customWidth="1"/>
    <col min="8" max="8" width="14.28515625" style="500" hidden="1" customWidth="1"/>
    <col min="9" max="9" width="16.5703125" style="500" hidden="1" customWidth="1"/>
    <col min="10" max="10" width="17.85546875" style="500" customWidth="1"/>
    <col min="11" max="12" width="19.42578125" style="500" customWidth="1"/>
    <col min="13" max="13" width="17.42578125" style="500" bestFit="1" customWidth="1"/>
    <col min="14" max="262" width="9.140625" style="500"/>
    <col min="263" max="263" width="10.7109375" style="500" customWidth="1"/>
    <col min="264" max="518" width="9.140625" style="500"/>
    <col min="519" max="519" width="10.7109375" style="500" customWidth="1"/>
    <col min="520" max="774" width="9.140625" style="500"/>
    <col min="775" max="775" width="10.7109375" style="500" customWidth="1"/>
    <col min="776" max="1030" width="9.140625" style="500"/>
    <col min="1031" max="1031" width="10.7109375" style="500" customWidth="1"/>
    <col min="1032" max="1286" width="9.140625" style="500"/>
    <col min="1287" max="1287" width="10.7109375" style="500" customWidth="1"/>
    <col min="1288" max="1542" width="9.140625" style="500"/>
    <col min="1543" max="1543" width="10.7109375" style="500" customWidth="1"/>
    <col min="1544" max="1798" width="9.140625" style="500"/>
    <col min="1799" max="1799" width="10.7109375" style="500" customWidth="1"/>
    <col min="1800" max="2054" width="9.140625" style="500"/>
    <col min="2055" max="2055" width="10.7109375" style="500" customWidth="1"/>
    <col min="2056" max="2310" width="9.140625" style="500"/>
    <col min="2311" max="2311" width="10.7109375" style="500" customWidth="1"/>
    <col min="2312" max="2566" width="9.140625" style="500"/>
    <col min="2567" max="2567" width="10.7109375" style="500" customWidth="1"/>
    <col min="2568" max="2822" width="9.140625" style="500"/>
    <col min="2823" max="2823" width="10.7109375" style="500" customWidth="1"/>
    <col min="2824" max="3078" width="9.140625" style="500"/>
    <col min="3079" max="3079" width="10.7109375" style="500" customWidth="1"/>
    <col min="3080" max="3334" width="9.140625" style="500"/>
    <col min="3335" max="3335" width="10.7109375" style="500" customWidth="1"/>
    <col min="3336" max="3590" width="9.140625" style="500"/>
    <col min="3591" max="3591" width="10.7109375" style="500" customWidth="1"/>
    <col min="3592" max="3846" width="9.140625" style="500"/>
    <col min="3847" max="3847" width="10.7109375" style="500" customWidth="1"/>
    <col min="3848" max="4102" width="9.140625" style="500"/>
    <col min="4103" max="4103" width="10.7109375" style="500" customWidth="1"/>
    <col min="4104" max="4358" width="9.140625" style="500"/>
    <col min="4359" max="4359" width="10.7109375" style="500" customWidth="1"/>
    <col min="4360" max="4614" width="9.140625" style="500"/>
    <col min="4615" max="4615" width="10.7109375" style="500" customWidth="1"/>
    <col min="4616" max="4870" width="9.140625" style="500"/>
    <col min="4871" max="4871" width="10.7109375" style="500" customWidth="1"/>
    <col min="4872" max="5126" width="9.140625" style="500"/>
    <col min="5127" max="5127" width="10.7109375" style="500" customWidth="1"/>
    <col min="5128" max="5382" width="9.140625" style="500"/>
    <col min="5383" max="5383" width="10.7109375" style="500" customWidth="1"/>
    <col min="5384" max="5638" width="9.140625" style="500"/>
    <col min="5639" max="5639" width="10.7109375" style="500" customWidth="1"/>
    <col min="5640" max="5894" width="9.140625" style="500"/>
    <col min="5895" max="5895" width="10.7109375" style="500" customWidth="1"/>
    <col min="5896" max="6150" width="9.140625" style="500"/>
    <col min="6151" max="6151" width="10.7109375" style="500" customWidth="1"/>
    <col min="6152" max="6406" width="9.140625" style="500"/>
    <col min="6407" max="6407" width="10.7109375" style="500" customWidth="1"/>
    <col min="6408" max="6662" width="9.140625" style="500"/>
    <col min="6663" max="6663" width="10.7109375" style="500" customWidth="1"/>
    <col min="6664" max="6918" width="9.140625" style="500"/>
    <col min="6919" max="6919" width="10.7109375" style="500" customWidth="1"/>
    <col min="6920" max="7174" width="9.140625" style="500"/>
    <col min="7175" max="7175" width="10.7109375" style="500" customWidth="1"/>
    <col min="7176" max="7430" width="9.140625" style="500"/>
    <col min="7431" max="7431" width="10.7109375" style="500" customWidth="1"/>
    <col min="7432" max="7686" width="9.140625" style="500"/>
    <col min="7687" max="7687" width="10.7109375" style="500" customWidth="1"/>
    <col min="7688" max="7942" width="9.140625" style="500"/>
    <col min="7943" max="7943" width="10.7109375" style="500" customWidth="1"/>
    <col min="7944" max="8198" width="9.140625" style="500"/>
    <col min="8199" max="8199" width="10.7109375" style="500" customWidth="1"/>
    <col min="8200" max="8454" width="9.140625" style="500"/>
    <col min="8455" max="8455" width="10.7109375" style="500" customWidth="1"/>
    <col min="8456" max="8710" width="9.140625" style="500"/>
    <col min="8711" max="8711" width="10.7109375" style="500" customWidth="1"/>
    <col min="8712" max="8966" width="9.140625" style="500"/>
    <col min="8967" max="8967" width="10.7109375" style="500" customWidth="1"/>
    <col min="8968" max="9222" width="9.140625" style="500"/>
    <col min="9223" max="9223" width="10.7109375" style="500" customWidth="1"/>
    <col min="9224" max="9478" width="9.140625" style="500"/>
    <col min="9479" max="9479" width="10.7109375" style="500" customWidth="1"/>
    <col min="9480" max="9734" width="9.140625" style="500"/>
    <col min="9735" max="9735" width="10.7109375" style="500" customWidth="1"/>
    <col min="9736" max="9990" width="9.140625" style="500"/>
    <col min="9991" max="9991" width="10.7109375" style="500" customWidth="1"/>
    <col min="9992" max="10246" width="9.140625" style="500"/>
    <col min="10247" max="10247" width="10.7109375" style="500" customWidth="1"/>
    <col min="10248" max="10502" width="9.140625" style="500"/>
    <col min="10503" max="10503" width="10.7109375" style="500" customWidth="1"/>
    <col min="10504" max="10758" width="9.140625" style="500"/>
    <col min="10759" max="10759" width="10.7109375" style="500" customWidth="1"/>
    <col min="10760" max="11014" width="9.140625" style="500"/>
    <col min="11015" max="11015" width="10.7109375" style="500" customWidth="1"/>
    <col min="11016" max="11270" width="9.140625" style="500"/>
    <col min="11271" max="11271" width="10.7109375" style="500" customWidth="1"/>
    <col min="11272" max="11526" width="9.140625" style="500"/>
    <col min="11527" max="11527" width="10.7109375" style="500" customWidth="1"/>
    <col min="11528" max="11782" width="9.140625" style="500"/>
    <col min="11783" max="11783" width="10.7109375" style="500" customWidth="1"/>
    <col min="11784" max="12038" width="9.140625" style="500"/>
    <col min="12039" max="12039" width="10.7109375" style="500" customWidth="1"/>
    <col min="12040" max="12294" width="9.140625" style="500"/>
    <col min="12295" max="12295" width="10.7109375" style="500" customWidth="1"/>
    <col min="12296" max="12550" width="9.140625" style="500"/>
    <col min="12551" max="12551" width="10.7109375" style="500" customWidth="1"/>
    <col min="12552" max="12806" width="9.140625" style="500"/>
    <col min="12807" max="12807" width="10.7109375" style="500" customWidth="1"/>
    <col min="12808" max="13062" width="9.140625" style="500"/>
    <col min="13063" max="13063" width="10.7109375" style="500" customWidth="1"/>
    <col min="13064" max="13318" width="9.140625" style="500"/>
    <col min="13319" max="13319" width="10.7109375" style="500" customWidth="1"/>
    <col min="13320" max="13574" width="9.140625" style="500"/>
    <col min="13575" max="13575" width="10.7109375" style="500" customWidth="1"/>
    <col min="13576" max="13830" width="9.140625" style="500"/>
    <col min="13831" max="13831" width="10.7109375" style="500" customWidth="1"/>
    <col min="13832" max="14086" width="9.140625" style="500"/>
    <col min="14087" max="14087" width="10.7109375" style="500" customWidth="1"/>
    <col min="14088" max="14342" width="9.140625" style="500"/>
    <col min="14343" max="14343" width="10.7109375" style="500" customWidth="1"/>
    <col min="14344" max="14598" width="9.140625" style="500"/>
    <col min="14599" max="14599" width="10.7109375" style="500" customWidth="1"/>
    <col min="14600" max="14854" width="9.140625" style="500"/>
    <col min="14855" max="14855" width="10.7109375" style="500" customWidth="1"/>
    <col min="14856" max="15110" width="9.140625" style="500"/>
    <col min="15111" max="15111" width="10.7109375" style="500" customWidth="1"/>
    <col min="15112" max="15366" width="9.140625" style="500"/>
    <col min="15367" max="15367" width="10.7109375" style="500" customWidth="1"/>
    <col min="15368" max="15622" width="9.140625" style="500"/>
    <col min="15623" max="15623" width="10.7109375" style="500" customWidth="1"/>
    <col min="15624" max="15878" width="9.140625" style="500"/>
    <col min="15879" max="15879" width="10.7109375" style="500" customWidth="1"/>
    <col min="15880" max="16134" width="9.140625" style="500"/>
    <col min="16135" max="16135" width="10.7109375" style="500" customWidth="1"/>
    <col min="16136" max="16384" width="9.140625" style="500"/>
  </cols>
  <sheetData>
    <row r="1" spans="1:12">
      <c r="A1" s="1411" t="s">
        <v>1233</v>
      </c>
      <c r="B1" s="1411"/>
      <c r="C1" s="1411"/>
      <c r="D1" s="1411"/>
      <c r="E1" s="1411"/>
      <c r="F1" s="1411"/>
      <c r="G1" s="1411"/>
      <c r="H1" s="1411"/>
      <c r="I1" s="1411"/>
      <c r="J1" s="1411"/>
      <c r="K1" s="1411"/>
      <c r="L1" s="1411"/>
    </row>
    <row r="2" spans="1:12">
      <c r="A2" s="508"/>
      <c r="B2" s="508"/>
      <c r="C2" s="508"/>
      <c r="D2" s="508"/>
      <c r="E2" s="508"/>
      <c r="F2" s="508"/>
      <c r="G2" s="508"/>
      <c r="H2" s="508"/>
      <c r="I2" s="508"/>
      <c r="J2" s="508"/>
      <c r="K2" s="508"/>
      <c r="L2" s="508"/>
    </row>
    <row r="3" spans="1:12">
      <c r="A3" s="1412" t="s">
        <v>1074</v>
      </c>
      <c r="B3" s="1412"/>
      <c r="C3" s="1412"/>
      <c r="D3" s="1412"/>
      <c r="E3" s="1412"/>
      <c r="F3" s="1412"/>
      <c r="G3" s="1412"/>
      <c r="H3" s="1412"/>
      <c r="I3" s="1412"/>
      <c r="J3" s="1412"/>
      <c r="K3" s="1390"/>
      <c r="L3" s="1390"/>
    </row>
    <row r="4" spans="1:12" ht="16.5">
      <c r="A4" s="509"/>
      <c r="B4" s="509"/>
      <c r="C4" s="509"/>
      <c r="D4" s="509"/>
      <c r="E4" s="479"/>
      <c r="F4" s="479"/>
      <c r="G4" s="479"/>
      <c r="H4" s="479"/>
      <c r="I4" s="479"/>
      <c r="J4" s="479"/>
      <c r="K4" s="494" t="s">
        <v>1075</v>
      </c>
      <c r="L4" s="479"/>
    </row>
    <row r="5" spans="1:12">
      <c r="A5" s="1407" t="s">
        <v>1245</v>
      </c>
      <c r="B5" s="1407"/>
      <c r="C5" s="1407"/>
      <c r="D5" s="1407"/>
      <c r="E5" s="1407"/>
      <c r="F5" s="1407"/>
      <c r="G5" s="1407"/>
      <c r="H5" s="1407"/>
      <c r="I5" s="1407"/>
      <c r="J5" s="1407"/>
      <c r="K5" s="1407"/>
      <c r="L5" s="1407"/>
    </row>
    <row r="6" spans="1:12" ht="27.75" customHeight="1">
      <c r="A6" s="1415"/>
      <c r="B6" s="1413" t="s">
        <v>1076</v>
      </c>
      <c r="C6" s="1413"/>
      <c r="D6" s="1413"/>
      <c r="E6" s="1373" t="s">
        <v>1916</v>
      </c>
      <c r="F6" s="1374"/>
      <c r="G6" s="1375" t="s">
        <v>1917</v>
      </c>
      <c r="H6" s="1376"/>
      <c r="I6" s="1376"/>
      <c r="J6" s="1377"/>
      <c r="K6" s="1365" t="s">
        <v>1918</v>
      </c>
      <c r="L6" s="1365"/>
    </row>
    <row r="7" spans="1:12" ht="44.25" customHeight="1">
      <c r="A7" s="1407"/>
      <c r="B7" s="1414"/>
      <c r="C7" s="1414"/>
      <c r="D7" s="1414"/>
      <c r="E7" s="455" t="s">
        <v>1235</v>
      </c>
      <c r="F7" s="328" t="s">
        <v>1919</v>
      </c>
      <c r="G7" s="455" t="s">
        <v>1235</v>
      </c>
      <c r="H7" s="455" t="s">
        <v>1239</v>
      </c>
      <c r="I7" s="455" t="s">
        <v>1240</v>
      </c>
      <c r="J7" s="459" t="s">
        <v>1241</v>
      </c>
      <c r="K7" s="455" t="s">
        <v>1235</v>
      </c>
      <c r="L7" s="455" t="s">
        <v>1243</v>
      </c>
    </row>
    <row r="8" spans="1:12">
      <c r="A8" s="510" t="s">
        <v>161</v>
      </c>
      <c r="B8" s="1409" t="s">
        <v>1077</v>
      </c>
      <c r="C8" s="1409"/>
      <c r="D8" s="1409"/>
      <c r="E8" s="1189"/>
      <c r="F8" s="1189"/>
      <c r="G8" s="1189"/>
      <c r="H8" s="1189"/>
      <c r="I8" s="1189"/>
      <c r="J8" s="1189"/>
      <c r="K8" s="1189"/>
      <c r="L8" s="1189"/>
    </row>
    <row r="9" spans="1:12" ht="36.75" customHeight="1">
      <c r="A9" s="511">
        <v>1</v>
      </c>
      <c r="B9" s="1401" t="s">
        <v>1078</v>
      </c>
      <c r="C9" s="1400"/>
      <c r="D9" s="1400"/>
      <c r="E9" s="1039"/>
      <c r="F9" s="1208">
        <v>10636</v>
      </c>
      <c r="G9" s="1039"/>
      <c r="H9" s="1039"/>
      <c r="I9" s="1039"/>
      <c r="J9" s="1098"/>
      <c r="K9" s="1039"/>
      <c r="L9" s="1098"/>
    </row>
    <row r="10" spans="1:12" ht="36.75" customHeight="1">
      <c r="A10" s="511">
        <v>2</v>
      </c>
      <c r="B10" s="1401" t="s">
        <v>1079</v>
      </c>
      <c r="C10" s="1400"/>
      <c r="D10" s="1400"/>
      <c r="E10" s="1039"/>
      <c r="F10" s="1208">
        <v>12037</v>
      </c>
      <c r="G10" s="1039"/>
      <c r="H10" s="1039"/>
      <c r="I10" s="1039"/>
      <c r="J10" s="1098"/>
      <c r="K10" s="1039"/>
      <c r="L10" s="1098"/>
    </row>
    <row r="11" spans="1:12">
      <c r="A11" s="512">
        <v>3</v>
      </c>
      <c r="B11" s="1410" t="s">
        <v>170</v>
      </c>
      <c r="C11" s="1410"/>
      <c r="D11" s="1410"/>
      <c r="E11" s="1190"/>
      <c r="F11" s="1190"/>
      <c r="G11" s="1190"/>
      <c r="H11" s="1190"/>
      <c r="I11" s="1190"/>
      <c r="J11" s="1190"/>
      <c r="K11" s="1190"/>
      <c r="L11" s="1190"/>
    </row>
    <row r="12" spans="1:12">
      <c r="A12" s="511"/>
      <c r="B12" s="1400"/>
      <c r="C12" s="1400"/>
      <c r="D12" s="1400"/>
      <c r="E12" s="1039"/>
      <c r="F12" s="1039"/>
      <c r="G12" s="1039"/>
      <c r="H12" s="1039"/>
      <c r="I12" s="1039"/>
      <c r="J12" s="1039"/>
      <c r="K12" s="1039"/>
      <c r="L12" s="1039"/>
    </row>
    <row r="13" spans="1:12">
      <c r="A13" s="511"/>
      <c r="B13" s="1400"/>
      <c r="C13" s="1400"/>
      <c r="D13" s="1400"/>
      <c r="E13" s="1039"/>
      <c r="F13" s="1039"/>
      <c r="G13" s="1039"/>
      <c r="H13" s="1039"/>
      <c r="I13" s="1039"/>
      <c r="J13" s="1039"/>
      <c r="K13" s="1039"/>
      <c r="L13" s="1039"/>
    </row>
    <row r="14" spans="1:12" ht="36.75" customHeight="1">
      <c r="A14" s="511" t="s">
        <v>166</v>
      </c>
      <c r="B14" s="1401" t="s">
        <v>1080</v>
      </c>
      <c r="C14" s="1400"/>
      <c r="D14" s="1400"/>
      <c r="E14" s="1039"/>
      <c r="F14" s="1039"/>
      <c r="G14" s="1039"/>
      <c r="H14" s="1039"/>
      <c r="I14" s="1039"/>
      <c r="J14" s="1039"/>
      <c r="K14" s="1039"/>
      <c r="L14" s="1039"/>
    </row>
    <row r="15" spans="1:12">
      <c r="A15" s="510">
        <v>1</v>
      </c>
      <c r="B15" s="1409"/>
      <c r="C15" s="1409"/>
      <c r="D15" s="1409"/>
      <c r="E15" s="1191"/>
      <c r="F15" s="1191"/>
      <c r="G15" s="1191"/>
      <c r="H15" s="1191"/>
      <c r="I15" s="1191"/>
      <c r="J15" s="1191"/>
      <c r="K15" s="1191"/>
      <c r="L15" s="1191"/>
    </row>
    <row r="16" spans="1:12">
      <c r="A16" s="511">
        <v>2</v>
      </c>
      <c r="B16" s="1400"/>
      <c r="C16" s="1400"/>
      <c r="D16" s="1400"/>
      <c r="E16" s="1039"/>
      <c r="F16" s="1039"/>
      <c r="G16" s="1039"/>
      <c r="H16" s="1039"/>
      <c r="I16" s="1039"/>
      <c r="J16" s="1039"/>
      <c r="K16" s="1039"/>
      <c r="L16" s="1039"/>
    </row>
    <row r="17" spans="1:12">
      <c r="A17" s="511"/>
      <c r="B17" s="1400" t="s">
        <v>1081</v>
      </c>
      <c r="C17" s="1400"/>
      <c r="D17" s="1400"/>
      <c r="E17" s="1039"/>
      <c r="F17" s="1192">
        <f>SUM(F9:F15)</f>
        <v>22673</v>
      </c>
      <c r="G17" s="1039"/>
      <c r="H17" s="1039"/>
      <c r="I17" s="1039"/>
      <c r="J17" s="1192">
        <f>SUM(J9:J15)</f>
        <v>0</v>
      </c>
      <c r="K17" s="1039"/>
      <c r="L17" s="1192">
        <f>SUM(L9:L15)</f>
        <v>0</v>
      </c>
    </row>
    <row r="18" spans="1:12">
      <c r="A18" s="515"/>
      <c r="B18" s="514"/>
      <c r="C18" s="514"/>
      <c r="D18" s="514"/>
      <c r="E18" s="516"/>
      <c r="F18" s="516"/>
      <c r="G18" s="516"/>
      <c r="H18" s="516"/>
      <c r="I18" s="516"/>
      <c r="J18" s="516"/>
      <c r="K18" s="517"/>
      <c r="L18" s="517"/>
    </row>
    <row r="19" spans="1:12">
      <c r="A19" s="513"/>
      <c r="B19" s="514"/>
      <c r="C19" s="514"/>
      <c r="D19" s="514"/>
      <c r="E19" s="503"/>
      <c r="F19" s="503"/>
      <c r="G19" s="503"/>
      <c r="H19" s="503"/>
      <c r="I19" s="503"/>
      <c r="J19" s="503"/>
      <c r="K19" s="504"/>
      <c r="L19" s="504"/>
    </row>
    <row r="20" spans="1:12">
      <c r="A20" s="1407" t="s">
        <v>172</v>
      </c>
      <c r="B20" s="1407"/>
      <c r="C20" s="1407"/>
      <c r="D20" s="1407"/>
      <c r="E20" s="1407"/>
      <c r="F20" s="1407"/>
      <c r="G20" s="1407"/>
      <c r="H20" s="1407"/>
      <c r="I20" s="1407"/>
      <c r="J20" s="1407"/>
      <c r="K20" s="1407"/>
      <c r="L20" s="1407"/>
    </row>
    <row r="21" spans="1:12" ht="15.75" customHeight="1">
      <c r="A21" s="1415"/>
      <c r="B21" s="1413" t="s">
        <v>1076</v>
      </c>
      <c r="C21" s="1413"/>
      <c r="D21" s="1413"/>
      <c r="E21" s="1373" t="s">
        <v>1916</v>
      </c>
      <c r="F21" s="1374"/>
      <c r="G21" s="1375" t="s">
        <v>1917</v>
      </c>
      <c r="H21" s="1376"/>
      <c r="I21" s="1376"/>
      <c r="J21" s="1377"/>
      <c r="K21" s="1365" t="s">
        <v>1918</v>
      </c>
      <c r="L21" s="1365"/>
    </row>
    <row r="22" spans="1:12" ht="31.5">
      <c r="A22" s="1407"/>
      <c r="B22" s="1414"/>
      <c r="C22" s="1414"/>
      <c r="D22" s="1414"/>
      <c r="E22" s="455" t="s">
        <v>1235</v>
      </c>
      <c r="F22" s="328" t="s">
        <v>1236</v>
      </c>
      <c r="G22" s="455" t="s">
        <v>1235</v>
      </c>
      <c r="H22" s="455" t="s">
        <v>1239</v>
      </c>
      <c r="I22" s="455" t="s">
        <v>1240</v>
      </c>
      <c r="J22" s="459" t="s">
        <v>1241</v>
      </c>
      <c r="K22" s="455" t="s">
        <v>1235</v>
      </c>
      <c r="L22" s="455" t="s">
        <v>1243</v>
      </c>
    </row>
    <row r="23" spans="1:12">
      <c r="A23" s="502" t="s">
        <v>161</v>
      </c>
      <c r="B23" s="1407" t="s">
        <v>1077</v>
      </c>
      <c r="C23" s="1407"/>
      <c r="D23" s="1407"/>
      <c r="E23" s="1133"/>
      <c r="F23" s="1133"/>
      <c r="G23" s="1133"/>
      <c r="H23" s="1133"/>
      <c r="I23" s="1133"/>
      <c r="J23" s="1133"/>
      <c r="K23" s="1133"/>
      <c r="L23" s="1133"/>
    </row>
    <row r="24" spans="1:12" ht="33.75" customHeight="1">
      <c r="A24" s="511">
        <v>1</v>
      </c>
      <c r="B24" s="1408" t="s">
        <v>1078</v>
      </c>
      <c r="C24" s="1402"/>
      <c r="D24" s="1402"/>
      <c r="E24" s="1181"/>
      <c r="F24" s="1039">
        <v>8802013</v>
      </c>
      <c r="G24" s="1182"/>
      <c r="H24" s="1182"/>
      <c r="I24" s="1182"/>
      <c r="J24" s="1182">
        <v>9312238</v>
      </c>
      <c r="K24" s="1182"/>
      <c r="L24" s="1182">
        <v>10181301</v>
      </c>
    </row>
    <row r="25" spans="1:12" ht="33.75" customHeight="1">
      <c r="A25" s="511">
        <v>2</v>
      </c>
      <c r="B25" s="1408" t="s">
        <v>1079</v>
      </c>
      <c r="C25" s="1402"/>
      <c r="D25" s="1402"/>
      <c r="E25" s="1181"/>
      <c r="F25" s="1183">
        <v>9372980</v>
      </c>
      <c r="G25" s="1182"/>
      <c r="H25" s="1182"/>
      <c r="I25" s="1182"/>
      <c r="J25" s="1182">
        <v>10038173</v>
      </c>
      <c r="K25" s="1182"/>
      <c r="L25" s="1182">
        <v>10842316</v>
      </c>
    </row>
    <row r="26" spans="1:12">
      <c r="A26" s="511">
        <v>3</v>
      </c>
      <c r="B26" s="1402" t="s">
        <v>170</v>
      </c>
      <c r="C26" s="1402"/>
      <c r="D26" s="1402"/>
      <c r="E26" s="1184"/>
      <c r="F26" s="1184"/>
      <c r="G26" s="1184"/>
      <c r="H26" s="1184"/>
      <c r="I26" s="1184"/>
      <c r="J26" s="1184"/>
      <c r="K26" s="1184"/>
      <c r="L26" s="1184"/>
    </row>
    <row r="27" spans="1:12">
      <c r="A27" s="511"/>
      <c r="B27" s="1402" t="s">
        <v>1082</v>
      </c>
      <c r="C27" s="1402"/>
      <c r="D27" s="1402"/>
      <c r="E27" s="1184"/>
      <c r="F27" s="1184"/>
      <c r="G27" s="1184"/>
      <c r="H27" s="1184"/>
      <c r="I27" s="1184"/>
      <c r="J27" s="1184"/>
      <c r="K27" s="1184"/>
      <c r="L27" s="1184"/>
    </row>
    <row r="28" spans="1:12">
      <c r="A28" s="511"/>
      <c r="B28" s="1402" t="s">
        <v>1083</v>
      </c>
      <c r="C28" s="1402"/>
      <c r="D28" s="1402"/>
      <c r="E28" s="1184"/>
      <c r="F28" s="1184"/>
      <c r="G28" s="1184"/>
      <c r="H28" s="1184"/>
      <c r="I28" s="1184"/>
      <c r="J28" s="1184"/>
      <c r="K28" s="1184"/>
      <c r="L28" s="1184"/>
    </row>
    <row r="29" spans="1:12" ht="40.5" customHeight="1">
      <c r="A29" s="511" t="s">
        <v>166</v>
      </c>
      <c r="B29" s="1408" t="s">
        <v>1080</v>
      </c>
      <c r="C29" s="1402"/>
      <c r="D29" s="1402"/>
      <c r="E29" s="1184"/>
      <c r="F29" s="1184"/>
      <c r="G29" s="1184"/>
      <c r="H29" s="1184"/>
      <c r="I29" s="1184"/>
      <c r="J29" s="1184"/>
      <c r="K29" s="1184"/>
      <c r="L29" s="1184"/>
    </row>
    <row r="30" spans="1:12">
      <c r="A30" s="511">
        <v>1</v>
      </c>
      <c r="B30" s="1425" t="s">
        <v>1170</v>
      </c>
      <c r="C30" s="1425"/>
      <c r="D30" s="1425"/>
      <c r="E30" s="1184"/>
      <c r="F30" s="1184">
        <v>100</v>
      </c>
      <c r="G30" s="1184"/>
      <c r="H30" s="1184"/>
      <c r="I30" s="1184"/>
      <c r="J30" s="1184">
        <v>100</v>
      </c>
      <c r="K30" s="1184"/>
      <c r="L30" s="1184">
        <v>100</v>
      </c>
    </row>
    <row r="31" spans="1:12">
      <c r="A31" s="511">
        <v>2</v>
      </c>
      <c r="B31" s="1402"/>
      <c r="C31" s="1402"/>
      <c r="D31" s="1402"/>
      <c r="E31" s="1184"/>
      <c r="F31" s="1184"/>
      <c r="G31" s="1184"/>
      <c r="H31" s="1184"/>
      <c r="I31" s="1184"/>
      <c r="J31" s="1184"/>
      <c r="K31" s="1184"/>
      <c r="L31" s="1184"/>
    </row>
    <row r="32" spans="1:12">
      <c r="A32" s="511"/>
      <c r="B32" s="1402" t="s">
        <v>1081</v>
      </c>
      <c r="C32" s="1402"/>
      <c r="D32" s="1402"/>
      <c r="E32" s="1185">
        <f>SUM(E24:E31)</f>
        <v>0</v>
      </c>
      <c r="F32" s="1185">
        <f>SUM(F24:F31)</f>
        <v>18175093</v>
      </c>
      <c r="G32" s="1185">
        <f>SUM(G24:G31)</f>
        <v>0</v>
      </c>
      <c r="H32" s="1184"/>
      <c r="I32" s="1184"/>
      <c r="J32" s="1185">
        <f>SUM(J24:J31)</f>
        <v>19350511</v>
      </c>
      <c r="K32" s="1185">
        <f>SUM(K24:K31)</f>
        <v>0</v>
      </c>
      <c r="L32" s="1185">
        <f>SUM(L24:L31)</f>
        <v>21023717</v>
      </c>
    </row>
    <row r="33" spans="1:13">
      <c r="A33" s="503"/>
      <c r="B33" s="503"/>
      <c r="C33" s="503"/>
      <c r="D33" s="503"/>
      <c r="E33" s="503"/>
      <c r="F33" s="503"/>
      <c r="G33" s="503"/>
      <c r="H33" s="503"/>
      <c r="I33" s="503"/>
      <c r="J33" s="503"/>
      <c r="K33" s="503"/>
      <c r="L33" s="503"/>
    </row>
    <row r="34" spans="1:13">
      <c r="A34" s="503"/>
      <c r="B34" s="503"/>
      <c r="C34" s="503"/>
      <c r="D34" s="503"/>
      <c r="E34" s="503"/>
      <c r="F34" s="503"/>
      <c r="G34" s="503"/>
      <c r="H34" s="503"/>
      <c r="I34" s="503"/>
      <c r="J34" s="503"/>
      <c r="K34" s="503"/>
      <c r="L34" s="503"/>
    </row>
    <row r="35" spans="1:13">
      <c r="A35" s="1404" t="s">
        <v>1246</v>
      </c>
      <c r="B35" s="1405"/>
      <c r="C35" s="1405"/>
      <c r="D35" s="1405"/>
      <c r="E35" s="1405"/>
      <c r="F35" s="1405"/>
      <c r="G35" s="1405"/>
      <c r="H35" s="1405"/>
      <c r="I35" s="1405"/>
      <c r="J35" s="1405"/>
      <c r="K35" s="1405"/>
      <c r="L35" s="1406"/>
    </row>
    <row r="36" spans="1:13">
      <c r="A36" s="1416"/>
      <c r="B36" s="1417" t="s">
        <v>1076</v>
      </c>
      <c r="C36" s="1417"/>
      <c r="D36" s="1417"/>
      <c r="E36" s="1419" t="s">
        <v>1916</v>
      </c>
      <c r="F36" s="1420"/>
      <c r="G36" s="1421" t="s">
        <v>1917</v>
      </c>
      <c r="H36" s="1422"/>
      <c r="I36" s="1422"/>
      <c r="J36" s="1423"/>
      <c r="K36" s="1424" t="s">
        <v>1918</v>
      </c>
      <c r="L36" s="1424"/>
    </row>
    <row r="37" spans="1:13" ht="31.5">
      <c r="A37" s="1403"/>
      <c r="B37" s="1418"/>
      <c r="C37" s="1418"/>
      <c r="D37" s="1418"/>
      <c r="E37" s="463" t="s">
        <v>1235</v>
      </c>
      <c r="F37" s="1137" t="s">
        <v>1236</v>
      </c>
      <c r="G37" s="463" t="s">
        <v>1235</v>
      </c>
      <c r="H37" s="463" t="s">
        <v>1239</v>
      </c>
      <c r="I37" s="463" t="s">
        <v>1240</v>
      </c>
      <c r="J37" s="1138" t="s">
        <v>1241</v>
      </c>
      <c r="K37" s="463" t="s">
        <v>1235</v>
      </c>
      <c r="L37" s="463" t="s">
        <v>1243</v>
      </c>
    </row>
    <row r="38" spans="1:13">
      <c r="A38" s="1133" t="s">
        <v>161</v>
      </c>
      <c r="B38" s="1403" t="s">
        <v>1077</v>
      </c>
      <c r="C38" s="1403"/>
      <c r="D38" s="1403"/>
      <c r="E38" s="1133"/>
      <c r="F38" s="1133"/>
      <c r="G38" s="1133"/>
      <c r="H38" s="1133"/>
      <c r="I38" s="1133"/>
      <c r="J38" s="1133"/>
      <c r="K38" s="1133"/>
      <c r="L38" s="1133"/>
    </row>
    <row r="39" spans="1:13" ht="31.5" customHeight="1">
      <c r="A39" s="1186">
        <v>1</v>
      </c>
      <c r="B39" s="1401" t="s">
        <v>1078</v>
      </c>
      <c r="C39" s="1400"/>
      <c r="D39" s="1400"/>
      <c r="E39" s="1133"/>
      <c r="F39" s="1098">
        <v>2732</v>
      </c>
      <c r="G39" s="1099"/>
      <c r="H39" s="1099"/>
      <c r="I39" s="1099"/>
      <c r="J39" s="1098">
        <v>3010</v>
      </c>
      <c r="K39" s="1099"/>
      <c r="L39" s="1098">
        <v>3316</v>
      </c>
    </row>
    <row r="40" spans="1:13" ht="31.5" customHeight="1">
      <c r="A40" s="1186">
        <v>2</v>
      </c>
      <c r="B40" s="1401" t="s">
        <v>1079</v>
      </c>
      <c r="C40" s="1400"/>
      <c r="D40" s="1400"/>
      <c r="E40" s="1133"/>
      <c r="F40" s="1098">
        <v>3063</v>
      </c>
      <c r="G40" s="1099"/>
      <c r="H40" s="1099"/>
      <c r="I40" s="1099"/>
      <c r="J40" s="1098">
        <v>3208</v>
      </c>
      <c r="K40" s="1099"/>
      <c r="L40" s="1098">
        <v>3450</v>
      </c>
    </row>
    <row r="41" spans="1:13">
      <c r="A41" s="1133">
        <v>3</v>
      </c>
      <c r="B41" s="1400" t="s">
        <v>170</v>
      </c>
      <c r="C41" s="1400"/>
      <c r="D41" s="1400"/>
      <c r="E41" s="1133"/>
      <c r="F41" s="1133"/>
      <c r="G41" s="1133"/>
      <c r="H41" s="1133"/>
      <c r="I41" s="1133"/>
      <c r="J41" s="1133"/>
      <c r="K41" s="1133"/>
      <c r="L41" s="1133"/>
    </row>
    <row r="42" spans="1:13">
      <c r="A42" s="1133"/>
      <c r="B42" s="1400"/>
      <c r="C42" s="1400"/>
      <c r="D42" s="1400"/>
      <c r="E42" s="1133"/>
      <c r="F42" s="1133"/>
      <c r="G42" s="1133"/>
      <c r="H42" s="1133"/>
      <c r="I42" s="1133"/>
      <c r="J42" s="1133"/>
      <c r="K42" s="1133"/>
      <c r="L42" s="1133"/>
    </row>
    <row r="43" spans="1:13">
      <c r="A43" s="1133"/>
      <c r="B43" s="1400"/>
      <c r="C43" s="1400"/>
      <c r="D43" s="1400"/>
      <c r="E43" s="1133"/>
      <c r="F43" s="1133"/>
      <c r="G43" s="1133"/>
      <c r="H43" s="1133"/>
      <c r="I43" s="1133"/>
      <c r="J43" s="1133"/>
      <c r="K43" s="1133"/>
      <c r="L43" s="1133"/>
    </row>
    <row r="44" spans="1:13" ht="35.25" customHeight="1">
      <c r="A44" s="1186" t="s">
        <v>166</v>
      </c>
      <c r="B44" s="1401" t="s">
        <v>1080</v>
      </c>
      <c r="C44" s="1400"/>
      <c r="D44" s="1400"/>
      <c r="E44" s="1133"/>
      <c r="F44" s="1187"/>
      <c r="G44" s="1187"/>
      <c r="H44" s="1187"/>
      <c r="I44" s="1187"/>
      <c r="J44" s="1187"/>
      <c r="K44" s="1187"/>
      <c r="L44" s="1187"/>
    </row>
    <row r="45" spans="1:13">
      <c r="A45" s="1133">
        <v>1</v>
      </c>
      <c r="B45" s="1399" t="s">
        <v>1170</v>
      </c>
      <c r="C45" s="1399"/>
      <c r="D45" s="1399"/>
      <c r="E45" s="1133"/>
      <c r="F45" s="1184">
        <v>100</v>
      </c>
      <c r="G45" s="1185"/>
      <c r="H45" s="1185"/>
      <c r="I45" s="1185"/>
      <c r="J45" s="1184">
        <v>100</v>
      </c>
      <c r="K45" s="1185"/>
      <c r="L45" s="1184">
        <v>100</v>
      </c>
    </row>
    <row r="46" spans="1:13">
      <c r="A46" s="1133">
        <v>2</v>
      </c>
      <c r="B46" s="1400"/>
      <c r="C46" s="1400"/>
      <c r="D46" s="1400"/>
      <c r="E46" s="1133"/>
      <c r="F46" s="1133"/>
      <c r="G46" s="1133"/>
      <c r="H46" s="1133"/>
      <c r="I46" s="1133"/>
      <c r="J46" s="1133"/>
      <c r="K46" s="1133"/>
      <c r="L46" s="1133"/>
    </row>
    <row r="47" spans="1:13">
      <c r="A47" s="1133"/>
      <c r="B47" s="1400" t="s">
        <v>1081</v>
      </c>
      <c r="C47" s="1400"/>
      <c r="D47" s="1400"/>
      <c r="E47" s="1133"/>
      <c r="F47" s="1188">
        <f>F39+F40+F45</f>
        <v>5895</v>
      </c>
      <c r="G47" s="1133"/>
      <c r="H47" s="1133"/>
      <c r="I47" s="1133"/>
      <c r="J47" s="1188">
        <f>J39+J40+J45</f>
        <v>6318</v>
      </c>
      <c r="K47" s="1133"/>
      <c r="L47" s="1188">
        <f>L39+L40+L45</f>
        <v>6866</v>
      </c>
      <c r="M47" s="1292"/>
    </row>
    <row r="51" spans="10:12" ht="16.5">
      <c r="J51" s="1341" t="s">
        <v>427</v>
      </c>
      <c r="K51" s="1341"/>
      <c r="L51" s="1341"/>
    </row>
  </sheetData>
  <mergeCells count="52">
    <mergeCell ref="J51:L51"/>
    <mergeCell ref="A21:A22"/>
    <mergeCell ref="B21:D22"/>
    <mergeCell ref="E21:F21"/>
    <mergeCell ref="G21:J21"/>
    <mergeCell ref="K21:L21"/>
    <mergeCell ref="A36:A37"/>
    <mergeCell ref="B36:D37"/>
    <mergeCell ref="E36:F36"/>
    <mergeCell ref="G36:J36"/>
    <mergeCell ref="K36:L36"/>
    <mergeCell ref="B26:D26"/>
    <mergeCell ref="B27:D27"/>
    <mergeCell ref="B28:D28"/>
    <mergeCell ref="B29:D29"/>
    <mergeCell ref="B30:D30"/>
    <mergeCell ref="B9:D9"/>
    <mergeCell ref="B10:D10"/>
    <mergeCell ref="B11:D11"/>
    <mergeCell ref="A1:L1"/>
    <mergeCell ref="A3:J3"/>
    <mergeCell ref="K3:L3"/>
    <mergeCell ref="K6:L6"/>
    <mergeCell ref="B8:D8"/>
    <mergeCell ref="A5:L5"/>
    <mergeCell ref="B6:D7"/>
    <mergeCell ref="E6:F6"/>
    <mergeCell ref="A6:A7"/>
    <mergeCell ref="G6:J6"/>
    <mergeCell ref="B12:D12"/>
    <mergeCell ref="B13:D13"/>
    <mergeCell ref="B14:D14"/>
    <mergeCell ref="B15:D15"/>
    <mergeCell ref="B16:D16"/>
    <mergeCell ref="B17:D17"/>
    <mergeCell ref="A20:L20"/>
    <mergeCell ref="B23:D23"/>
    <mergeCell ref="B24:D24"/>
    <mergeCell ref="B25:D25"/>
    <mergeCell ref="B31:D31"/>
    <mergeCell ref="B32:D32"/>
    <mergeCell ref="B38:D38"/>
    <mergeCell ref="B39:D39"/>
    <mergeCell ref="A35:L35"/>
    <mergeCell ref="B45:D45"/>
    <mergeCell ref="B46:D46"/>
    <mergeCell ref="B47:D47"/>
    <mergeCell ref="B40:D40"/>
    <mergeCell ref="B41:D41"/>
    <mergeCell ref="B42:D42"/>
    <mergeCell ref="B43:D43"/>
    <mergeCell ref="B44:D44"/>
  </mergeCells>
  <pageMargins left="0.35433070866141736" right="0.19685039370078741" top="0.74803149606299213" bottom="0.74803149606299213" header="0.31496062992125984" footer="0.31496062992125984"/>
  <pageSetup paperSize="9" scale="5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44</vt:i4>
      </vt:variant>
    </vt:vector>
  </HeadingPairs>
  <TitlesOfParts>
    <vt:vector size="110" baseType="lpstr">
      <vt:lpstr>Indexw</vt:lpstr>
      <vt:lpstr>Index</vt:lpstr>
      <vt:lpstr>S1</vt:lpstr>
      <vt:lpstr>S2</vt:lpstr>
      <vt:lpstr>S3</vt:lpstr>
      <vt:lpstr>F1</vt:lpstr>
      <vt:lpstr>Carrying Cost</vt:lpstr>
      <vt:lpstr>F2</vt:lpstr>
      <vt:lpstr>F3</vt:lpstr>
      <vt:lpstr>F4</vt:lpstr>
      <vt:lpstr>F5-1</vt:lpstr>
      <vt:lpstr>F5-2</vt:lpstr>
      <vt:lpstr>F5-3</vt:lpstr>
      <vt:lpstr>F5-4</vt:lpstr>
      <vt:lpstr>F5-6</vt:lpstr>
      <vt:lpstr>F5-7</vt:lpstr>
      <vt:lpstr>F5-8</vt:lpstr>
      <vt:lpstr>F5-9</vt:lpstr>
      <vt:lpstr>F6</vt:lpstr>
      <vt:lpstr>F7-1</vt:lpstr>
      <vt:lpstr>F7-2</vt:lpstr>
      <vt:lpstr>F7-3</vt:lpstr>
      <vt:lpstr>F7-4</vt:lpstr>
      <vt:lpstr>F8</vt:lpstr>
      <vt:lpstr>Interest</vt:lpstr>
      <vt:lpstr>F9-1</vt:lpstr>
      <vt:lpstr>F9-2</vt:lpstr>
      <vt:lpstr>F9-3</vt:lpstr>
      <vt:lpstr>F10</vt:lpstr>
      <vt:lpstr>F11</vt:lpstr>
      <vt:lpstr>F12</vt:lpstr>
      <vt:lpstr>F13</vt:lpstr>
      <vt:lpstr>F14-1</vt:lpstr>
      <vt:lpstr>F14-2</vt:lpstr>
      <vt:lpstr>F14-3</vt:lpstr>
      <vt:lpstr>F14-4</vt:lpstr>
      <vt:lpstr>F15</vt:lpstr>
      <vt:lpstr>F16</vt:lpstr>
      <vt:lpstr>F17</vt:lpstr>
      <vt:lpstr>F18</vt:lpstr>
      <vt:lpstr>F19</vt:lpstr>
      <vt:lpstr>F20</vt:lpstr>
      <vt:lpstr>F21</vt:lpstr>
      <vt:lpstr>F22</vt:lpstr>
      <vt:lpstr>F23</vt:lpstr>
      <vt:lpstr>F24</vt:lpstr>
      <vt:lpstr>P1</vt:lpstr>
      <vt:lpstr>P2A</vt:lpstr>
      <vt:lpstr>P2B</vt:lpstr>
      <vt:lpstr>P2C</vt:lpstr>
      <vt:lpstr>P2D</vt:lpstr>
      <vt:lpstr>P3</vt:lpstr>
      <vt:lpstr>P4</vt:lpstr>
      <vt:lpstr>P5</vt:lpstr>
      <vt:lpstr>P6</vt:lpstr>
      <vt:lpstr>P7</vt:lpstr>
      <vt:lpstr>P8</vt:lpstr>
      <vt:lpstr>P9</vt:lpstr>
      <vt:lpstr>P 10</vt:lpstr>
      <vt:lpstr>P11</vt:lpstr>
      <vt:lpstr>P12</vt:lpstr>
      <vt:lpstr>Sheet1</vt:lpstr>
      <vt:lpstr>Sheet2</vt:lpstr>
      <vt:lpstr>Sheet3</vt:lpstr>
      <vt:lpstr>Capex</vt:lpstr>
      <vt:lpstr>Incentive</vt:lpstr>
      <vt:lpstr>'Carrying Cost'!Print_Area</vt:lpstr>
      <vt:lpstr>'F1'!Print_Area</vt:lpstr>
      <vt:lpstr>'F11'!Print_Area</vt:lpstr>
      <vt:lpstr>'F12'!Print_Area</vt:lpstr>
      <vt:lpstr>'F13'!Print_Area</vt:lpstr>
      <vt:lpstr>'F14-1'!Print_Area</vt:lpstr>
      <vt:lpstr>'F14-2'!Print_Area</vt:lpstr>
      <vt:lpstr>'F14-3'!Print_Area</vt:lpstr>
      <vt:lpstr>'F14-4'!Print_Area</vt:lpstr>
      <vt:lpstr>'F15'!Print_Area</vt:lpstr>
      <vt:lpstr>'F16'!Print_Area</vt:lpstr>
      <vt:lpstr>'F18'!Print_Area</vt:lpstr>
      <vt:lpstr>'F19'!Print_Area</vt:lpstr>
      <vt:lpstr>'F20'!Print_Area</vt:lpstr>
      <vt:lpstr>'F21'!Print_Area</vt:lpstr>
      <vt:lpstr>'F22'!Print_Area</vt:lpstr>
      <vt:lpstr>'F23'!Print_Area</vt:lpstr>
      <vt:lpstr>'F24'!Print_Area</vt:lpstr>
      <vt:lpstr>'F5-1'!Print_Area</vt:lpstr>
      <vt:lpstr>'F5-2'!Print_Area</vt:lpstr>
      <vt:lpstr>'F5-3'!Print_Area</vt:lpstr>
      <vt:lpstr>'F5-6'!Print_Area</vt:lpstr>
      <vt:lpstr>'F5-8'!Print_Area</vt:lpstr>
      <vt:lpstr>'F6'!Print_Area</vt:lpstr>
      <vt:lpstr>'F7-2'!Print_Area</vt:lpstr>
      <vt:lpstr>'F7-3'!Print_Area</vt:lpstr>
      <vt:lpstr>'F8'!Print_Area</vt:lpstr>
      <vt:lpstr>'F9-1'!Print_Area</vt:lpstr>
      <vt:lpstr>'F9-3'!Print_Area</vt:lpstr>
      <vt:lpstr>Incentive!Print_Area</vt:lpstr>
      <vt:lpstr>'P 10'!Print_Area</vt:lpstr>
      <vt:lpstr>'P1'!Print_Area</vt:lpstr>
      <vt:lpstr>'P11'!Print_Area</vt:lpstr>
      <vt:lpstr>'P12'!Print_Area</vt:lpstr>
      <vt:lpstr>P2A!Print_Area</vt:lpstr>
      <vt:lpstr>P2B!Print_Area</vt:lpstr>
      <vt:lpstr>P2C!Print_Area</vt:lpstr>
      <vt:lpstr>P2D!Print_Area</vt:lpstr>
      <vt:lpstr>'P3'!Print_Area</vt:lpstr>
      <vt:lpstr>'P4'!Print_Area</vt:lpstr>
      <vt:lpstr>'P6'!Print_Area</vt:lpstr>
      <vt:lpstr>'P7'!Print_Area</vt:lpstr>
      <vt:lpstr>'P8'!Print_Area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BHEL</dc:creator>
  <cp:lastModifiedBy>ABPS</cp:lastModifiedBy>
  <cp:lastPrinted>2020-12-23T21:13:07Z</cp:lastPrinted>
  <dcterms:created xsi:type="dcterms:W3CDTF">2013-08-17T04:54:53Z</dcterms:created>
  <dcterms:modified xsi:type="dcterms:W3CDTF">2020-12-23T22:00:32Z</dcterms:modified>
</cp:coreProperties>
</file>